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iauliai\Desktop\Sprendimas_tarybai\"/>
    </mc:Choice>
  </mc:AlternateContent>
  <xr:revisionPtr revIDLastSave="0" documentId="8_{F77DE752-3EB5-4E60-A69B-A72E7B8E7BFC}" xr6:coauthVersionLast="45" xr6:coauthVersionMax="45" xr10:uidLastSave="{00000000-0000-0000-0000-000000000000}"/>
  <bookViews>
    <workbookView xWindow="-108" yWindow="-108" windowWidth="23256" windowHeight="12576" tabRatio="500" xr2:uid="{00000000-000D-0000-FFFF-FFFF00000000}"/>
  </bookViews>
  <sheets>
    <sheet name="01_programa_ataskaita" sheetId="1" r:id="rId1"/>
    <sheet name="02_programa_ataskaita" sheetId="2" r:id="rId2"/>
    <sheet name="03_programa_ataskaita" sheetId="3" r:id="rId3"/>
    <sheet name="04_programa_ataskaita" sheetId="4" r:id="rId4"/>
    <sheet name="05_programa_ataskaita" sheetId="5" r:id="rId5"/>
    <sheet name="06_programa_ataskaita" sheetId="6" r:id="rId6"/>
    <sheet name="07_programa_ataskaita" sheetId="7" r:id="rId7"/>
    <sheet name="08_programa_ataskaita" sheetId="8" r:id="rId8"/>
    <sheet name="09_programa_ataskaita" sheetId="9" r:id="rId9"/>
    <sheet name="10_programa_ataskaita" sheetId="10" r:id="rId10"/>
    <sheet name="11_programa_ataskaita" sheetId="11" r:id="rId11"/>
  </sheet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11" i="11" l="1"/>
  <c r="E111" i="11"/>
  <c r="D111" i="11"/>
  <c r="C111" i="11"/>
  <c r="F104" i="11"/>
  <c r="F113" i="11" s="1"/>
  <c r="E104" i="11"/>
  <c r="E113" i="11" s="1"/>
  <c r="D104" i="11"/>
  <c r="D113" i="11" s="1"/>
  <c r="C104" i="11"/>
  <c r="C113" i="11" s="1"/>
  <c r="G98" i="11"/>
  <c r="F98" i="11"/>
  <c r="E98" i="11"/>
  <c r="D98" i="11"/>
  <c r="G94" i="11"/>
  <c r="F94" i="11"/>
  <c r="E94" i="11"/>
  <c r="D94" i="11"/>
  <c r="G91" i="11"/>
  <c r="F91" i="11"/>
  <c r="E91" i="11"/>
  <c r="D91" i="11"/>
  <c r="G87" i="11"/>
  <c r="G86" i="11" s="1"/>
  <c r="G85" i="11" s="1"/>
  <c r="F87" i="11"/>
  <c r="E87" i="11"/>
  <c r="D87" i="11"/>
  <c r="F86" i="11"/>
  <c r="E86" i="11"/>
  <c r="D86" i="11"/>
  <c r="F85" i="11"/>
  <c r="E85" i="11"/>
  <c r="D85" i="11"/>
  <c r="G80" i="11"/>
  <c r="F80" i="11"/>
  <c r="E80" i="11"/>
  <c r="D80" i="11"/>
  <c r="G77" i="11"/>
  <c r="G76" i="11" s="1"/>
  <c r="F77" i="11"/>
  <c r="E77" i="11"/>
  <c r="D77" i="11"/>
  <c r="F76" i="11"/>
  <c r="E76" i="11"/>
  <c r="D76" i="11"/>
  <c r="G73" i="11"/>
  <c r="F73" i="11"/>
  <c r="E73" i="11"/>
  <c r="D73" i="11"/>
  <c r="G70" i="11"/>
  <c r="F70" i="11"/>
  <c r="E70" i="11"/>
  <c r="D70" i="11"/>
  <c r="G69" i="11"/>
  <c r="F69" i="11"/>
  <c r="E69" i="11"/>
  <c r="D69" i="11"/>
  <c r="F68" i="11"/>
  <c r="E68" i="11"/>
  <c r="D68" i="11"/>
  <c r="G66" i="11"/>
  <c r="F66" i="11"/>
  <c r="E66" i="11"/>
  <c r="D66" i="11"/>
  <c r="G63" i="11"/>
  <c r="F63" i="11"/>
  <c r="E63" i="11"/>
  <c r="D63" i="11"/>
  <c r="G59" i="11"/>
  <c r="F59" i="11"/>
  <c r="E59" i="11"/>
  <c r="D59" i="11"/>
  <c r="G58" i="11"/>
  <c r="F58" i="11"/>
  <c r="E58" i="11"/>
  <c r="D58" i="11"/>
  <c r="G54" i="11"/>
  <c r="F54" i="11"/>
  <c r="E54" i="11"/>
  <c r="D54" i="11"/>
  <c r="G38" i="11"/>
  <c r="F38" i="11"/>
  <c r="E38" i="11"/>
  <c r="D38" i="11"/>
  <c r="G34" i="11"/>
  <c r="F34" i="11"/>
  <c r="E34" i="11"/>
  <c r="D34" i="11"/>
  <c r="G31" i="11"/>
  <c r="F31" i="11"/>
  <c r="E31" i="11"/>
  <c r="D31" i="11"/>
  <c r="G15" i="11"/>
  <c r="F15" i="11"/>
  <c r="E15" i="11"/>
  <c r="D15" i="11"/>
  <c r="G14" i="11"/>
  <c r="F14" i="11"/>
  <c r="E14" i="11"/>
  <c r="D14" i="11"/>
  <c r="G13" i="11"/>
  <c r="F13" i="11"/>
  <c r="E13" i="11"/>
  <c r="D13" i="11"/>
  <c r="F12" i="11"/>
  <c r="E12" i="11"/>
  <c r="D12" i="11"/>
  <c r="F148" i="10"/>
  <c r="E148" i="10"/>
  <c r="D148" i="10"/>
  <c r="C148" i="10"/>
  <c r="F139" i="10"/>
  <c r="F151" i="10" s="1"/>
  <c r="E139" i="10"/>
  <c r="E151" i="10" s="1"/>
  <c r="D139" i="10"/>
  <c r="D151" i="10" s="1"/>
  <c r="C139" i="10"/>
  <c r="C151" i="10" s="1"/>
  <c r="G134" i="10"/>
  <c r="F134" i="10"/>
  <c r="E134" i="10"/>
  <c r="D134" i="10"/>
  <c r="G133" i="10"/>
  <c r="F133" i="10"/>
  <c r="E133" i="10"/>
  <c r="D133" i="10"/>
  <c r="G132" i="10"/>
  <c r="F132" i="10"/>
  <c r="E132" i="10"/>
  <c r="D132" i="10"/>
  <c r="G129" i="10"/>
  <c r="F129" i="10"/>
  <c r="E129" i="10"/>
  <c r="D129" i="10"/>
  <c r="G128" i="10"/>
  <c r="F128" i="10"/>
  <c r="E128" i="10"/>
  <c r="D128" i="10"/>
  <c r="G122" i="10"/>
  <c r="G121" i="10" s="1"/>
  <c r="F122" i="10"/>
  <c r="E122" i="10"/>
  <c r="D122" i="10"/>
  <c r="F121" i="10"/>
  <c r="E121" i="10"/>
  <c r="D121" i="10"/>
  <c r="G118" i="10"/>
  <c r="G116" i="10" s="1"/>
  <c r="F118" i="10"/>
  <c r="E118" i="10"/>
  <c r="D118" i="10"/>
  <c r="F116" i="10"/>
  <c r="E116" i="10"/>
  <c r="D116" i="10"/>
  <c r="F115" i="10"/>
  <c r="E115" i="10"/>
  <c r="D115" i="10"/>
  <c r="G113" i="10"/>
  <c r="G112" i="10" s="1"/>
  <c r="F113" i="10"/>
  <c r="E113" i="10"/>
  <c r="D113" i="10"/>
  <c r="F112" i="10"/>
  <c r="E112" i="10"/>
  <c r="D112" i="10"/>
  <c r="G110" i="10"/>
  <c r="G109" i="10" s="1"/>
  <c r="F110" i="10"/>
  <c r="E110" i="10"/>
  <c r="D110" i="10"/>
  <c r="F109" i="10"/>
  <c r="E109" i="10"/>
  <c r="D109" i="10"/>
  <c r="G107" i="10"/>
  <c r="G106" i="10" s="1"/>
  <c r="F107" i="10"/>
  <c r="E107" i="10"/>
  <c r="D107" i="10"/>
  <c r="F106" i="10"/>
  <c r="E106" i="10"/>
  <c r="D106" i="10"/>
  <c r="G104" i="10"/>
  <c r="F104" i="10"/>
  <c r="E104" i="10"/>
  <c r="D104" i="10"/>
  <c r="G100" i="10"/>
  <c r="F100" i="10"/>
  <c r="E100" i="10"/>
  <c r="D100" i="10"/>
  <c r="G99" i="10"/>
  <c r="F99" i="10"/>
  <c r="E99" i="10"/>
  <c r="D99" i="10"/>
  <c r="G97" i="10"/>
  <c r="F97" i="10"/>
  <c r="E97" i="10"/>
  <c r="D97" i="10"/>
  <c r="G95" i="10"/>
  <c r="F95" i="10"/>
  <c r="E95" i="10"/>
  <c r="D95" i="10"/>
  <c r="G94" i="10"/>
  <c r="F94" i="10"/>
  <c r="E94" i="10"/>
  <c r="D94" i="10"/>
  <c r="G92" i="10"/>
  <c r="F92" i="10"/>
  <c r="E92" i="10"/>
  <c r="D92" i="10"/>
  <c r="G90" i="10"/>
  <c r="G89" i="10" s="1"/>
  <c r="F90" i="10"/>
  <c r="E90" i="10"/>
  <c r="D90" i="10"/>
  <c r="F89" i="10"/>
  <c r="E89" i="10"/>
  <c r="D89" i="10"/>
  <c r="G84" i="10"/>
  <c r="G83" i="10" s="1"/>
  <c r="F84" i="10"/>
  <c r="E84" i="10"/>
  <c r="D84" i="10"/>
  <c r="F83" i="10"/>
  <c r="E83" i="10"/>
  <c r="D83" i="10"/>
  <c r="G80" i="10"/>
  <c r="F80" i="10"/>
  <c r="E80" i="10"/>
  <c r="D80" i="10"/>
  <c r="G79" i="10"/>
  <c r="F79" i="10"/>
  <c r="E79" i="10"/>
  <c r="D79" i="10"/>
  <c r="G75" i="10"/>
  <c r="F75" i="10"/>
  <c r="E75" i="10"/>
  <c r="D75" i="10"/>
  <c r="G74" i="10"/>
  <c r="F74" i="10"/>
  <c r="E74" i="10"/>
  <c r="D74" i="10"/>
  <c r="G69" i="10"/>
  <c r="F69" i="10"/>
  <c r="E69" i="10"/>
  <c r="D69" i="10"/>
  <c r="G61" i="10"/>
  <c r="F61" i="10"/>
  <c r="E61" i="10"/>
  <c r="D61" i="10"/>
  <c r="G58" i="10"/>
  <c r="F58" i="10"/>
  <c r="E58" i="10"/>
  <c r="D58" i="10"/>
  <c r="G54" i="10"/>
  <c r="F54" i="10"/>
  <c r="E54" i="10"/>
  <c r="D54" i="10"/>
  <c r="G49" i="10"/>
  <c r="F49" i="10"/>
  <c r="E49" i="10"/>
  <c r="D49" i="10"/>
  <c r="G46" i="10"/>
  <c r="F46" i="10"/>
  <c r="E46" i="10"/>
  <c r="D46" i="10"/>
  <c r="G42" i="10"/>
  <c r="F42" i="10"/>
  <c r="E42" i="10"/>
  <c r="D42" i="10"/>
  <c r="G38" i="10"/>
  <c r="F38" i="10"/>
  <c r="E38" i="10"/>
  <c r="D38" i="10"/>
  <c r="G31" i="10"/>
  <c r="F31" i="10"/>
  <c r="E31" i="10"/>
  <c r="D31" i="10"/>
  <c r="G26" i="10"/>
  <c r="F26" i="10"/>
  <c r="E26" i="10"/>
  <c r="D26" i="10"/>
  <c r="G21" i="10"/>
  <c r="F21" i="10"/>
  <c r="E21" i="10"/>
  <c r="D21" i="10"/>
  <c r="G20" i="10"/>
  <c r="G13" i="10" s="1"/>
  <c r="F20" i="10"/>
  <c r="E20" i="10"/>
  <c r="D20" i="10"/>
  <c r="G17" i="10"/>
  <c r="F17" i="10"/>
  <c r="E17" i="10"/>
  <c r="D17" i="10"/>
  <c r="G14" i="10"/>
  <c r="F14" i="10"/>
  <c r="E14" i="10"/>
  <c r="D14" i="10"/>
  <c r="F13" i="10"/>
  <c r="E13" i="10"/>
  <c r="D13" i="10"/>
  <c r="F12" i="10"/>
  <c r="E12" i="10"/>
  <c r="D12" i="10"/>
  <c r="F96" i="9"/>
  <c r="E96" i="9"/>
  <c r="D96" i="9"/>
  <c r="C96" i="9"/>
  <c r="F88" i="9"/>
  <c r="F99" i="9" s="1"/>
  <c r="E88" i="9"/>
  <c r="E99" i="9" s="1"/>
  <c r="D88" i="9"/>
  <c r="D99" i="9" s="1"/>
  <c r="C88" i="9"/>
  <c r="C99" i="9" s="1"/>
  <c r="G81" i="9"/>
  <c r="F81" i="9"/>
  <c r="E81" i="9"/>
  <c r="D81" i="9"/>
  <c r="G71" i="9"/>
  <c r="F71" i="9"/>
  <c r="E71" i="9"/>
  <c r="D71" i="9"/>
  <c r="G67" i="9"/>
  <c r="F67" i="9"/>
  <c r="E67" i="9"/>
  <c r="D67" i="9"/>
  <c r="G66" i="9"/>
  <c r="G65" i="9" s="1"/>
  <c r="F66" i="9"/>
  <c r="E66" i="9"/>
  <c r="D66" i="9"/>
  <c r="F65" i="9"/>
  <c r="E65" i="9"/>
  <c r="D65" i="9"/>
  <c r="G63" i="9"/>
  <c r="F63" i="9"/>
  <c r="E63" i="9"/>
  <c r="D63" i="9"/>
  <c r="D35" i="9" s="1"/>
  <c r="D12" i="9" s="1"/>
  <c r="G61" i="9"/>
  <c r="G46" i="9" s="1"/>
  <c r="G35" i="9" s="1"/>
  <c r="G12" i="9" s="1"/>
  <c r="F61" i="9"/>
  <c r="E61" i="9"/>
  <c r="G57" i="9"/>
  <c r="F57" i="9"/>
  <c r="E57" i="9"/>
  <c r="D57" i="9"/>
  <c r="G51" i="9"/>
  <c r="F51" i="9"/>
  <c r="E51" i="9"/>
  <c r="D51" i="9"/>
  <c r="G47" i="9"/>
  <c r="F47" i="9"/>
  <c r="E47" i="9"/>
  <c r="D47" i="9"/>
  <c r="F46" i="9"/>
  <c r="E46" i="9"/>
  <c r="D46" i="9"/>
  <c r="G44" i="9"/>
  <c r="F44" i="9"/>
  <c r="E44" i="9"/>
  <c r="D44" i="9"/>
  <c r="G40" i="9"/>
  <c r="F40" i="9"/>
  <c r="E40" i="9"/>
  <c r="D40" i="9"/>
  <c r="G37" i="9"/>
  <c r="F37" i="9"/>
  <c r="E37" i="9"/>
  <c r="D37" i="9"/>
  <c r="G36" i="9"/>
  <c r="F36" i="9"/>
  <c r="F35" i="9" s="1"/>
  <c r="E36" i="9"/>
  <c r="D36" i="9"/>
  <c r="E35" i="9"/>
  <c r="G29" i="9"/>
  <c r="F29" i="9"/>
  <c r="E29" i="9"/>
  <c r="D29" i="9"/>
  <c r="G28" i="9"/>
  <c r="F28" i="9"/>
  <c r="E28" i="9"/>
  <c r="D28" i="9"/>
  <c r="G23" i="9"/>
  <c r="F23" i="9"/>
  <c r="E23" i="9"/>
  <c r="D23" i="9"/>
  <c r="G20" i="9"/>
  <c r="F20" i="9"/>
  <c r="E20" i="9"/>
  <c r="D20" i="9"/>
  <c r="G17" i="9"/>
  <c r="F17" i="9"/>
  <c r="E17" i="9"/>
  <c r="D17" i="9"/>
  <c r="G15" i="9"/>
  <c r="F15" i="9"/>
  <c r="E15" i="9"/>
  <c r="D15" i="9"/>
  <c r="G14" i="9"/>
  <c r="F14" i="9"/>
  <c r="F13" i="9" s="1"/>
  <c r="E14" i="9"/>
  <c r="D14" i="9"/>
  <c r="G13" i="9"/>
  <c r="E13" i="9"/>
  <c r="D13" i="9"/>
  <c r="E12" i="9"/>
  <c r="F162" i="8"/>
  <c r="E162" i="8"/>
  <c r="D162" i="8"/>
  <c r="C162" i="8"/>
  <c r="F153" i="8"/>
  <c r="F166" i="8" s="1"/>
  <c r="E153" i="8"/>
  <c r="E166" i="8" s="1"/>
  <c r="D153" i="8"/>
  <c r="D166" i="8" s="1"/>
  <c r="C153" i="8"/>
  <c r="C166" i="8" s="1"/>
  <c r="G147" i="8"/>
  <c r="F147" i="8"/>
  <c r="E147" i="8"/>
  <c r="D147" i="8"/>
  <c r="G141" i="8"/>
  <c r="F141" i="8"/>
  <c r="E141" i="8"/>
  <c r="D141" i="8"/>
  <c r="G135" i="8"/>
  <c r="F135" i="8"/>
  <c r="E135" i="8"/>
  <c r="D135" i="8"/>
  <c r="G131" i="8"/>
  <c r="F131" i="8"/>
  <c r="E131" i="8"/>
  <c r="D131" i="8"/>
  <c r="G127" i="8"/>
  <c r="F127" i="8"/>
  <c r="E127" i="8"/>
  <c r="D127" i="8"/>
  <c r="G125" i="8"/>
  <c r="F125" i="8"/>
  <c r="E125" i="8"/>
  <c r="D125" i="8"/>
  <c r="G121" i="8"/>
  <c r="F121" i="8"/>
  <c r="E121" i="8"/>
  <c r="D121" i="8"/>
  <c r="G118" i="8"/>
  <c r="F118" i="8"/>
  <c r="E118" i="8"/>
  <c r="D118" i="8"/>
  <c r="G116" i="8"/>
  <c r="F116" i="8"/>
  <c r="E116" i="8"/>
  <c r="D116" i="8"/>
  <c r="G110" i="8"/>
  <c r="F110" i="8"/>
  <c r="E110" i="8"/>
  <c r="D110" i="8"/>
  <c r="D105" i="8" s="1"/>
  <c r="G108" i="8"/>
  <c r="F108" i="8"/>
  <c r="E108" i="8"/>
  <c r="D108" i="8"/>
  <c r="G106" i="8"/>
  <c r="F106" i="8"/>
  <c r="E106" i="8"/>
  <c r="D106" i="8"/>
  <c r="G105" i="8"/>
  <c r="G100" i="8" s="1"/>
  <c r="F105" i="8"/>
  <c r="E105" i="8"/>
  <c r="G102" i="8"/>
  <c r="F102" i="8"/>
  <c r="E102" i="8"/>
  <c r="D102" i="8"/>
  <c r="G101" i="8"/>
  <c r="F101" i="8"/>
  <c r="E101" i="8"/>
  <c r="D101" i="8"/>
  <c r="E100" i="8"/>
  <c r="G98" i="8"/>
  <c r="F98" i="8"/>
  <c r="E98" i="8"/>
  <c r="D98" i="8"/>
  <c r="G87" i="8"/>
  <c r="F87" i="8"/>
  <c r="F86" i="8" s="1"/>
  <c r="F85" i="8" s="1"/>
  <c r="E87" i="8"/>
  <c r="D87" i="8"/>
  <c r="G86" i="8"/>
  <c r="G85" i="8" s="1"/>
  <c r="E86" i="8"/>
  <c r="E85" i="8" s="1"/>
  <c r="D86" i="8"/>
  <c r="D85" i="8"/>
  <c r="G75" i="8"/>
  <c r="F75" i="8"/>
  <c r="E75" i="8"/>
  <c r="E74" i="8" s="1"/>
  <c r="E73" i="8" s="1"/>
  <c r="D75" i="8"/>
  <c r="D74" i="8" s="1"/>
  <c r="D73" i="8" s="1"/>
  <c r="G74" i="8"/>
  <c r="F74" i="8"/>
  <c r="F73" i="8" s="1"/>
  <c r="G73" i="8"/>
  <c r="G71" i="8"/>
  <c r="F71" i="8"/>
  <c r="E71" i="8"/>
  <c r="D71" i="8"/>
  <c r="G68" i="8"/>
  <c r="F68" i="8"/>
  <c r="E68" i="8"/>
  <c r="D68" i="8"/>
  <c r="G65" i="8"/>
  <c r="F65" i="8"/>
  <c r="E65" i="8"/>
  <c r="D65" i="8"/>
  <c r="G59" i="8"/>
  <c r="F59" i="8"/>
  <c r="E59" i="8"/>
  <c r="D59" i="8"/>
  <c r="G50" i="8"/>
  <c r="F50" i="8"/>
  <c r="E50" i="8"/>
  <c r="D50" i="8"/>
  <c r="G33" i="8"/>
  <c r="G32" i="8" s="1"/>
  <c r="G31" i="8" s="1"/>
  <c r="F33" i="8"/>
  <c r="F32" i="8" s="1"/>
  <c r="F31" i="8" s="1"/>
  <c r="E33" i="8"/>
  <c r="D33" i="8"/>
  <c r="D32" i="8" s="1"/>
  <c r="D31" i="8" s="1"/>
  <c r="E32" i="8"/>
  <c r="E31" i="8"/>
  <c r="G24" i="8"/>
  <c r="F24" i="8"/>
  <c r="E24" i="8"/>
  <c r="D24" i="8"/>
  <c r="G21" i="8"/>
  <c r="F21" i="8"/>
  <c r="F20" i="8" s="1"/>
  <c r="E21" i="8"/>
  <c r="E20" i="8" s="1"/>
  <c r="D21" i="8"/>
  <c r="G20" i="8"/>
  <c r="D20" i="8"/>
  <c r="G14" i="8"/>
  <c r="F14" i="8"/>
  <c r="F13" i="8" s="1"/>
  <c r="E14" i="8"/>
  <c r="E13" i="8" s="1"/>
  <c r="D14" i="8"/>
  <c r="D13" i="8" s="1"/>
  <c r="D12" i="8" s="1"/>
  <c r="G13" i="8"/>
  <c r="G12" i="8"/>
  <c r="G11" i="8" s="1"/>
  <c r="F80" i="7"/>
  <c r="E80" i="7"/>
  <c r="D80" i="7"/>
  <c r="C80" i="7"/>
  <c r="F75" i="7"/>
  <c r="F82" i="7" s="1"/>
  <c r="E75" i="7"/>
  <c r="E82" i="7" s="1"/>
  <c r="D75" i="7"/>
  <c r="D82" i="7" s="1"/>
  <c r="C75" i="7"/>
  <c r="C82" i="7" s="1"/>
  <c r="G68" i="7"/>
  <c r="F68" i="7"/>
  <c r="E68" i="7"/>
  <c r="D68" i="7"/>
  <c r="G65" i="7"/>
  <c r="F65" i="7"/>
  <c r="E65" i="7"/>
  <c r="D65" i="7"/>
  <c r="G63" i="7"/>
  <c r="F63" i="7"/>
  <c r="E63" i="7"/>
  <c r="D63" i="7"/>
  <c r="G62" i="7"/>
  <c r="F62" i="7"/>
  <c r="E62" i="7"/>
  <c r="D62" i="7"/>
  <c r="G60" i="7"/>
  <c r="F60" i="7"/>
  <c r="E60" i="7"/>
  <c r="D60" i="7"/>
  <c r="G59" i="7"/>
  <c r="F59" i="7"/>
  <c r="F58" i="7" s="1"/>
  <c r="E59" i="7"/>
  <c r="D59" i="7"/>
  <c r="G58" i="7"/>
  <c r="E58" i="7"/>
  <c r="D58" i="7"/>
  <c r="G56" i="7"/>
  <c r="F56" i="7"/>
  <c r="E56" i="7"/>
  <c r="D56" i="7"/>
  <c r="G55" i="7"/>
  <c r="F55" i="7"/>
  <c r="E55" i="7"/>
  <c r="D55" i="7"/>
  <c r="G53" i="7"/>
  <c r="F53" i="7"/>
  <c r="E53" i="7"/>
  <c r="D53" i="7"/>
  <c r="G49" i="7"/>
  <c r="F49" i="7"/>
  <c r="F48" i="7" s="1"/>
  <c r="F47" i="7" s="1"/>
  <c r="E49" i="7"/>
  <c r="D49" i="7"/>
  <c r="G48" i="7"/>
  <c r="E48" i="7"/>
  <c r="D48" i="7"/>
  <c r="G47" i="7"/>
  <c r="E47" i="7"/>
  <c r="D47" i="7"/>
  <c r="G37" i="7"/>
  <c r="F37" i="7"/>
  <c r="F36" i="7" s="1"/>
  <c r="E37" i="7"/>
  <c r="D37" i="7"/>
  <c r="G36" i="7"/>
  <c r="E36" i="7"/>
  <c r="D36" i="7"/>
  <c r="G34" i="7"/>
  <c r="F34" i="7"/>
  <c r="F32" i="7" s="1"/>
  <c r="E34" i="7"/>
  <c r="D34" i="7"/>
  <c r="G32" i="7"/>
  <c r="E32" i="7"/>
  <c r="D32" i="7"/>
  <c r="G29" i="7"/>
  <c r="F29" i="7"/>
  <c r="E29" i="7"/>
  <c r="D29" i="7"/>
  <c r="G24" i="7"/>
  <c r="F24" i="7"/>
  <c r="E24" i="7"/>
  <c r="D24" i="7"/>
  <c r="G15" i="7"/>
  <c r="F15" i="7"/>
  <c r="F14" i="7" s="1"/>
  <c r="E15" i="7"/>
  <c r="D15" i="7"/>
  <c r="G14" i="7"/>
  <c r="E14" i="7"/>
  <c r="D14" i="7"/>
  <c r="G13" i="7"/>
  <c r="E13" i="7"/>
  <c r="D13" i="7"/>
  <c r="G12" i="7"/>
  <c r="E12" i="7"/>
  <c r="D12" i="7"/>
  <c r="F33" i="6"/>
  <c r="F36" i="6" s="1"/>
  <c r="E33" i="6"/>
  <c r="E36" i="6" s="1"/>
  <c r="D33" i="6"/>
  <c r="D36" i="6" s="1"/>
  <c r="C33" i="6"/>
  <c r="C36" i="6" s="1"/>
  <c r="G28" i="6"/>
  <c r="F28" i="6"/>
  <c r="E28" i="6"/>
  <c r="D28" i="6"/>
  <c r="G25" i="6"/>
  <c r="F25" i="6"/>
  <c r="E25" i="6"/>
  <c r="D25" i="6"/>
  <c r="G22" i="6"/>
  <c r="F22" i="6"/>
  <c r="E22" i="6"/>
  <c r="D22" i="6"/>
  <c r="G20" i="6"/>
  <c r="F20" i="6"/>
  <c r="E20" i="6"/>
  <c r="D20" i="6"/>
  <c r="G15" i="6"/>
  <c r="F15" i="6"/>
  <c r="E15" i="6"/>
  <c r="D15" i="6"/>
  <c r="G14" i="6"/>
  <c r="F14" i="6"/>
  <c r="F13" i="6" s="1"/>
  <c r="F12" i="6" s="1"/>
  <c r="E14" i="6"/>
  <c r="D14" i="6"/>
  <c r="G13" i="6"/>
  <c r="E13" i="6"/>
  <c r="D13" i="6"/>
  <c r="G12" i="6"/>
  <c r="E12" i="6"/>
  <c r="D12" i="6"/>
  <c r="F67" i="5"/>
  <c r="E67" i="5"/>
  <c r="D67" i="5"/>
  <c r="C67" i="5"/>
  <c r="F63" i="5"/>
  <c r="F69" i="5" s="1"/>
  <c r="E63" i="5"/>
  <c r="E69" i="5" s="1"/>
  <c r="D63" i="5"/>
  <c r="D69" i="5" s="1"/>
  <c r="C63" i="5"/>
  <c r="C69" i="5" s="1"/>
  <c r="G53" i="5"/>
  <c r="F53" i="5"/>
  <c r="E53" i="5"/>
  <c r="D53" i="5"/>
  <c r="G49" i="5"/>
  <c r="F49" i="5"/>
  <c r="F48" i="5" s="1"/>
  <c r="E49" i="5"/>
  <c r="D49" i="5"/>
  <c r="G48" i="5"/>
  <c r="E48" i="5"/>
  <c r="D48" i="5"/>
  <c r="G41" i="5"/>
  <c r="F41" i="5"/>
  <c r="E41" i="5"/>
  <c r="D41" i="5"/>
  <c r="G36" i="5"/>
  <c r="F36" i="5"/>
  <c r="E36" i="5"/>
  <c r="D36" i="5"/>
  <c r="G30" i="5"/>
  <c r="F30" i="5"/>
  <c r="F29" i="5" s="1"/>
  <c r="E30" i="5"/>
  <c r="D30" i="5"/>
  <c r="G29" i="5"/>
  <c r="E29" i="5"/>
  <c r="D29" i="5"/>
  <c r="G27" i="5"/>
  <c r="F27" i="5"/>
  <c r="F26" i="5" s="1"/>
  <c r="E27" i="5"/>
  <c r="D27" i="5"/>
  <c r="G26" i="5"/>
  <c r="E26" i="5"/>
  <c r="D26" i="5"/>
  <c r="G25" i="5"/>
  <c r="E25" i="5"/>
  <c r="D25" i="5"/>
  <c r="G22" i="5"/>
  <c r="F22" i="5"/>
  <c r="E22" i="5"/>
  <c r="D22" i="5"/>
  <c r="G21" i="5"/>
  <c r="F21" i="5"/>
  <c r="E21" i="5"/>
  <c r="D21" i="5"/>
  <c r="G18" i="5"/>
  <c r="F18" i="5"/>
  <c r="E18" i="5"/>
  <c r="D18" i="5"/>
  <c r="G15" i="5"/>
  <c r="F15" i="5"/>
  <c r="E15" i="5"/>
  <c r="D15" i="5"/>
  <c r="G14" i="5"/>
  <c r="F14" i="5"/>
  <c r="F13" i="5" s="1"/>
  <c r="E14" i="5"/>
  <c r="D14" i="5"/>
  <c r="G13" i="5"/>
  <c r="E13" i="5"/>
  <c r="D13" i="5"/>
  <c r="G12" i="5"/>
  <c r="E12" i="5"/>
  <c r="D12" i="5"/>
  <c r="F110" i="4"/>
  <c r="F118" i="4" s="1"/>
  <c r="E110" i="4"/>
  <c r="E118" i="4" s="1"/>
  <c r="D110" i="4"/>
  <c r="D118" i="4" s="1"/>
  <c r="C110" i="4"/>
  <c r="C118" i="4" s="1"/>
  <c r="G104" i="4"/>
  <c r="F104" i="4"/>
  <c r="E104" i="4"/>
  <c r="D104" i="4"/>
  <c r="G103" i="4"/>
  <c r="F103" i="4"/>
  <c r="E103" i="4"/>
  <c r="D103" i="4"/>
  <c r="G99" i="4"/>
  <c r="F99" i="4"/>
  <c r="E99" i="4"/>
  <c r="D99" i="4"/>
  <c r="G95" i="4"/>
  <c r="F95" i="4"/>
  <c r="E95" i="4"/>
  <c r="D95" i="4"/>
  <c r="G89" i="4"/>
  <c r="F89" i="4"/>
  <c r="E89" i="4"/>
  <c r="D89" i="4"/>
  <c r="G86" i="4"/>
  <c r="F86" i="4"/>
  <c r="E86" i="4"/>
  <c r="D86" i="4"/>
  <c r="G81" i="4"/>
  <c r="F81" i="4"/>
  <c r="E81" i="4"/>
  <c r="D81" i="4"/>
  <c r="G78" i="4"/>
  <c r="F78" i="4"/>
  <c r="E78" i="4"/>
  <c r="D78" i="4"/>
  <c r="G73" i="4"/>
  <c r="F73" i="4"/>
  <c r="E73" i="4"/>
  <c r="D73" i="4"/>
  <c r="G72" i="4"/>
  <c r="F72" i="4"/>
  <c r="F71" i="4" s="1"/>
  <c r="E72" i="4"/>
  <c r="D72" i="4"/>
  <c r="G71" i="4"/>
  <c r="E71" i="4"/>
  <c r="D71" i="4"/>
  <c r="G67" i="4"/>
  <c r="F67" i="4"/>
  <c r="E67" i="4"/>
  <c r="D67" i="4"/>
  <c r="G63" i="4"/>
  <c r="F63" i="4"/>
  <c r="E63" i="4"/>
  <c r="D63" i="4"/>
  <c r="G59" i="4"/>
  <c r="F59" i="4"/>
  <c r="E59" i="4"/>
  <c r="D59" i="4"/>
  <c r="G54" i="4"/>
  <c r="F54" i="4"/>
  <c r="E54" i="4"/>
  <c r="D54" i="4"/>
  <c r="G50" i="4"/>
  <c r="F50" i="4"/>
  <c r="E50" i="4"/>
  <c r="D50" i="4"/>
  <c r="G46" i="4"/>
  <c r="F46" i="4"/>
  <c r="E46" i="4"/>
  <c r="D46" i="4"/>
  <c r="G41" i="4"/>
  <c r="F41" i="4"/>
  <c r="F40" i="4" s="1"/>
  <c r="E41" i="4"/>
  <c r="D41" i="4"/>
  <c r="G40" i="4"/>
  <c r="E40" i="4"/>
  <c r="D40" i="4"/>
  <c r="G37" i="4"/>
  <c r="F37" i="4"/>
  <c r="E37" i="4"/>
  <c r="D37" i="4"/>
  <c r="G35" i="4"/>
  <c r="F35" i="4"/>
  <c r="E35" i="4"/>
  <c r="D35" i="4"/>
  <c r="G34" i="4"/>
  <c r="F34" i="4"/>
  <c r="E34" i="4"/>
  <c r="D34" i="4"/>
  <c r="G31" i="4"/>
  <c r="F31" i="4"/>
  <c r="E31" i="4"/>
  <c r="D31" i="4"/>
  <c r="G26" i="4"/>
  <c r="F26" i="4"/>
  <c r="E26" i="4"/>
  <c r="D26" i="4"/>
  <c r="G23" i="4"/>
  <c r="F23" i="4"/>
  <c r="E23" i="4"/>
  <c r="D23" i="4"/>
  <c r="G22" i="4"/>
  <c r="F22" i="4"/>
  <c r="E22" i="4"/>
  <c r="D22" i="4"/>
  <c r="G20" i="4"/>
  <c r="F20" i="4"/>
  <c r="E20" i="4"/>
  <c r="D20" i="4"/>
  <c r="G15" i="4"/>
  <c r="F15" i="4"/>
  <c r="F14" i="4" s="1"/>
  <c r="E15" i="4"/>
  <c r="D15" i="4"/>
  <c r="G14" i="4"/>
  <c r="E14" i="4"/>
  <c r="D14" i="4"/>
  <c r="G13" i="4"/>
  <c r="E13" i="4"/>
  <c r="D13" i="4"/>
  <c r="G12" i="4"/>
  <c r="E12" i="4"/>
  <c r="D12" i="4"/>
  <c r="F79" i="3"/>
  <c r="F85" i="3" s="1"/>
  <c r="E79" i="3"/>
  <c r="E85" i="3" s="1"/>
  <c r="D79" i="3"/>
  <c r="D85" i="3" s="1"/>
  <c r="C79" i="3"/>
  <c r="C85" i="3" s="1"/>
  <c r="G73" i="3"/>
  <c r="F73" i="3"/>
  <c r="F72" i="3" s="1"/>
  <c r="F71" i="3" s="1"/>
  <c r="E73" i="3"/>
  <c r="D73" i="3"/>
  <c r="G72" i="3"/>
  <c r="E72" i="3"/>
  <c r="D72" i="3"/>
  <c r="G71" i="3"/>
  <c r="E71" i="3"/>
  <c r="D71" i="3"/>
  <c r="G68" i="3"/>
  <c r="F68" i="3"/>
  <c r="E68" i="3"/>
  <c r="D68" i="3"/>
  <c r="G66" i="3"/>
  <c r="F66" i="3"/>
  <c r="E66" i="3"/>
  <c r="D66" i="3"/>
  <c r="G63" i="3"/>
  <c r="F63" i="3"/>
  <c r="E63" i="3"/>
  <c r="D63" i="3"/>
  <c r="G61" i="3"/>
  <c r="F61" i="3"/>
  <c r="F59" i="3" s="1"/>
  <c r="E61" i="3"/>
  <c r="D61" i="3"/>
  <c r="G59" i="3"/>
  <c r="E59" i="3"/>
  <c r="D59" i="3"/>
  <c r="G54" i="3"/>
  <c r="F54" i="3"/>
  <c r="E54" i="3"/>
  <c r="D54" i="3"/>
  <c r="G47" i="3"/>
  <c r="F47" i="3"/>
  <c r="E47" i="3"/>
  <c r="D47" i="3"/>
  <c r="G46" i="3"/>
  <c r="F46" i="3"/>
  <c r="E46" i="3"/>
  <c r="D46" i="3"/>
  <c r="G40" i="3"/>
  <c r="F40" i="3"/>
  <c r="E40" i="3"/>
  <c r="D40" i="3"/>
  <c r="G39" i="3"/>
  <c r="F39" i="3"/>
  <c r="E39" i="3"/>
  <c r="D39" i="3"/>
  <c r="G37" i="3"/>
  <c r="F37" i="3"/>
  <c r="E37" i="3"/>
  <c r="D37" i="3"/>
  <c r="G35" i="3"/>
  <c r="F35" i="3"/>
  <c r="E35" i="3"/>
  <c r="D35" i="3"/>
  <c r="G30" i="3"/>
  <c r="F30" i="3"/>
  <c r="E30" i="3"/>
  <c r="D30" i="3"/>
  <c r="G28" i="3"/>
  <c r="F28" i="3"/>
  <c r="E28" i="3"/>
  <c r="D28" i="3"/>
  <c r="G24" i="3"/>
  <c r="F24" i="3"/>
  <c r="E24" i="3"/>
  <c r="D24" i="3"/>
  <c r="G20" i="3"/>
  <c r="F20" i="3"/>
  <c r="E20" i="3"/>
  <c r="D20" i="3"/>
  <c r="G15" i="3"/>
  <c r="F15" i="3"/>
  <c r="F14" i="3" s="1"/>
  <c r="E15" i="3"/>
  <c r="D15" i="3"/>
  <c r="G14" i="3"/>
  <c r="E14" i="3"/>
  <c r="D14" i="3"/>
  <c r="G13" i="3"/>
  <c r="E13" i="3"/>
  <c r="D13" i="3"/>
  <c r="G12" i="3"/>
  <c r="E12" i="3"/>
  <c r="D12" i="3"/>
  <c r="F60" i="2"/>
  <c r="F66" i="2" s="1"/>
  <c r="E60" i="2"/>
  <c r="E66" i="2" s="1"/>
  <c r="D60" i="2"/>
  <c r="D66" i="2" s="1"/>
  <c r="C60" i="2"/>
  <c r="C66" i="2" s="1"/>
  <c r="G53" i="2"/>
  <c r="F53" i="2"/>
  <c r="E53" i="2"/>
  <c r="D53" i="2"/>
  <c r="G50" i="2"/>
  <c r="F50" i="2"/>
  <c r="F49" i="2" s="1"/>
  <c r="F48" i="2" s="1"/>
  <c r="E50" i="2"/>
  <c r="D50" i="2"/>
  <c r="G49" i="2"/>
  <c r="E49" i="2"/>
  <c r="D49" i="2"/>
  <c r="G48" i="2"/>
  <c r="E48" i="2"/>
  <c r="D48" i="2"/>
  <c r="G45" i="2"/>
  <c r="F45" i="2"/>
  <c r="E45" i="2"/>
  <c r="D45" i="2"/>
  <c r="G40" i="2"/>
  <c r="F40" i="2"/>
  <c r="F39" i="2" s="1"/>
  <c r="F38" i="2" s="1"/>
  <c r="E40" i="2"/>
  <c r="D40" i="2"/>
  <c r="G39" i="2"/>
  <c r="E39" i="2"/>
  <c r="D39" i="2"/>
  <c r="G38" i="2"/>
  <c r="E38" i="2"/>
  <c r="D38" i="2"/>
  <c r="G35" i="2"/>
  <c r="F35" i="2"/>
  <c r="E35" i="2"/>
  <c r="D35" i="2"/>
  <c r="G24" i="2"/>
  <c r="F24" i="2"/>
  <c r="F23" i="2" s="1"/>
  <c r="E24" i="2"/>
  <c r="D24" i="2"/>
  <c r="G23" i="2"/>
  <c r="E23" i="2"/>
  <c r="D23" i="2"/>
  <c r="G21" i="2"/>
  <c r="F21" i="2"/>
  <c r="E21" i="2"/>
  <c r="D21" i="2"/>
  <c r="G18" i="2"/>
  <c r="F18" i="2"/>
  <c r="E18" i="2"/>
  <c r="D18" i="2"/>
  <c r="G16" i="2"/>
  <c r="F16" i="2"/>
  <c r="F14" i="2" s="1"/>
  <c r="E16" i="2"/>
  <c r="D16" i="2"/>
  <c r="G14" i="2"/>
  <c r="E14" i="2"/>
  <c r="D14" i="2"/>
  <c r="G13" i="2"/>
  <c r="E13" i="2"/>
  <c r="D13" i="2"/>
  <c r="G12" i="2"/>
  <c r="E12" i="2"/>
  <c r="D12" i="2"/>
  <c r="C50" i="1"/>
  <c r="F47" i="1"/>
  <c r="F50" i="1" s="1"/>
  <c r="E47" i="1"/>
  <c r="E50" i="1" s="1"/>
  <c r="D47" i="1"/>
  <c r="D50" i="1" s="1"/>
  <c r="G40" i="1"/>
  <c r="F40" i="1"/>
  <c r="E40" i="1"/>
  <c r="D40" i="1"/>
  <c r="G39" i="1"/>
  <c r="F39" i="1"/>
  <c r="E39" i="1"/>
  <c r="E38" i="1" s="1"/>
  <c r="D39" i="1"/>
  <c r="G38" i="1"/>
  <c r="F38" i="1"/>
  <c r="D38" i="1"/>
  <c r="G36" i="1"/>
  <c r="F36" i="1"/>
  <c r="E36" i="1"/>
  <c r="D36" i="1"/>
  <c r="G34" i="1"/>
  <c r="F34" i="1"/>
  <c r="E34" i="1"/>
  <c r="E33" i="1" s="1"/>
  <c r="D34" i="1"/>
  <c r="G33" i="1"/>
  <c r="F33" i="1"/>
  <c r="D33" i="1"/>
  <c r="G30" i="1"/>
  <c r="F30" i="1"/>
  <c r="E30" i="1"/>
  <c r="D30" i="1"/>
  <c r="G29" i="1"/>
  <c r="F29" i="1"/>
  <c r="E29" i="1"/>
  <c r="D29" i="1"/>
  <c r="G24" i="1"/>
  <c r="F24" i="1"/>
  <c r="E24" i="1"/>
  <c r="E23" i="1" s="1"/>
  <c r="E22" i="1" s="1"/>
  <c r="D24" i="1"/>
  <c r="G23" i="1"/>
  <c r="F23" i="1"/>
  <c r="D23" i="1"/>
  <c r="G22" i="1"/>
  <c r="F22" i="1"/>
  <c r="D22" i="1"/>
  <c r="G19" i="1"/>
  <c r="F19" i="1"/>
  <c r="E19" i="1"/>
  <c r="D19" i="1"/>
  <c r="G15" i="1"/>
  <c r="F15" i="1"/>
  <c r="E15" i="1"/>
  <c r="D15" i="1"/>
  <c r="G13" i="1"/>
  <c r="F13" i="1"/>
  <c r="E13" i="1"/>
  <c r="E12" i="1" s="1"/>
  <c r="D13" i="1"/>
  <c r="G12" i="1"/>
  <c r="F12" i="1"/>
  <c r="D12" i="1"/>
  <c r="G11" i="1"/>
  <c r="F11" i="1"/>
  <c r="D11" i="1"/>
  <c r="D11" i="8" l="1"/>
  <c r="D100" i="8"/>
  <c r="E12" i="8"/>
  <c r="E11" i="8" s="1"/>
  <c r="F12" i="8"/>
  <c r="F100" i="8"/>
  <c r="F13" i="3"/>
  <c r="F12" i="3" s="1"/>
  <c r="F25" i="5"/>
  <c r="G115" i="10"/>
  <c r="G12" i="10"/>
  <c r="F13" i="2"/>
  <c r="F12" i="2" s="1"/>
  <c r="F13" i="7"/>
  <c r="F12" i="7" s="1"/>
  <c r="F11" i="8"/>
  <c r="G68" i="11"/>
  <c r="G12" i="11" s="1"/>
  <c r="E11" i="1"/>
  <c r="F13" i="4"/>
  <c r="F12" i="4" s="1"/>
  <c r="F12" i="5"/>
  <c r="F12" i="9"/>
</calcChain>
</file>

<file path=xl/sharedStrings.xml><?xml version="1.0" encoding="utf-8"?>
<sst xmlns="http://schemas.openxmlformats.org/spreadsheetml/2006/main" count="2772" uniqueCount="1544">
  <si>
    <t>Šiaulių miesto savivaldybės administracijos direktoriaus ir</t>
  </si>
  <si>
    <t xml:space="preserve">Šiaulių miesto savivaldybės administracijos </t>
  </si>
  <si>
    <t>2019 metų veiklos ataskaitos 1 priedas</t>
  </si>
  <si>
    <t xml:space="preserve">ŠIAULIŲ MIESTO SAVIVALDYBĖS 2019-2021 METŲ STRATEGINIO VEIKLOS PLANO </t>
  </si>
  <si>
    <t>01 PROGRAMOS 2019 METŲ ĮGYVENDINIMO ATASKAITA</t>
  </si>
  <si>
    <t>Kodas</t>
  </si>
  <si>
    <t>Priemonės pavadinimas</t>
  </si>
  <si>
    <t>Finansavimo šaltinis</t>
  </si>
  <si>
    <t>Asignavimai (tūkst. Eur)</t>
  </si>
  <si>
    <t>Ataskaitinio laikotarpio asignavimų likutis nuo patikslintų asignavimų</t>
  </si>
  <si>
    <t>Vertinimo kriterijus</t>
  </si>
  <si>
    <t>Informacija apie pasiektus rezultatus</t>
  </si>
  <si>
    <t>Paaiškinimas dėl nukrypimo nuo vertinimo kriterijaus plano</t>
  </si>
  <si>
    <t>2019 m. planas</t>
  </si>
  <si>
    <t>2019 m. patikslintas planas</t>
  </si>
  <si>
    <t>2019 m. panaudotos lėšos (kasinės išlaidos)</t>
  </si>
  <si>
    <t>Pavadinimas, mato vnt.</t>
  </si>
  <si>
    <t>Planuotos reikšmės</t>
  </si>
  <si>
    <t>Faktinės reikšmės</t>
  </si>
  <si>
    <t>01.</t>
  </si>
  <si>
    <t>Urbanistinės plėtros programa</t>
  </si>
  <si>
    <t>01.01.</t>
  </si>
  <si>
    <t>Užtikrinti kompleksišką miesto planavimą ir žemės sklypų formavimą</t>
  </si>
  <si>
    <t>01.01.01.</t>
  </si>
  <si>
    <t>Rengti teritorijų planavimo dokumentus, padedančius užtikrinti darniąją miesto plėtrą</t>
  </si>
  <si>
    <t>01.01.01.01</t>
  </si>
  <si>
    <t>Koreguoti Šiaulių miesto savivaldybės teritorijos bendrąjį planą</t>
  </si>
  <si>
    <t>1.01.</t>
  </si>
  <si>
    <t>Koreguotų bendrojo plano dalių</t>
  </si>
  <si>
    <t>vnt</t>
  </si>
  <si>
    <t>Parengtas Bendrojo plano koregavimas (aukštingumo pakeitimas LEZ teritorijoje)</t>
  </si>
  <si>
    <t>01.01.01.02</t>
  </si>
  <si>
    <t>Organizuoti detaliųjų ir specialiųjų planų parengimą</t>
  </si>
  <si>
    <t>Parengtų detaliųjų ir specialiųjų planų</t>
  </si>
  <si>
    <t>Parengtas Šiaulių miesto paviršinių nuotekų tvarkymo infrastruktūros plėtros specialusis planas</t>
  </si>
  <si>
    <t xml:space="preserve"> Planuota parengti Teritorijos tarp Gegužių, Architektų, Gardino ir Aido gatvių Šiauliuose detalųjį planą, sutartis pasirašyta tik 2019-06-01, pabaiga numatoma 2020 m.</t>
  </si>
  <si>
    <t>1.10.</t>
  </si>
  <si>
    <t>01.01.01.03</t>
  </si>
  <si>
    <t>Įgyvendinti  žemės paėmimo visuomenės poreikiams procedūrą</t>
  </si>
  <si>
    <t>Paimtų visuomenės poreikiams sklypų skaičius</t>
  </si>
  <si>
    <t>Vyksta Aukštabalio gatvės tęsinio paėmimo visuomenės poreikiams procedūros. Dėl jo baigties neprognozuojame, nes vyksta teisminiai ginčai su E. Danilovu.</t>
  </si>
  <si>
    <t>01.01.01.04</t>
  </si>
  <si>
    <t>Rengti žemėtvarkos planavimo dokumentus, žemės sklypų kadastrinius matavimus</t>
  </si>
  <si>
    <t>Parengta kadastrinių matavimų bylų, žemės sklypų pertvarkymo projektų</t>
  </si>
  <si>
    <t>Darbai atliekami pagal poreikį. Parengta kadastrinių matavimų bylų 393, iš jų 314 gatvių sklypai. Parengti 11 Žemės sklypų formavimo ir pertvarkymo projektai. Atlikti veiksmai Registrų centre (žemės sklypų, servitutų įregistravimas, kadastro duomenų keitimas ir kt)</t>
  </si>
  <si>
    <t>Darbai atliekami pagal poreikį, metų eigoje lėšos buvo perskirstomos pridedant papildomai šioje eilutėje. Pridėjus lėšų, atitinkamai buvo atlikta daugiau darbų</t>
  </si>
  <si>
    <t>01.02.</t>
  </si>
  <si>
    <t>Tobulinti miesto teigiamo architektūrinio ir vizualinio įvaizdžio kokybę</t>
  </si>
  <si>
    <t>01.02.01.</t>
  </si>
  <si>
    <t>Pagerinti miesto teigiamo architektūrinio ir vizualinio įvaizdžio kokybę</t>
  </si>
  <si>
    <t>01.02.01.01</t>
  </si>
  <si>
    <t>Formuoti miesto teigiamą architektūrinį ir vizualųjį įvaizdį</t>
  </si>
  <si>
    <t>Parengtų, įgyvendintų projektinių pasiūlymų, idėjos konkursų</t>
  </si>
  <si>
    <t>1) Pateikti pasiūlymai skulptūros "Skaitantis žmogus" restauravimui (restauruota skulptūra); 2) Įvyko konkursas„ Tautos laisvė", laimėtojas neparinktas; 3) Įvyko konkursas Pročiūnų žudynių vietos įamžinimas ir prieigų kompleksinis sutvarkymas ir „Pasaulio teisuolių skvero Vilniaus - Ežero gatvių sankirtoje ir prieigų kompleksinis sutvarkymas" projektų konkurso administravimas; 4) Pateikti pasiūlymai skulptūrų Stipruolis Nosys ir Nerimas restauravimui (restauruotos skulptūros)</t>
  </si>
  <si>
    <t>1) Įvykus konkursui nebuvo išrinktas "Tautos laisvė" nugalėtojas, toliau įyvendinimas netęsiamas, naujas konkursas numatomas 2020 m.; 2) Dėl užsitęsusių procedūrų "Pasaulio teisuolių skvero Vilniaus - Ežero gatvių sankirtoje ir prieigų kompleksinis sutvarkymas" įgyvendinimas persikelia į 2020 m. (rengiamas techninis projektas); 3) Dėl užsitęsusių procedūrų "Pročiūnų žudynių vietos įamžinimas ir prieigų kompleksinis sutvarkymas" įgyvendinimas (techninio projekto parengimas ir įgyvendinimas) numatomas 2020 m.</t>
  </si>
  <si>
    <t>Įsigyti puošybos elementai</t>
  </si>
  <si>
    <t>proc.</t>
  </si>
  <si>
    <t>Įsigyta puošybos elementų - kalėdinių žaislų ir girliandų (kitų miesto kalėdinių eglių ir medžių Prisikėlimo a. puošybai).</t>
  </si>
  <si>
    <t>Įrengtų atminimo lentų</t>
  </si>
  <si>
    <t>Įrengta atminimo lenta kunigui Jonui Borevičiui</t>
  </si>
  <si>
    <t>01.02.01.03</t>
  </si>
  <si>
    <t>Organizuoti architektūriniu, urbanistiniu, valstybiniu ar viešojo intereso požiūriu reikšmingų objektų planavimo ar projektavimo architektūrinius konkursus</t>
  </si>
  <si>
    <t>Suorganizuota architektūrinių konkursų</t>
  </si>
  <si>
    <t>Darbai atliekami pagal poreikį. Nebuvo poreikio organizuoti tokio pobūdžio konkursą.</t>
  </si>
  <si>
    <t>01.03.</t>
  </si>
  <si>
    <t>Išsaugoti nekilnojamąjį kultūros paveldą</t>
  </si>
  <si>
    <t>01.03.01.</t>
  </si>
  <si>
    <t>Organizuoti kultūros paveldo apsaugą</t>
  </si>
  <si>
    <t>01.03.01.03</t>
  </si>
  <si>
    <t>Vykdyti nekilnojamojo kultūros paveldo pažinimo sklaidą ir atgaivinimą</t>
  </si>
  <si>
    <t>Įgyvendinta nekilnojamojo kultūros paveldo pažinimo sklaidos ir atgaivinimo priemonių</t>
  </si>
  <si>
    <t>Įgyvendinta nekilnojamojo  kultūros paveldo pažinimo sklaida ir atgaivinimas t. y. suorganizuoti Europos paveldo dienų renginiai "Kultūros paveldas: pažink ir pramogauk"</t>
  </si>
  <si>
    <t>01.03.01.04</t>
  </si>
  <si>
    <t>Plėtoti kultūros paveldo apskaitą</t>
  </si>
  <si>
    <t>Įgyvendinta kultūros paveldo apskaitos priemonių</t>
  </si>
  <si>
    <t>Darbai atliekami pagal poreikį. Nebuvo gauta kultūros paveldo objektų valdytojų  prašymų dėl kultūros paveldo objektų vertingųjų savybių nustatymo.</t>
  </si>
  <si>
    <t>01.04.</t>
  </si>
  <si>
    <t>Tobulinti ir plėsti miesto geoinformacinę sistemą (GIS)</t>
  </si>
  <si>
    <t>01.04.01.</t>
  </si>
  <si>
    <t>Kokybiškai administruoti Šiaulių m. GIS duomenų bazę</t>
  </si>
  <si>
    <t>01.04.01.01</t>
  </si>
  <si>
    <t>Organizuoti miesto geografinės informacinės sistemos (GIS) priežiūrą, programinės įrangos atnaujinimą ir techninę priežiūrą</t>
  </si>
  <si>
    <t>Atnaujinta duomenų bazės programinės įrangos</t>
  </si>
  <si>
    <t>Nupirkta: 1) Programinės įrangos GeoMap 2019 atnaujinimas į GeoMap 2020. 2) GIS GeoMap 2019 atnaujinimas Į GIS GeoMap 2020 su AutoCad Map 3D metine prenumerata. 3) Esri programinės įrangos ArcGIS Server Workgroup Standard v.10.7 (iki 2 branduolių) serverio licencijos naujumo garantija ir metinis techninis aptarnavimas. Programinės įrangos licencijos diegimas, GIS duomenų migravimas ir atnaujinimas (pagrindo žemėlapiai, adresų geolokatorius), konsultacijos/mokymai iki 37 val. 4) Esri programinės įrangos ArcGIS for Destop Standard v.10.7 pirminės tinklinės licencijos naujumo garantija ir metinis techninis aptarnavimas. 5) Esri programinės įrangos ArcGIS for Destop Basic v.10.7 vardinės pirminės tinklinės licencijos naujumo garantija ir metinis techninis aptarnavimas. 6) Esri programinės įrangos ArcGIS for Destop Basic v.10.7 vardinės antrinės  licencijos naujumo garantija ir metinis techninis aptarnavimas.</t>
  </si>
  <si>
    <t>01.04.02.</t>
  </si>
  <si>
    <t>Atnaujinti vietinius geodezinius tinklus</t>
  </si>
  <si>
    <t>01.04.02.01</t>
  </si>
  <si>
    <t>Vykdyti Šiaulių miesto savivaldybės geodezijos ir kartografijos darbus</t>
  </si>
  <si>
    <t>Parengta topografinių planų</t>
  </si>
  <si>
    <t>Parengti 2 topografiniai planai: 1) Salduvės parko topografinis planas 5 ha; 2) Dainų parko teritorijos topografinio plano M1:500, jame papildomai pateikiant topografinio plano rengimo ribose esančių medžių taksacijos duomenis, parengimas, plotas 57,71 ha.</t>
  </si>
  <si>
    <t>Darbai atliekami pagal poreikį. Parengti tik 2 topografiniai planai, tačiau jie apima dideles teritorijas.</t>
  </si>
  <si>
    <t>01.05.</t>
  </si>
  <si>
    <t>Įgyvendinti techninės dokumentacijos parengimo darbus</t>
  </si>
  <si>
    <t>01.05.01.</t>
  </si>
  <si>
    <t>Rengti Savivaldybės numatomų statyti ar rekonstruoti objektų  ir susisiekimo infrastruktūros objektų  techninius projektus</t>
  </si>
  <si>
    <t>01.05.01.01</t>
  </si>
  <si>
    <t>Organizuoti projektinių darbų finansavimą</t>
  </si>
  <si>
    <t>Parengtų susisiekimo komunikacijų, infrastruktūros objektų ir pastatų techninių projektų skaičius</t>
  </si>
  <si>
    <r>
      <rPr>
        <sz val="10"/>
        <color rgb="FF000000"/>
        <rFont val="Times New Roman"/>
        <family val="1"/>
        <charset val="186"/>
      </rPr>
      <t xml:space="preserve">Architektūros, urbanistikos ir paveldosaugos skyriaus (toliau-AUPS)  planuoti 6 techniniai projektai, iš jų parengti 5 techniniai projektai: 1) A. ir N. Zubovų parko (vad. Didždvariu) ir jo prieigų (S. Lukauskio gatvės) kompleksinio sutvarkymo projektas; 2) Inžinerinių statinių rekonstravimo, kapitalinio remonto ir statybos, bei želdinių tvarkymo ir kūrimo Talkšos ežero vakarinės pakrantės teritorijoje Žvyro g. 34, Šiauliuose projektas; 3) Inžinerinio statinio (kiti statiniai), žemės sklype Kad. Nr. 2901/0015:143, griovimo projektas (Salduvės statiniai);  4) Juliaus Janonio gimnazijos viešųjų erdvių sutvarkymo techninis projektas; 5) Turizmo informacinės sistemos infrastruktūros ženklinimo projektas; 6) Atlikta dalis darbų (parengta topografinė nuotrauka, atlikti geologiniai tyrinėjimai) rengiant Dainų tako kapitalinio remonto projektą.  Statybos ir renovacijos skyriaus  planuota 13 techninių projektų, iš jų parengti 6 techniniai projektai: 1) Šiaulių kultūros centro Rėkyvos skyriaus pastato fasado ir vidaus patalpų remonto techninis projektas; 2) Rėkyvos progimnazijos rekonstrukcijos ir aplinkos gerinimo techninis projektas; 3) Gegužių progimnazijos sporto aikštyno rekonstrukcijos techninis projektas; 4) Juventos krepšinio aikštelės techninis projektas; 5) Šiaulių dailės galerijos pastato (Vilniaus g. 245) techninis projektas; 6) Juliaus Janonio gimnazijos sporto aikštyno įrengimo projektas. Miesto ūkio ir aplinkos skyriaus planuota 18 techninių projektų, iš jų parengti </t>
    </r>
    <r>
      <rPr>
        <sz val="10"/>
        <rFont val="Times New Roman"/>
        <family val="1"/>
        <charset val="186"/>
      </rPr>
      <t xml:space="preserve">10 techninių projektų: </t>
    </r>
    <r>
      <rPr>
        <sz val="10"/>
        <color rgb="FF000000"/>
        <rFont val="Times New Roman"/>
        <family val="1"/>
        <charset val="186"/>
      </rPr>
      <t>1) Sembos gatvės, Šiauliuose, kapitalinio remonto techninis projektas; 2) Pailių gatvės, Šiauliuose, kapitalinio remonto techninis projektas; 3) Miško gatvės, Šiauliuose, kapitalinio remonto aprašo parengimas (I-II et.); 4) Žemynos gatvės, Šiauliuose, kapitalinio remonto techninis projektas; 5) Architektų gatvės nuo Gegužių g. iki Jablonskio g. kapitalinio remonto/rekonstravimo techninis projektas; 6) Žemaitės gatvės ir Žemaitės gatvės viaduko, kapitalinio remonto projektas; Paviršinių (lietaus) nuotekų tinklų, Žemaitės gatvėje rekonstravimo projektas; 7) Poilsio gatvės kapitalinio remonto/rekonstravimo techninis projektas; 8) Vilniaus, Ežero, Talšos, Vytauto, Žalgirio, Spindulio ir Purienų gatvių, Šiauliuose, šaligatvių/pėsčiųjų takų atnaujinimo, juos pritaikant specialiųjų poreikių turintiems žmonėms, projektas; 9) Lieporių, Krymo, Gegužių, S. Dariaus ir S. Girėno, Gardino ir Dainų gatvių, Šiauliuose, šaligatvių/pėsčiųjų takų atnaujinimo, juos pritaikant specialiųjų poreikių turintiems žmonėms, projektas; 10) Basanavičiaus gatvės nuo Vaidoto g. iki miesto ribos, Šiauliuose, techninis darbo projektas; 11) Taip pat yra atlikti Projektų ekspertizės, auditai, vykdymo priežiūra, sumokėta už statybos leidimus ir kt.</t>
    </r>
  </si>
  <si>
    <t>AUPS:   Neatliktas Dainų tako techninis projektas, nes sutartis dėl rengėjo neatliktų darbų, bei rengėjo iniciatyva lapkričio 3 d. buvo nutraukta (bus rengiamas naujas pirkimas 2020 m.). SRS: 1) Dėl užsitęsusių procedūrų neatliktas Šiaulių miesto kultūros centro „Laiptų galerija“ senojo pastato (P. Bugailiškio namas, Žemaitės g. 83) tvarkomųjų statybos darbų techninis projektas; 2) Dėl užsitęsusio žemės sklypo įteisinimo neparengtas Šiaulių miesto savivaldybės globos namų pastato Energetikų g. 20A priestato statybos techninis projektas; 3) neparengtas plaukimo mokyklos "Delfinas" pastato (Dainų g. 33A) modernizavimo techninis projektas, nes neprireikė projekto korektūros; 4) Rėkyvos elingų techniniam projektui parengti vyko trys pirkimai, tačiau neatsirado projektuotojų; 5) Nakvynės namų pastato pritaikymo (Tiesos g. 3) techninis projektas rengiamas, persikelia į 2020 m.; 6) L/D "Kregždutė" techninis projektas yra parengtas, dar negautas statybos leidimas, todėl darbai liko neapmokėti (persikelia į 2020 m.); 7) Socialinių paslaugų centro Paramos tarnybos pastato (Stoties g. 9c) rekonstravimo techninis projektas yra parengtas, dar negautas statybos leidimas, todėl darbai liko neapmokėti (persikelia į 2020 m.).  Miesto ūkio ir aplinkos skyriaus techniniai projektai persikelia į 2020 m.: 1) Dubijos-Serbentų gatvių sankryžos Šiaulių mieste kapitalinio remonto projektas; 2) Radviliškio g. nuo Dubijos g. iki Vilniaus g. rekonstravimo projektas; 3) Vytauto g. kapitalinio remonto/ rekonstravimo projektas; 4) Žiemgalių gatvės sutvarkymo techninis darbo projektas; 5) Salantų gatvės ir automobilių stovėjimo aikštelės kapitalinio remonto projektas; 6) Vaisių gatvės kapitalinio remonto projektas; 7) Aukštabalio gatvės nuo Tilžės g. iki Išradėjų g. sutvarkymo/įrengimo techninis darbo projektas; 8) S. Šalkauskio gatvės remonto projektas.</t>
  </si>
  <si>
    <t>FINANSAVIMO  ŠALTINIŲ SUVESTINĖ</t>
  </si>
  <si>
    <t>Pavadinimas</t>
  </si>
  <si>
    <t>2019 m. patvirtinti asignavimai</t>
  </si>
  <si>
    <t>2019 m. patikslinti asignavimai</t>
  </si>
  <si>
    <t>Vykdymas (kasinės išlaidos)</t>
  </si>
  <si>
    <t>Viso programos priemonių</t>
  </si>
  <si>
    <t>1.</t>
  </si>
  <si>
    <t>SAVIVALDYBĖS BIUDŽETAS IŠ VISO, IŠ JO:</t>
  </si>
  <si>
    <t>Priemonė buvo įvykdyta pagal planą</t>
  </si>
  <si>
    <t>Savivaldybės biudžeto lėšos (SB)</t>
  </si>
  <si>
    <t>Vykdant priemonę buvo pasiekta vertinimo kriterijų reikšmių mažiau, nei planuota</t>
  </si>
  <si>
    <t>Lėšų likutis ataskaitinio laikotarpio pabaigoje (LIK)</t>
  </si>
  <si>
    <t>Priemonė neįvykdyta, t.y. nepasiekta planuota vertinimo kriterijų reikšmė</t>
  </si>
  <si>
    <t>IŠ VISO:</t>
  </si>
  <si>
    <t>Viso priemonių:</t>
  </si>
  <si>
    <t>02 PROGRAMOS 2019 METŲ ĮGYVENDINIMO ATASKAITA</t>
  </si>
  <si>
    <t>02.</t>
  </si>
  <si>
    <t>Kultūros plėtros programa</t>
  </si>
  <si>
    <t>02.01.</t>
  </si>
  <si>
    <t>Skatinti kultūros prieinamumą įvairioms visuomenės grupėms ir jų dalyvavimą kultūroje puoselėjant kultūros tradicijas bei kultūrinės raiškos įvairovę</t>
  </si>
  <si>
    <t>02.01.01.</t>
  </si>
  <si>
    <t>Užtikrinti miesto kultūrinio gyvenimo gyvybingumą,ugdyti ir skatinti miesto gyventojų ir jaunimo pilietinį aktyvumą bei tautinį sąmoningumą</t>
  </si>
  <si>
    <t>02.01.01.01</t>
  </si>
  <si>
    <t>Skatinti Šiaulių miesto kultūros ir meno įvairovę, sklaidą, prieinamumą</t>
  </si>
  <si>
    <t>Finansuotų kultūros projektų skaičius</t>
  </si>
  <si>
    <t>Finansuoti 37 kultūros projektai: parodos, personalinės parodos ir parodų ciklai, leidybiniai projektai, renginių ciklai, kamerinių liaudies instrumentų, džiazo ir alternatyvios muzikos festivaliai, koncertas / performansas, Šiaulių geto likvidavimo 75-mečio minėjimas, spektaklių pastatymai, ugnies skulptūrų festivalis, šiaulietiškų filmų festivalis, Šiaulių knygų mugė, socialinė-kultūrinė akcija ir kt.</t>
  </si>
  <si>
    <t>2019 m. planuota skirti lėšas 50-čiai kultūros projektų,  faktiškai finansuoti 37 kultūros projektai, kadangi 2019 m. pradėjus veikti Lietuvos kultūros tarybos kuruojamai Tolygios kultūrinės raidos programai, projektų paraiškų teikėjai aktyviai joje dalyvavo, atitinkamai sumažėjo dalyvaujančiu Šiaulių miesto savivaldybės kultūros projektų finansavimo konkurse. Laimėjusiems projektams (16) Tolygios kultūrinės raidos  projektų konkurse iš savivaldybės biudžeto buvo skirtas dalinis kofinansavimas iš viso 23 400 Eur.
Priemonės nepanaudotų lėšų likutis yra 311,04 Eur, iš jų 300 Eur grąžino projekto „Filmo „Greimas. Varžtų sistema“ filmavimas ir pristatymas Šiauliuose“ vykdytojas Šiaulių kino meno klubas; 11,04 Eur grąžino projekto „Šiaulių geto likvidavimo 75-mečio minėjimas“ vykdytojas Šiaulių apskrities žydų bendruomenė.</t>
  </si>
  <si>
    <t>02.01.01.02</t>
  </si>
  <si>
    <t>Skatinti meno kūrėjus</t>
  </si>
  <si>
    <t>Įteiktų premijų ir stipendijų skaičius</t>
  </si>
  <si>
    <t>Skirtos 4 kultūros ir meno premijos po 3500 Eur, 4 jaunojo menininko stipendijos po 1800 Eur, 1 premija už geriausią edukacijos projektą 2000 Eur ir 2 premijos kūrybiniams Valstybinio Šiaulių dramos teatro darbuotojams.</t>
  </si>
  <si>
    <t>Planuotos reikšmės įvykdytos. Skirtos 4 kultūros ir meno premijos po 3500 Eur, 4 jaunojo menininko stipendijos po 1800 Eur, 1 premija už geriausią edukacijos projektą 2000 Eur ir 2 premijos kūrybiniams Valstybinio Šiaulių dramos teatro darbuotojams.</t>
  </si>
  <si>
    <t>02.01.01.09</t>
  </si>
  <si>
    <t>Skatinti jaunimo iniciatyvas</t>
  </si>
  <si>
    <t>Finansuotų projektų dalyvių skaičius</t>
  </si>
  <si>
    <t>1 500</t>
  </si>
  <si>
    <t>1 798</t>
  </si>
  <si>
    <t>Finansuotų projektų skaičius</t>
  </si>
  <si>
    <t>2019 m. įgyvendinti 9 projektai; į projektų veiklas įtraukti 1798 jaunuoliai; sudarytos 32 sutartys su savanoriais; įgyvendinta 70 veiklų, iš jų: 17 jaunimo diskusijų klubų/forumų; 1 foto paroda; sukurti 2 vaizdo klipai apie Šiaulius; 38 individualūs jogos užsiėmimai; 1 konferencija; 2 orientacinės varžybos; 6 renginiai – mokymai; 2 socialinės akcijos; elektroninė apklausa „Jaunimo (14–29 m.) iššūkiai Šiaulių mieste“; 1 savanorystę skatinantis renginys.</t>
  </si>
  <si>
    <t>2019 m. buvo finansuota 10 jaunimo iniciatyvų projektų, įgyvendinti 9 projektai. 1 projektas (200 Eur) neįgyvendintas, nes netinkamai buvo pasirinkti statiniai ir negauti Kultūros paveldo departamento Šiaulių skyriaus leidimai grafičiui ant pasirinktų pastatų piešimui. Dėl struktūros pokyčių Šiaulių jaunimo organizacijų asociacijoje "Apskritasis stalas" 1 projektas buvo įgyvendintas iš dalies, grąžinti 857,85 Eur. Viso priemonei nepanaudota lėšų - 1057,85 Eur</t>
  </si>
  <si>
    <t>02.01.01.10</t>
  </si>
  <si>
    <t>Užtikrinti reprezentacinių Šiaulių miesto festivalių tęstinumą, jų ilgalaikiškumą, dalinį finansavimą, skatinti naujų idėjų, raiškos formų atsiradimą ir raidą</t>
  </si>
  <si>
    <t>Finansuotų festivalių skaičius</t>
  </si>
  <si>
    <t>Vadovaujantis Administracijos direktoriaus 2019-02-26 įsakymu Nr. A-300, skirtas finansavimas (224 400 Eur) 7 reprezentaciniams Šiaulių miesto festivaliams: „Saulės žiedas“, „Chaimo Frenkelio vilos vasaros festivalis“, „Resurrexit“, „Big Band Festival Šiauliai“, „Virus“, „Šiaulių Monmartro respublika“, „Šiaulių kultūros naktys“. Buvo įgyvendinta reprezentacinė priemonė „Vizualinės medžiagos miesto reprezentaciniams renginiams pristatyti, kuriai skirta 25 600 Eur. Priemonės rezultatas - parengtas reprezentacinis miesto ženklo priemonių naudojimo vadovas „Brandbook“, nufotografuoti ir nufilmuoti miesto reprezentaciniai renginiai, organizuota gyventojų apklausa, atlikta duomenų analizė ir parengta ataskaita.</t>
  </si>
  <si>
    <t>Planuotos rodiklių reikšmės įvykdytos.</t>
  </si>
  <si>
    <t>02.01.01.11</t>
  </si>
  <si>
    <t>Koordinuoti valstybinių švenčių, atmintinų datų paminėjimą, svarbių renginių, plenerų organizavimą, puoselėti tautines tradicijas</t>
  </si>
  <si>
    <t>Surengtų valstybinių švenčių / renginių skaičius</t>
  </si>
  <si>
    <t>Surengti Laisvės gynėjų, Lietuvos valstybės atkūrimo, Lietuvos nepriklausomybės atkūrimo, Tarptautinės vaikų gynimo, Gedulo ir vilties, Joninių, Valstybės (Lietuvos karaliaus Mindaugo karūnavimo), Baltijos kelio ir Laisvės dienų minėjimai, miesto šventė „Šiaulių dienos“, Tarptautinės pagyvenusių žmonių dienos paminėjimas, Kalėdų eglės įžiebimo šventė ir Trijų karalių eitynės, Šiaulių miesto savivaldybės Kultūros ir meno premijų įteikimo šventinis renginys, Žemaitijos metams paminėti skirtas renginys, įgyvendinta priemonė  „Miesto svarbių renginių aktualizavimas, surengiant fotografijų parodą, forumą ir kūrybines dirbtuves“. Iš viso surengta per 226 valstybinių, kalendorinių ir miesto švenčių, atmintinų datų  minėjimo renginių, juose apsilankė virš 308500 lankytojų. Finansuota 18 papildomų kultūros priemonių, kurioms skirta 15 950 Eur ir kofinansuota 16  Tolygios kultūrinės raidos programos projektų, kuriems skirta 23 400 Eur. įsigyta 6 vnt. atminimo ženklų Šiaulių miesto savivaldybės kultūros ir meno premijų laureatams ir Valstybinio Šiaulių dramos teatro kūrybiniams darbuotojams, 85 vnt. Šiaulius reprezentuojančių leidinių.</t>
  </si>
  <si>
    <t>Planuotos rodiklių reikšmės įvykdytos. Nepanaudotų lėšų likutį sudaro 5315,10. Eur. Iš jų 4850 Eur nepanaudota finansuojant papildomas kultūros priemonės, nes nebuvo gauta pakankamai paraiškų joms finansuoti. 365,10 Eur grąžino Šiaulių miesto koncertinė įstaiga „Saulė“ vykdydama priemonę „Šiaulių miesto Kultūros ir meno premijų įteikimo šventinis renginys“. 100 Eur sutaupyta įsigyjant Šiaulius reprezentuojančius leidinius.</t>
  </si>
  <si>
    <t>02.01.04.</t>
  </si>
  <si>
    <t>Užtikrinti kultūros paslaugų sklaidą ir prieinamumą gyventojams</t>
  </si>
  <si>
    <t>02.01.04.01</t>
  </si>
  <si>
    <t>Užtikrinti kultūros įstaigų veiklą</t>
  </si>
  <si>
    <t>Žiūrovų skaičius</t>
  </si>
  <si>
    <t>50 000</t>
  </si>
  <si>
    <t>191 299</t>
  </si>
  <si>
    <t>Pučiamųjų instrumentų, kamerinio ir bigbando orkestrų koncertų žiūrovai, profesionalios muzikos koncertų, jaunųjų atlikėjų, koncertinių ciklų koncertų, mėgėjų meno koncertų, performansų, teatro meno renginių ir kt. žiūrovai.</t>
  </si>
  <si>
    <t>Renginių skaičius</t>
  </si>
  <si>
    <t>1 098</t>
  </si>
  <si>
    <t>1 287</t>
  </si>
  <si>
    <t>Surengti 1287 tarpdisciplininiai kultūros renginiai, edukaciniai, valstybinių, kalendorinių ir atmintinų datų minėjimo  renginiai, miesto šventės renginiai, mėgėjų meno kolektyvų, literatūriniai renginiai, renginiai-susitikimai, folkloro ir sociokultūriniai ir kt.  renginiai.</t>
  </si>
  <si>
    <t>Nepanaudota įstaigos pajamų lėšų: Šiaulių kultūros centro  2.5 tūkst. Eur; Šiaulių miesto koncertinės įstaigos „Saulė“ 0,8 tūkst. Eur; Šiaulių dailės galerijos  0,4 tūkst. Eur; Šiaulių turizmo informacijos centro 1.8 tūkst. Eur.</t>
  </si>
  <si>
    <t>Parodų skaičius</t>
  </si>
  <si>
    <t>Surengtos 66 vaizduojamojo profesionalaus meno parodos, vaikų ir jaunimo kūrybos, fotografijų ir kt. parodos.</t>
  </si>
  <si>
    <t>Koncertų skaičius</t>
  </si>
  <si>
    <t>Surengti 285 pučiamųjų instrumentų, kamerinio ir bigbando orkestrų koncertai, profesionaliosios muzikos koncertai, profesionalaus teatro meno, koncertinių ciklų, jaunųjų atlikėjų  ir kt. koncertai.</t>
  </si>
  <si>
    <t>Šiaulių turizmo informacijos centro lankytojų skaičius</t>
  </si>
  <si>
    <t>52 000</t>
  </si>
  <si>
    <t>64 460</t>
  </si>
  <si>
    <t>Lietuvos ir užsienio Šiaulių turizmo informacijos centro lankytojai-turistai.</t>
  </si>
  <si>
    <t>Lankytojų skaičius</t>
  </si>
  <si>
    <t>377 332</t>
  </si>
  <si>
    <t>278 022</t>
  </si>
  <si>
    <t>Reprezentacinių Šiaulių miesto festivalių, parodų ir jų atidarymų, miesto šventės „Šiaulių dienos“ renginių, visų tipų renginių, organizuojamų biudžetinių kultūros įstaigų, kultūros projektų, paskaitų ciklų lankytojai,  Šiaulių miesto savivaldybės viešosios bibliotekos lankytojai ir kt. lankytojai.</t>
  </si>
  <si>
    <t>2019 m. vyko Šiaulių kultūros centro pastato renovacija, nevyko renginiai, todėl lankytojų skaičius mažesnis.</t>
  </si>
  <si>
    <t>Projektų skaičius</t>
  </si>
  <si>
    <t>Šiaulių miesto koncertinė įstaiga „Saulė“ teikė 5 projektų paraiškas, finansavimas gautas 3 projektams.</t>
  </si>
  <si>
    <t>Dalyvių skaičius</t>
  </si>
  <si>
    <t>3 152</t>
  </si>
  <si>
    <t>14 458</t>
  </si>
  <si>
    <t>Meno plenerų, edukacinių renginių ir projektų dalyviai, valstybinių, kalendorinių ir atmintinų datų renginių dalyviai, tęstinių kultūros projektų dalyviai, mėgėjų meno renginių dalyviai, jaunųjų atlikėjų koncertų ir kt. dalyviai.</t>
  </si>
  <si>
    <t>1.09.</t>
  </si>
  <si>
    <t>02.01.04.06</t>
  </si>
  <si>
    <t>Modernizuoti bibliotekos paslaugas, plėtoti sistemas pasienio regione</t>
  </si>
  <si>
    <t>Atlikta planuotų darbų</t>
  </si>
  <si>
    <t xml:space="preserve">Įkurta 1 (viena) moderni ir interaktyvi 15 vietų užsienio kalbų mokymosi erdvė ir pritaikyta infrastruktūra, taip pat įkurta erdvė šeimoms bendrauti, mokytis, dalyvauti edukacinėse veiklose. </t>
  </si>
  <si>
    <t>Įkurta moderni ir interaktyvi 15 vietų užsienio kalbų mokymosi erdvė ir psitaikyta infrastruktūra, įkurta erdvė šeimoms bendrauti, mokytis, dalyvauti edukacinėse veiklose.</t>
  </si>
  <si>
    <t>Įkurta moderni ir interaktyvi 15 vietų užsienio kalbų mokymosi erdvė ir pritaikyta infrastruktūra</t>
  </si>
  <si>
    <t>02.02.</t>
  </si>
  <si>
    <t>Modernizuoti kultūros infrastruktūrą</t>
  </si>
  <si>
    <t>02.02.01.</t>
  </si>
  <si>
    <t>Rekonstruoti / renovuoti biudžetinių kultūros įstaigų pastatus</t>
  </si>
  <si>
    <t>02.02.01.02</t>
  </si>
  <si>
    <t>Aktualizuoti Šiaulių kultūros centrą (Aušros al. 31)</t>
  </si>
  <si>
    <t>Atliktas Šiaulių kultūros centro pastato išorės ir vidaus kapitalinis remontas, sukurtos naujos  daugiafunkcės erdvės, pritaikytos išplėstoms kultūrinėms veikloms.  Įrengtos keturios salės : Didžioji koncertų, Kamerinė, Konferencijų, pramogų salė „Maksas“. Įkurta garso įrašymo studija, nauja perkusijos studija, sukurtos trys edukacinės erdvės ir kt.</t>
  </si>
  <si>
    <t>Dėl atsiradusių papildomų nenumatytų darbų ilgiau nei planuota užsitęsė rangos darbai. Vėlavimas taip pat įtakotas rangovo vėlavimo.Rangos darbai atlikti už 1881757,50 Eur. sumą.</t>
  </si>
  <si>
    <t>Įsigyta reikiama įranga</t>
  </si>
  <si>
    <t>Įdiegtos integruotos įgarsinimo, apšvietimo, vaizdo atkūrimo sistemos, interaktyvūs stendai, baldų sistemos ir kt.</t>
  </si>
  <si>
    <t>100 proc. rodiklis nepasiektas dėl užsitęsusių statybos darbų - kol jie nėra baigti, negalima montuoti integruotų garso, apšvietimo, vaizdo ir kt. sistemų. Taip pat užsitęsė viešųjų pirkimų procedūros.</t>
  </si>
  <si>
    <t>1.08.</t>
  </si>
  <si>
    <t>1.07.</t>
  </si>
  <si>
    <t>02.02.01.04</t>
  </si>
  <si>
    <t>Atnaujinti (modernizuoti) Šiaulių miesto koncertinę įstaigą "Saulė" (Tilžės g. 140), rekonstruoti pastatą ir pastatyti priestatą</t>
  </si>
  <si>
    <t>Pradėtas rekonstravimas. Modernizuotų kultūros objektų sk.</t>
  </si>
  <si>
    <t>Pradėtas atnaujinti (modernizuoti) Šiaulių miesto koncertinės įstaigos „Saulė“, Tilžės g. 140, pastatas ir pradėtas statyti priestatas.</t>
  </si>
  <si>
    <t>2019 m. koncertinė įstaiga "Saulė" sudarė projekto finansavimo sutartį. 2019 m. buvo parengti rangos darbų pirkimo dokumentai ir išsiųsti CPVA derinimui. Rangos darbus planuojama pradėti 2020 metais.</t>
  </si>
  <si>
    <t>Modernizuotų kultūros objektų skaičius</t>
  </si>
  <si>
    <t>Modernizuotas Šiaulių miesto koncertinės įstaigos „Saulė“ pastatas Tilžės g. 140, Šiauliai.</t>
  </si>
  <si>
    <t>02.03.</t>
  </si>
  <si>
    <t>Stiprinti miesto įvaizdį ir tapatybę plėtojant pažintinį-kultūrinį turizmą</t>
  </si>
  <si>
    <t>02.03.01.</t>
  </si>
  <si>
    <t>Vystyti aktyvaus laisvalaikio turizmą, sukuriant informacinę turizmo infrastruktūrą ir tarpvalstybinį maršrutą</t>
  </si>
  <si>
    <t>02.03.01.01</t>
  </si>
  <si>
    <t>Įgyvendinti projektą „Savivaldybės jungiančios turizmo informacinės infrastruktūros plėtra Šiaulių regione“</t>
  </si>
  <si>
    <t>Įgyvendinta projekto veiklų</t>
  </si>
  <si>
    <t>Įrengti informacinius kelio ženklus, informacinius stendus, krypties rodykles pėstiesiems, lankytinas vietas jungiančių dviračių trasų, vandens turizmo trasų ženklus.</t>
  </si>
  <si>
    <t>Projekto veiklos nepradėtos įgyvendinti  ir nepanaudotos skirtos lėšos 11800 Eur  dėl užtrukusio projekto dokumentacijos rengimo. Projekto vykdymas bus atnaujintas 2020 m.</t>
  </si>
  <si>
    <t>02.03.01.02</t>
  </si>
  <si>
    <t>Įgyvendinti projektą „Tarptautinis kultūros turizmo kelias - Baltų kelias“</t>
  </si>
  <si>
    <t>Įkurtas inovatyvus  „Baltų kelio“ centras su interaktyvia ekspozicija ir  IT žaidimais, pritaikyta interneto svetainė.  Suorganizuotas projekto partnerių susitikimas / „Baltų kelio“ centro atidarymas. Projektas pristatytas 3 tarptautinėse turizmo parodose, 3 miesto šventėse (Vilnius, Kaunas, Klaipėda), 1 miesto šventėje Estijoje (Pernu), Lietuvos Respublikos kultūros ministerijos projekte „Kultūros keliai regionų vystymui“. Parengta projekto ataskaita.</t>
  </si>
  <si>
    <t>Dėl užsitęsusių „Baltų kelio“ centro patalpų Vilniaus g. 213 remonto darbų projektas neužbaigtas 100 proc. 
Dėl lėšų stokos 2019 m. paprastajam patalpų remontui ir patalpų bendrasavininkų uždelsto sprendimų priėmimo dėl patalpų paskirties pakeitimo, fasado remonto, šildymo sistemos ir kt. klausimais, neatlikti rangos darbai patalpose. Dėl šios aplinkybės  nebuvo galima vykdyti projekto veiklų (elektros instaliacijos, sienų apdailos, įrengti interaktyvios ekspozicijos įrangos ir IT žaidimų, įrengti interjero pagal technines specifikacijas ir kt.), todėl yra nepanaudotas 270 026,22 Eur projekto lėšų likutis. Skyrus finansavimą iš savivaldybės biudžeto 2020 m. patalpų paprastajam remontui, projektas bus užbaigtas.</t>
  </si>
  <si>
    <t>2019 metų patvirtinti asignavimai</t>
  </si>
  <si>
    <t>2019 metų patikslinti asignavimai</t>
  </si>
  <si>
    <t>Valstybės investicijų projektų lėšos VB (VIP)</t>
  </si>
  <si>
    <t>Europos Sąjungos lėšos (ES)</t>
  </si>
  <si>
    <t>Įstaigos pajamų lėšos (PL)</t>
  </si>
  <si>
    <t>03 PROGRAMOS 2019 METŲ ĮGYVENDINIMO ATASKAITA</t>
  </si>
  <si>
    <t>03.</t>
  </si>
  <si>
    <t>Aplinkos apsaugos programa</t>
  </si>
  <si>
    <t>03.01.</t>
  </si>
  <si>
    <t>Pagerinti aplinkos kokybę mieste, kurti darnaus vystymosi principais pagrįstą sveiką ir švarią gyvenamąją aplinką mieste</t>
  </si>
  <si>
    <t>03.01.01.</t>
  </si>
  <si>
    <t>Plėtoti ir tobulinti miesto komunalinių atliekų tvarkymo sistemą</t>
  </si>
  <si>
    <t>03.01.01.01</t>
  </si>
  <si>
    <t>Įgyvendinti komunalinių atliekų tvarkymą</t>
  </si>
  <si>
    <t>Įsigyti konteineriai atliekų surinkimui</t>
  </si>
  <si>
    <t>Įsigyta 13 vnt. tekstilės atliekų surinkimo konteinerių, 200 vnt. 240 litrų talpos pakuočių atliekų surinkimo konteinerių</t>
  </si>
  <si>
    <t>Sutvarkyta komunalinių atliekų</t>
  </si>
  <si>
    <t>t</t>
  </si>
  <si>
    <t>Sutvarkyta komunalinių atliekų: vežėjų 34208,95 t; DGASA - 4665,59 t. Apmokame Všį ŠRATC pateiktas sąskaitas už vietinės rinkliavos už komunalines atliekas administravimo išlaidas 0,193 mln.eur; 1 mln. eur už atliekų surinkimo paslaugas; 1,9 mln. eur už atliekų šalinimą (apdorojimą).</t>
  </si>
  <si>
    <t>Sutvarkyta komunalinių atliekų: vežėjų 34208,95 t; DGASA - 4665,59 t.
Susidarė tikslinis lėšų likutis, nes gyventojų sumokama vietinė rinkliava už komunalines atliekas viršijo patirtas išlaidas už atliekų tvarkymą, tačiau dėl pasikeitusių ŠRATC įkainių, tuo pačiu paslaugų teikėjo padidėjusių įkainių, tokio likučio susidarymas 2020 m. neprognozuojamas.</t>
  </si>
  <si>
    <t>1.05.</t>
  </si>
  <si>
    <t>Įsigyti konteineriai</t>
  </si>
  <si>
    <t>Įsigyta 500 vnt. kompostavimo konteinerių</t>
  </si>
  <si>
    <t>03.01.01.02</t>
  </si>
  <si>
    <t>Kompensuoti fiziniams asmenims asbesto turinčių gaminių atliekų šalinimą</t>
  </si>
  <si>
    <t>Kompensuota už asbesto gaminių šalinimą</t>
  </si>
  <si>
    <t>Per 2019 m. iš visuomeninės paskirties ir individualių gyventojų pastatų nemokamai surinkta ir saugiai pašalinta 176,32 tonų asbesto turinčių gaminių atliekų, t.y., visiems asmenims, pasinaudojusiems šia paslauga, 100 proc. kompensuota ne tik už asbesto turinčių gaminių atliekų šalinimą, bet ir už šių atliekų transportavimą.</t>
  </si>
  <si>
    <t>19,9 Tūkst. eur planuota gauti dotacija sumažinta, kadangi asbesto turinčių gaminių atliekų surinkimo ir transportavimo įkainiai (pagal pasirašytą su paslaugos teikėju UAB „Ecoservice projektai“) ir šalinimo įkainiai (pagal VšĮ „Šiaulių regiono atliekų tvarkymo centras“ visuotinio dalininkų susirinkimo patvirtintus įkainius) yra didesni nei kompensuoja APVA ir faktiškai gautina dotacijos Šiaulių miestui suma yra mažesnė už dotacijos teikimo sutartyje nurodytą sumą.</t>
  </si>
  <si>
    <t>03.01.01.03</t>
  </si>
  <si>
    <t>Įgyvendinti projektą "Komunalinių atliekų rūšiuojamojo surinkimo infrastruktūros plėtra Šiaulių regione"</t>
  </si>
  <si>
    <t>Įrengta konteinerių aikštelių</t>
  </si>
  <si>
    <t>vnt.</t>
  </si>
  <si>
    <t>Per 2019 m. įrengta 22 vnt. pusiau požeminių konteinerių aikštelių</t>
  </si>
  <si>
    <t>Per 2019 m. įrengtos tik 22 vnt. pusiau požeminių konteinerių aikštelės, nes užsitęsė šių aikštelių projektavimo darbai, taip pat užsitęsė derinimo procedūros su požeminių inžinerinių/ryšių komunikacijų (dujotiekio, šilumos, ryšių, elektros, vandentiekio ir nuotekų tinklų) atstovais ir kt.</t>
  </si>
  <si>
    <t>įrengta didelio gabarito atliekų surinkimo aikštelė (DGSA) su pakartotiniam panaudojimui tinkamų atliekų surinkimu</t>
  </si>
  <si>
    <t xml:space="preserve">Projekto apimtyje suplanuota įrengti Didelių gabaritų atliekų surinkimo aikštelę (toliau – DGASA) ir pakartotinai naudoti tinkamų daiktų punktą šalia uždaryto Kairių sąvartyno. 
Atsižvelgiant į tai, kad projekto rengimo metu iškilo būtinybė tikslinti detaliojo plano sprendinius ir atlikti su tuo susijusias procedūras, DGASA projekto rengimo darbai užtruko ir DGASA neįrengta iki 2019 m. pabaigos. Teikiat patikslintą detalųjį planą taip pat susidurta su problemomis, kai planuojama veikla buvo traktuojama kaip draudžiama pagal tuo metu galiojančių 2019 m. Specialiųjų žemės ir miško naudojimo sąlygų, patvirtintų Lietuvos Respublikos Vyriausybės 1992 m. gegužės 12 d. nutarimu Nr. 343 „Dėl specialiųjų žemės ir miško naudojimo sąlygų patvirtinimo“ XX skyriaus 942.2 punktą. Taip pat, kad teritorija patenka į vandenvietės apsaugos zoną ir, kad teritorijai yra taikoma XX skyriaus specialioji žemės ir miško naudojimo sąlyga.
Nuo 2020 m. sausio 1 d. įsigaliojus naujajam Specialiųjų žemės naudojimo sąlygų įstatymui, kuris pakeitė anksčiau galiojusias sąlygas, detalaus plano sprendiniai, kurie nebeprieštarauja Įstatyme nurodytoms draudžiamoms veikloms, pateikti derinimui pakartotinai. Gavus pritarimą, bus tęsiamos projekto rengimo paslaugos ir pradėti Rangos darbai. DGASA planuojama įrengti iki 2020 m. pabaigos.
</t>
  </si>
  <si>
    <t>Įvykdyta visuomenės informavimo atliekų prevencijos bei tvarkymo klausimais kampanija</t>
  </si>
  <si>
    <t>Per 2019 m. įvykdyta visuomenės informavimo atliekų prevencijos bei tvarkymo klausimais kampanija.</t>
  </si>
  <si>
    <t>03.01.02.</t>
  </si>
  <si>
    <t xml:space="preserve">Gausinti miesto želdinius, gerinti esamų želdinių kokybę, apsaugoti vertingas gamtines </t>
  </si>
  <si>
    <t>03.01.02.02</t>
  </si>
  <si>
    <t>Parengti ir įgyvendinti želdynų pertvarkymo projektus</t>
  </si>
  <si>
    <t xml:space="preserve"> Parengti projektai ir atlikti tvarkymo darbai</t>
  </si>
  <si>
    <t>1. Įrengtas želdynas tarp Žemaitės g.–Aušros al.–J. Basanavičiaus g.; 2. frezuota Dainų parko augmenija; 3. Atskirojo želdyno prie Gytarių-Pailių g. išvalymas nuo nepageidaujamos augmenijos.</t>
  </si>
  <si>
    <t>03.01.02.03</t>
  </si>
  <si>
    <t>Vykdyti želdinių priežiūrą (tręšimas, genėjimas, kaštonų lapų tvarkymas)</t>
  </si>
  <si>
    <t>Užtikrinta želdinių priežiūra (genėjimas, atžalų šalinimas, kelmų sutvarkymas, laistymas, tręšimas, kaštonų lapų surinkimas), pagal skirtą finansavimą</t>
  </si>
  <si>
    <t>Nukirsta medžių – 257 vnt.; nugenėta medžių – 2074 vnt.; pašalinta atžalų nuo – 650 vnt. medžių; atjauninta, iškirsta krūmų – 944 m²; nukarpyta gyvatvorių – 19000 m²; nuravėta gyvatvorių – 9000 m².
Palaistyta ir patręšta medžių – 3264 vnt. Nužeminta kelmų – 2 vnt. Kaštonų lapų surinkta – 38 tonos</t>
  </si>
  <si>
    <t>Sutaupyta tvarkant kaštonų lapus, nes dalis lapų išvežta deginimui į AB ,,Šiaulių energija"</t>
  </si>
  <si>
    <t>03.01.02.04</t>
  </si>
  <si>
    <t>Sodinti naujus želdinius prie miesto gatvių, parkuose ir skveruose</t>
  </si>
  <si>
    <t>Pasodinta želdinių</t>
  </si>
  <si>
    <t>Pasodinta 80 mažalapių liepų iš glaustašakių formų, 5 juodosios pušys Pinus nigra, 10 grauželinių gudobelių iš gražiažiedžių, pilnavidurių, purpurinės spalvos žiedais formų, 5 tarpinės forzitijos, 10 švedinių šermukšnių, 6 raudonžiedžiai kaštonai, 15 smailiadančių vyšnių „Kanzan“ (Prunus serrulata)</t>
  </si>
  <si>
    <t>Prieš perkant patikslintos sodmenų kainos, kurios buvo mažesnės nei suplanuota</t>
  </si>
  <si>
    <t>03.01.02.05</t>
  </si>
  <si>
    <t>Prūdelio tvenkinio kraštovaizdžio formavimas ir ekologinės būklės gerinimas</t>
  </si>
  <si>
    <t>Įrengta kraštovaizdžio formavimo priemonių</t>
  </si>
  <si>
    <t>Užsitęsė dokumentų rengimas, poreikio derinimas.</t>
  </si>
  <si>
    <t>03.01.03.</t>
  </si>
  <si>
    <t>Gerinti miesto vandens telkinių ir jų prieigų gamtosauginę būklę</t>
  </si>
  <si>
    <t>03.01.03.04</t>
  </si>
  <si>
    <t>Vykdyti lietaus nuotekų sistemos griovių tvarkymą</t>
  </si>
  <si>
    <t>Sutvarkyta lietaus sistemos griovių</t>
  </si>
  <si>
    <t>Tvarkyti grioviai: Šakių g. nuo nr. 9 iki nr. 19; Ties Gubernijos sodų g. 9-oji g. 19; Lazdynų g. nuo Sodo g. iki Šaltalankių g. Vykdytojas A.Jokūbaičio firma ,,Vorupė"</t>
  </si>
  <si>
    <t>03.01.03.05</t>
  </si>
  <si>
    <t>Įgyvendinti projektą "Šiaulių miesto paviršinių nuotekų tvarkymo sistemos inventorizavimas, paviršinių nuotekų tvarkymo infrastruktūros rekonstravimas ir plėtra"</t>
  </si>
  <si>
    <t>Rekonstruoti paviršinių nuotekų tinklai</t>
  </si>
  <si>
    <t>km</t>
  </si>
  <si>
    <t>Rekonstruoti paviršinių nuotekų tinklai - 6 km (Aukštabalio g.; Dariaus ir Girėno g.; Dvaro g. nuo Aušros al. iki Tilžės g. 173 ir nuo Žemaitės g. iki Šermukšnių g.;Dubijos g. nuo Žemaitės g. iki S.Daukanto g.; Ežero g. nuo Rygos g. iki Žemosios g.; Liejyklos g. nuo Pramonės g. iki Liejyklos g. 10; Pramonės, Valančiaus, Vytauto gatvėse).</t>
  </si>
  <si>
    <t>03.01.05.</t>
  </si>
  <si>
    <t>Sutvarkyti užterštas teritorijas, buvusius karjerus ir durpynus</t>
  </si>
  <si>
    <t>03.01.05.02</t>
  </si>
  <si>
    <t>Tvarkyti užterštas teritorijas Šiaulių mieste</t>
  </si>
  <si>
    <t>Sutvarkyta užterštų teritorijų (4463, 4464,11555, 11556, 11557)</t>
  </si>
  <si>
    <t>ha</t>
  </si>
  <si>
    <t xml:space="preserve">Vykdyti rangos darbų pirkimo konkursai, nugalėtojas nepaskelbtas. Šiuo metu įgaliojimai vykdyti pirkimą suteikti Krašto apsaugos ministerijai. </t>
  </si>
  <si>
    <t>Planuota 2019 m. pradėti rangos darbus, tačiau rangovas nepaskelbtas. Teritorija bus galima laikyti išvalyta baigus rangos darbus ir gavus teigiamą geologijos tarnybos išvadą (preliminariai 2023 m.). Rodiklio pasiekimas 2019 m. buvo suplanuotas dėl žmogiškojo faktoriaus įtakotos klaidos.</t>
  </si>
  <si>
    <t>Sutvarkyta teritorija (4462)</t>
  </si>
  <si>
    <t xml:space="preserve">Valyta užteršta teritorija. Tęsiami nuolatiniai požeminio vandens valymo darbai. Tikslams pasiekti naudojami panardinami siurbliai, stacionarus ir mobilus vakuuminiai siurbliai. </t>
  </si>
  <si>
    <t>Teritorija valoma pagal planą, rodiklis bus laikomas pasiekus gavus teigiamą geologijos tarnybos išvadą, kurią planuojama gauti 2020 m.</t>
  </si>
  <si>
    <t>03.01.06.</t>
  </si>
  <si>
    <t>Vykdyti miesto aplinkos kokybės stebėseną</t>
  </si>
  <si>
    <t>03.01.06.01</t>
  </si>
  <si>
    <t>Vykdyti Šiaulių miesto aplinkos kokybės stebėseną (triukšmo, oro, paviršinių vandens telkinių)</t>
  </si>
  <si>
    <t>Finansuojama įstaiga Šiaulių municipalinė aplinkos tyrimų laboratorija</t>
  </si>
  <si>
    <t xml:space="preserve">Finansuota BĮ Šiaulių municipalinė aplinkos tyrimų laboratorija </t>
  </si>
  <si>
    <t>Vykdoma stebėsena, įsigyjamos reikalingos priemonės ir paslaugos, parengta stebėsenos ataskaita</t>
  </si>
  <si>
    <t>Atlikti aplinkos oro, paviršinių vandens telkinių, triukšmo lygio tyrimai. Įsigytos aplinkos tyrimams reikalingos eksploatacinės medžiagos, reagentai, kalibracinės dujos, laboratorinė įranga, atlikta prietaisų metrologinė patikra, remontas. Parengta 2019 metų Šiaulių miesto oro, paviršinių vandens telkinių stebėsenos ataskaita.</t>
  </si>
  <si>
    <t>03.01.06.02</t>
  </si>
  <si>
    <t>Gerinti aplinkos oro kokybę, įgyvendinti aplinkos oro kokybės valdymo programą</t>
  </si>
  <si>
    <t>Pavasarinio purvo valymas dėl pakeltosios taršos (gatvių sąšlavos)</t>
  </si>
  <si>
    <t>Nuo gatvių važiuojamosios dalies surinkta  417,22 t sąšlavų (pavasarį).</t>
  </si>
  <si>
    <t>Didesnė sąšlavų sutvarkymo kaina,  nei planuota.</t>
  </si>
  <si>
    <t>03.01.06.03</t>
  </si>
  <si>
    <t>Vykdyti požeminio vandens ir dirvožemio užterštumo būklės stebėseną</t>
  </si>
  <si>
    <t>Atlikti tyrimai stebimose Šiaulių miesto vietose ir parengta požeminio vandens ir dirvožemio ataskaita</t>
  </si>
  <si>
    <t xml:space="preserve">Atlikta kasmetinė Šiaulių miesto požeminio vandens ir dirvožemio užterštumo stebėsena.
Stebėtas požeminio vandens lygis, fizikiniai ir cheminiai rodikliai, atlikti tyrimai, lyginamoji analizė, pateiktos išvados, parengta ataskaita. </t>
  </si>
  <si>
    <t>03.01.06.04</t>
  </si>
  <si>
    <t>Optimizuoti aplinkos kokybės stebėseną ir optimizuoti vertinimo sistemą,  sukurti interaktyvią/informacinę duomenų bazę.  Įgyvendinti projektą ,,Aplinkos oro kokybės gerinimas Šiaulių mieste"</t>
  </si>
  <si>
    <t>Parengtas aplinkos oro kokybės valdymo priemonių planas</t>
  </si>
  <si>
    <t>1. Baigta visuomenės informavimo kompanija; 2. Parengtas aplinkos valdymo planas; 3. Pristatyta gatvių valymo ir plovimo mašina.</t>
  </si>
  <si>
    <t>Lėšos buvo sutaupytos atlikus viešuosius pirkimus (iš sutaupytų lėšų prašoma leisti įsigyti šaligatvių valdymo mašiną), taip pat nespėta gauti finansavimo už gatvių valymo mašiną, todėl jis persikėlė į 2020 metus.</t>
  </si>
  <si>
    <t>Įvykdyta visuomenės informavimo apie aplinkos oro kokybės gerinimą kampanija</t>
  </si>
  <si>
    <t>03.01.07.</t>
  </si>
  <si>
    <t>Vykdyti miesto bendruomenės aplinkosauginį ugdymą</t>
  </si>
  <si>
    <t>03.01.07.02</t>
  </si>
  <si>
    <t>Remti nevyriausybinių organizacijų projektų įgyvendinimą</t>
  </si>
  <si>
    <t>Paremtų projektų skaičius</t>
  </si>
  <si>
    <t>Paremti 4 nevyriausybinių organizacijų projektai. Įgyvendinant projektus, buvo įrengta lauko klasė „Žolininko namelis“ Šiaulių universiteto Botanikos sode, organizuotos nemokamos ekskursijos. Zoknių mikrorajone atnaujintos viešosios erdvės: įrengti gėlynai, sutvarkytas takas, organizuota akcija apie šiukšlinimą viešose vietose, vykdytos švarinimosi akcijos. Organizuotos aplinkosauginių filmų peržiūros, aplinkosauginių kino filmų kūrimo konkursas. Įgyvendinti edukaciniai užsiėmimai, žygiai, orientacinės varžybos pėsčiomis po Šiaulių miestą.</t>
  </si>
  <si>
    <t>Buvo gautos 6 NVO projektų paraiškos. Projektų vertinimo komisija įvertino visus projektus ir skyrė jiems vertinimo balus. Tik 4 NVO projektai surinko aukštus balus, todėl jiems buvo skirtas finansavimas, o likę 2 projektai nesurinko ribinio balo ir nebuvo finansuoti.</t>
  </si>
  <si>
    <t>03.01.07.03</t>
  </si>
  <si>
    <t>Įsigyti aplinkosauginius informacinius ir kt. leidinius</t>
  </si>
  <si>
    <t>Įsigyta leidinių</t>
  </si>
  <si>
    <t>51 leidinys išdalintas aplinkosauginių renginių metu, renginio dalyviams. Užsakytos 22 prenumeratos.</t>
  </si>
  <si>
    <t xml:space="preserve">Įsigyta daugiau, nes didesnį leidinių kiekį pavyko įsigyti mažesnėmis kainomis. </t>
  </si>
  <si>
    <t>Parengta informacinė medžiaga</t>
  </si>
  <si>
    <t>Parengti 3 informaciniai pranešimai, kurie paviešinti Šiaulių internetinėje svetainėje. </t>
  </si>
  <si>
    <t>03.01.07.04</t>
  </si>
  <si>
    <t>Organizuoti aplinkosauginius renginius, vykdyti visuomenės švietimą ir informavimą</t>
  </si>
  <si>
    <t>Organizuoti renginiai (Žemės diena, Europos judumo savaitė)</t>
  </si>
  <si>
    <t xml:space="preserve">Organizuotas 1 Žemės dienos renginys (kovo 20 d.). Europos judumo savaitė buvo pratęsta ir truko 2 savaites, nuo rugsėjo 16 d. iki rugsėjo 30 d. Jos metu vyko šios veiklos: 1 interaktyvus žaidimas šeimai „Nuo lapės iki lapės“, 1 orientavimosi žaidimas „Paklaidžiokim Šiauliuose“, 1 žaidimas „Skautorama mieste“, 1 lėkščiasvydžio 
treniruotė, 4 vnt. ekskursijos-žygiai. </t>
  </si>
  <si>
    <t>Renginių buvo organizuota daugiau, nes paslaugos teikėjas Europos judriajai savaitei pasiūlė daugiau įvairesnių veiklų bei rekomendavo tas veiklas įgyvendinti per 2 savaites.</t>
  </si>
  <si>
    <t>Įgyvendinta visuomenės švietimo ir informavimo priemonių</t>
  </si>
  <si>
    <t xml:space="preserve">1. Siekiant šviesti visuomenę apie tai jog reikia ir patiems tvarkyti savo aplinką, bei prisidedant prie "Darom" akcijos, organizuota pavasarinė talka Dainų parke. 2. Vykdytas visuomenės švietimas apie egzotinius gyvūnus. Egzotinis gyvūnų kampelis - vienintelė vieta Šiauliuose, sudaranti sąlygas žmonėms susipažinti su naminiais egzotiniais gyvūnais, įgyti žinių apie jų kilmę, gyvenimo sąlygas ir jų fiziologinius ypatumus. Lankytojams organizuotos edukacinės programos. Per 2019 metus egzotinių gyvūnų kampelis sulaukė 11 218 lankytojų. 3. Organizuota rudeninė miesto tvarkymo akcija. Akcija įvyko spalio 25 dieną Dainų parke. 4. Ruošiantis 2020 metų Pasaulinei žemės dienai, nupirkta 1000 vnt. užrašų knygelių iš perdirbto popieriaus, kurios bus dalijamos renginio metu vaikams, paaugliams ir kitiems renginio dalyviams. Šiomis knygelėmis bus akcentuojama ir pabrėžiama, kad rūšiuoti verta, nes, perdirbus popierių ar plastiką, gali būti sukurti nauji, gražūs ir naudingi daiktai.   </t>
  </si>
  <si>
    <t>03.01.07.05</t>
  </si>
  <si>
    <t>Tvarkyti Talkšos ekologinį taką</t>
  </si>
  <si>
    <t>Atlikti Talkšos ekologinio tako priežiūros darbai, pateikta Talkšos ekologinio tako einamosios metinės priežiūros ataskaita</t>
  </si>
  <si>
    <t>Vykdyta parko priežiūra. Parengta ataskaita. Buvo pagerintos Salduvės ir Talkšos miško parkų gyventojų poilsio erdvės, parko lankytojams tapo patrauklesnės lankymo zonos bei gerinamas parkų įvaizdis visuomenės akyse.</t>
  </si>
  <si>
    <t>03.01.08.</t>
  </si>
  <si>
    <t>Pašalinti aplinkos teršimo šaltinius</t>
  </si>
  <si>
    <t>03.01.08.01</t>
  </si>
  <si>
    <t>Likviduoti pavojingus radinius ir ekologinių avarijų padarinius</t>
  </si>
  <si>
    <t>Likviduota radinių ir avarijų</t>
  </si>
  <si>
    <t>1) Įgyvendinta 3 dienų gaisrų  prevencijos priemonė; 2) balandžio mėn. utilizuoa 2 t naftos produktų,  330 kg plastiko pakuotės; 3) liepos mėn. utilizuota 21 kg
nebenaudojamų organinių cheminių medžiagų, kurių sudėtyje yra pavojingųjų
medžiagų; 4) priešgaisrinei gelbėjimo valdybai skirtos 2,0 tūkst. Eur lėšos įsigyti 400 l dispergento)</t>
  </si>
  <si>
    <t>03.01.08.02</t>
  </si>
  <si>
    <t>Įgyvendinti projektą  ''Aplinkos rizikos valdymo sistemos gerinimas Latvijos ir Lietuvos pasienio regione“</t>
  </si>
  <si>
    <t>1. Elektroninio tono ir balso sirenos; 2. Kateris; 3. Švyturėliai; 4. Ugniagesių savanorių uniformos; 5. Komandiruotė į Lundą.</t>
  </si>
  <si>
    <t>Projektas įgyvendintas. Įsigytas elektroninio tono ir balso sirenos, kateris, švyturėliai, ugniagesių savanorių uniformos.  2020-09-04/05 Švedijoje (Lunde) vyko patirties mainų vizitas į kurį vyko 3 asm. iš ŠMSA. Lėšos matomos, kaip sutaupytos, yra ankstesniu periodu patirtų išlaidų sugrįžusi Europos Sąjungos lėšų dalis.</t>
  </si>
  <si>
    <t>03.02.</t>
  </si>
  <si>
    <t>Reguliuoti gyvūnų (šunų, kačių), laikomų Šiaulių miesto daugiabučiuose namuose, populiaciją, kontroliuoti jų priežiūrą</t>
  </si>
  <si>
    <t>03.02.03.</t>
  </si>
  <si>
    <t>Gyvūnų priežiūrai skirtos įrangos įrengimas ir priežiūra</t>
  </si>
  <si>
    <t>03.02.03.01</t>
  </si>
  <si>
    <t xml:space="preserve">Gyvenamuosiuose rajonuose, viešosiose vietose šunų išvedžiojimo aikštelių, kačių šėrimo vietų ir kitos gyvūnų priežiūrai skirtos įrangos įrengimas, remontas ir sanitarinė priežiūra </t>
  </si>
  <si>
    <t>Šunų išvedžiojimo aikštelių priežiūra, remontas</t>
  </si>
  <si>
    <t>2019 m. buvo atliekamas gyvūnų priežiūrai skirtos infrastruktūros aptarnavimas pagal sutartį su viešojo pirkimo būdu išrinktu paslaugos teikėju UAB „Ecoservice projektai“ (2018-04-09 sutartis Nr. SŽ-381). Iki 2019 m. lapkričio mėnesio buvo prižiūrima: 10 stovų su dėžutėmis vienkartiniams maišeliams ir 13 šiukšliadėžių šunų ekskrementams sudėti (visi panaikinti po 2019-11-12 protokolo Nr. VAK-584), atliekama 6 šunų išvedžiojimo aikštelių priežiūra (po Protokolo panaikinta 1 šunų vedžiojimo aikštelė Aukštabalio g.).</t>
  </si>
  <si>
    <t>Iki 2019 m. lapkričio mėn. buvo atliekama 6 šunų vedžiojimo aikštelių priežiūra. Vadovaujantis 2019-11-12 protokolu Nr. VAK-584: panaikinta šunų išvedžiojimo aikštelė Aukštabalio g.</t>
  </si>
  <si>
    <t>Įrengtų aikštelių kokybiška priežiūra, remontai, aikštelių modernizavimas</t>
  </si>
  <si>
    <t>Suremontuota Mechanikų g., Pelkių g. K. Korsako g. ir Beržynėlyje šunų išvedžiojimo aikštelių įranga.</t>
  </si>
  <si>
    <t>Suremontuota Mechanikų g., Pelkių g. K. Korsako g. ir Beržynėlyje šunų išvedžiojimo aikštelių įranga. Vadovaujantis 2019-11-12 protokolu Nr. VAK-584: panaikinta 10 stovų su dėžutėmis vienkartiniams maišeliams ir 13 šiukšliadėžių šunų ekskrementams sudėti, atsisakyta jų priežiūros; taip pat Panaikintos 7 kačių šėrimo vietos (Sodo g. 2,4,6, 8, Radviliškio g. 64, Radviliškio g. 68 ir Krymo g. 34), atsisakyta jų priežiūros, panaikinta šunų vedžiojimo aikštelė Aukštabalio g. Optimizuojant gyvūnų priežiūrai skirtos infrastruktūros tinklą sutaupyta 8539,93 Eur.</t>
  </si>
  <si>
    <t>Kačių šėrimo vietų priežiūra</t>
  </si>
  <si>
    <t>2019 m. buvo atliekamas gyvūnų priežiūrai skirtos infrastruktūros aptarnavimas pagal sutartį su viešojo pirkimo būdu išrinktu paslaugos teikėju UAB „Ecoservice projektai“ (2018-04-09 sutartis Nr. SŽ-381). Atlikta 18 kačių šėrimo vietų priežiūra (po 2019-11-12 protokolo Nr. VAK-584 panaikintos 7 kačių šėrimo vietos Sodo g. 2,4,6, 8, Radviliškio g. 64, Radviliškio g. 68 ir Krymo g. 34).</t>
  </si>
  <si>
    <t>Iki 2019 m. lapkričio mėn. buvo atliekama 18 kačių šėrimo vietų priežiūra. Vadovaujantis 2019-11-12 protokolu Nr. VAK-584 atsisakyta jų priežiūros; taip pat Panaikintos 7 kačių šėrimo vietos (Sodo g. 2,4,6, 8, Radviliškio g. 64, Radviliškio g. 68 ir Krymo g. 34), atsisakyta jų priežiūros, liko 11 kačių šėrimo vietų.</t>
  </si>
  <si>
    <t>Valstybės biudžeto lėšos (VB)</t>
  </si>
  <si>
    <t>04 PROGRAMOS 2019 METŲ ĮGYVENDINIMO ATASKAITA</t>
  </si>
  <si>
    <t>04.</t>
  </si>
  <si>
    <t>Infrastruktūros objektų priežiūros, modernizavimo ir plėtros programa</t>
  </si>
  <si>
    <t>04.01.</t>
  </si>
  <si>
    <t>Modernizuoti miesto gyvenamųjų rajonų infrastruktūrą, užtikrinti  komunalinių paslaugų teikimo infrastruktūros objektų  priežiūrą, remontą  bei šių paslaugų teikimo kokybę</t>
  </si>
  <si>
    <t>04.01.01.</t>
  </si>
  <si>
    <t xml:space="preserve">Vykdyti miesto infrastruktūros objektų priežiūrą, einamąjį remontą </t>
  </si>
  <si>
    <t>04.01.01.01</t>
  </si>
  <si>
    <t>Tvarkyti aplinką ir vykdyti infrastruktūros objektų priežiūrą ir remontą</t>
  </si>
  <si>
    <t>Miesto komunalinio ūkio priežiūra: žvyruotų gatvių greideriavimas; kelių dangos ženklinimas; eismo reguliavimo, saugių eismo priemonių diegimas, kryptinio apšvietimo įrengimas</t>
  </si>
  <si>
    <t>Iš Kelių priežiūros ir plėtros programos panaudota 387 tūkst. Eur : žvyruotų gatvių greideriavimui 200,0 tūkst.Eur; horizontaliajam ženklinimui 100 tūkst. Eur; greičio mažinimo kalnelių įrengimui (20 vnt.) 21,4 tūkst. Eur;  kelio ženklų įrengimui 14,99 tūkst.Eur; kryptinio apšvietimo įrengimui (20 vnt.) 47,19 tūkst.Eur; atitvarų ir signalinių stulpelių įrengimui 3,35 tūkst. Eur</t>
  </si>
  <si>
    <t>2019 metų pabaigoje buvo paprašyta papildomai lėšų į šią priemonę dėl planuojamo žiemos sezono (sniego valymo, barstymo). Lėšų likutis nepanaudotas, nes nebuvo poreikio (nebuvo žiemos)</t>
  </si>
  <si>
    <t>Aplinkos tvarkymo (žaliųjų plotų, gėlynų, medžių kirtimas, benamių gyvūnų priežiūra, kapinių priežiūra); gatvių apšvietimo ir reguliavimo, sanitarinių paslaugų, gatvių, šaligatvių, aikštelių, vaikų žaidimo aikštelių, takų priežiūros ir  remonto užtikrinimas</t>
  </si>
  <si>
    <t>Iš biudžeto lėšų apmokėta: gatvių ir šaligatvių valymo išlaidos 1372,56 tūkst. Eur; gatvių apšvietimo išlaidos 1823,88 tūkst.Eur; žaliųjų plotų tvarkymas (žolės pjovimas) 388,2 tūkst.Eur; kapinių priežiūros išlaidos (administravimas, kapinių atliekų išvežimas, vandens į kapines tiekimas) 181,08 tūkst.Eur; gėlynų priežiūra 133,82 tūkst.Eur; duobių tvarkymas 355 tūkst.Eur.; mokėjimo automatų priežiūra ir inkasavimas 151,5 tūkst.Eur ir kt.išlaidos</t>
  </si>
  <si>
    <t>1.06.</t>
  </si>
  <si>
    <t>04.01.01.05</t>
  </si>
  <si>
    <t>Daugiabučių kiemų dangos remontas</t>
  </si>
  <si>
    <t>Sutvarkyta, suremontuota kiemų įvažiavimų danga</t>
  </si>
  <si>
    <t>Suremontuoti 136 vnt. kiemų / 13643 kv.m. danga</t>
  </si>
  <si>
    <t>04.01.02.</t>
  </si>
  <si>
    <t>Šiaulių miesto kapinių infrastruktūros plėtra</t>
  </si>
  <si>
    <t>04.01.02.02</t>
  </si>
  <si>
    <t>Kapinių teritorijoje esančios infrastruktūros tvarkymas</t>
  </si>
  <si>
    <t>K. Donelaičio ir Ginkūnų kapinių kelių asfaltavimas</t>
  </si>
  <si>
    <t>Suremontuota asfalto danga 1,5 km Ginkūnų kapinių kelių, suremontuotas pėsčiųjų takas senas šaligatvio plyteles pakeičiant naujomis (700 kv. m.) Ginkūnų civilinėse kapinėse; sutvarkyta 40 vnt benamių kapaviečių pastatant paminklus. Suremontuta 540 m senųjų Talkšos kapinių akmeninės tvoros.</t>
  </si>
  <si>
    <t>Benamių palaidojimo kvartalų Ginkūnų kapinėse sutvarkymas</t>
  </si>
  <si>
    <t>Tvarkomi takai, privažiavimai</t>
  </si>
  <si>
    <t>04.01.02.03</t>
  </si>
  <si>
    <t>Kolumbariumo Ginkūnų kapinėse įrengimo techninio projekto parengimas, statyba ir priežiūra</t>
  </si>
  <si>
    <t>Įgyvendinti kolumbariumo statybos II etapo darbai</t>
  </si>
  <si>
    <t>Pradėta rengti dokumentacija kolumbariumo pirkimui</t>
  </si>
  <si>
    <t>Kolumbariumo statyba planuojama 2020 m. Tam bus panaudotos surinktos pajamos už kolumbariumo nišas.</t>
  </si>
  <si>
    <t>Užtikrinta Kolumbariumo priežiūra (kolumbariumo ir takų valymas)</t>
  </si>
  <si>
    <t>Kolumbariumo priežiūra vykdyta visus metus, valoma 389,6 kv.m.</t>
  </si>
  <si>
    <t>04.01.02.04</t>
  </si>
  <si>
    <t>Vykdyti Daušiškių kapinių statybos ir infrastruktūros įrengimo darbus</t>
  </si>
  <si>
    <t>Įgyvendinti Daušiškių kapinių II etapo įrengimo darbai (paviršinių nuotekų tinklai, kapinių nusausinimas, vandentiekio tinklai, buitinių nuotekų tinklai)</t>
  </si>
  <si>
    <t>Paviršinių nuotekų tinklų,  vandentiekio, buitinių nuotekų, apšvietimo tinklų įrengimas, kapinių nusausinimas vidaus kelių, viešųjų san. mazgų  įrengimas drenažo rinktuvų rekonstravimas</t>
  </si>
  <si>
    <t>Dėl rangovo kaltės neužaktuota planuota suma. 2019 m. užaktuota suma yra 658140,04 eur.</t>
  </si>
  <si>
    <t>1.02.</t>
  </si>
  <si>
    <t>04.01.03.</t>
  </si>
  <si>
    <t xml:space="preserve"> Renovuoti, modernizuoti ir plėsti gatvių apšvietimo ir šviesoforų infrastruktūrą</t>
  </si>
  <si>
    <t>04.01.03.01</t>
  </si>
  <si>
    <t>Vykdyti išorinio apšvietimo tinklų įrengimo ar rekonstrukcijos projektavimo, infrastruktūros objektų apšvietimo įrengimo darbus</t>
  </si>
  <si>
    <t>Naujo apšvietimo įrengimo darbai (atramos)</t>
  </si>
  <si>
    <t xml:space="preserve">Vyturių g. įrengti LED šviestuvai </t>
  </si>
  <si>
    <t>04.01.03.02</t>
  </si>
  <si>
    <t>Įgyvendinti šviesoforų infrastruktūros renovavimą,  koordinuoto valdymo įdiegimą</t>
  </si>
  <si>
    <t>Rekonstruotos šviesoforinio reguliavimo sankryžos</t>
  </si>
  <si>
    <t>Rekonstruota Draugystės - Vytauto g ir  Baltų - Statybininkų g. šviesoforinės sankryžos</t>
  </si>
  <si>
    <t>Trečiojo šviesoforo rekonstrukcijai neužteko skirto finansavimo. </t>
  </si>
  <si>
    <t>04.01.04.</t>
  </si>
  <si>
    <t>Sutvarkyti viešąsias erdves</t>
  </si>
  <si>
    <t>04.01.04.01</t>
  </si>
  <si>
    <t>Prisikėlimo aikštės ir jos prieigų rekonstrukcija</t>
  </si>
  <si>
    <t>Atlikta rangos darbų</t>
  </si>
  <si>
    <t xml:space="preserve">Atlikta 86 proc. rangos darbų. Atlikta lauko buitinių nuotekų tinklų, vandentiekio tinklų  ir lietaus nuotekų tinklų rekonstravimo darbai (keisti įvairaus diametro vamzdžiai, šuliniai, movos, sklendės ir kt., praplauti vamzdynai);
2. Rekonstruoti skveras  prieš Šiaulių m. sav. administraciją (keista trinkelių danga, paminklo Tautos laisvei postamento darbai, LED apšvietimas grindinyje, pastatytos 2 naujos autobusų stotelės stoginės, estrada, rekonstruotas paslaugų pastatas (buvęs viešasis tualetas);
3. Rekonstruota teritorija prie Šiaulių valstybinės kolegijos, Aušros takas, Vasario 16-osios g. nuo Trakų g. iki Aušros al., Tilžės g. atkarpa nuo Aušros al. iki Talšos g., Varpo g. atkarpa tarp Aušros al. ir darbų ribos, Auros al. atkarpa tarp Vasario 16-osios ir Tilžės g., Trakų g. atkarpa nuo darbų ribos iki Vasario 16-osios g.;
4. Renginių (Prisikėlimo) aikštėje įrengti vėliavos stiebo pamatai ir sumontuotas stiebas, laiptų pakopos aptaisytos granito plokštėmis, dekoratyvinių elementų – kubų statybos darbai, fontano montavimo darbai, jo atitvarų šiltinimo darbai, hidroizoliacijos darbai, sienų aptaisymas granito plokštėmis;
5. Pasodinta dalis medžių, želdynių;
6. Įrengta dalis mažosios architektūros: suolai, dviračių stovų, supynės, smėlio stalas;
7. Ekrano statinyje atlikti metalo gaminių darbai, sumontuotos plieninės lauko durys (2 vnt.), fasadinė stiklinė sistema, stogo darbai, sienų ir grindų apdailos darbai, nutiesti buitinių nuotekų tinklai ir įv. kt. darbai;
8. Įrengta dalis Prisikėlimo a. ir gatvių apšvietimo darbų;
9. Įrengta dalis kelio ženklų;
10. Įrengta dalis šviesoforų, atlikta dalis vaizdo stebėjimo kamerų sutvarkymo darbų.
</t>
  </si>
  <si>
    <t>Atlikta dalis rangos darbų. Rangos darbų terminas pratęstas dėl atsiradusių nenumatytų aplinkybių ir papildomų darbų. Aikštė planuojama baigti 2020 m. pavasarį.</t>
  </si>
  <si>
    <t>Sukurtos arba atnaujintos atviros erdvės miestų vietovėse</t>
  </si>
  <si>
    <t>m2</t>
  </si>
  <si>
    <t>58 895</t>
  </si>
  <si>
    <t>Rodiklis bus pasiektas baigus įgyvendinti projektą.</t>
  </si>
  <si>
    <t>04.01.04.05</t>
  </si>
  <si>
    <t>Vilniaus gatvės pėsčiųjų bulvaro ir amfiteatro rekonstrukcija</t>
  </si>
  <si>
    <t>Rangovas atrinktas, sudaryta rangos darbų sutartis, darbai pradėti, tačiau 2019 m. aktuota 0 proc. darbų.</t>
  </si>
  <si>
    <t>Rangos darbų sutartis sudaryta 2019 m. birželio mėn., 2019 m. negautas nei vienas aktavimas. Rangovas dirba lėčiau nei planuota.</t>
  </si>
  <si>
    <t>04.01.04.06</t>
  </si>
  <si>
    <t>Talkšos ežero pakrantės plėtra</t>
  </si>
  <si>
    <t>Baigti darbai viename iš dviejų projekto objektų (Meškerių, Žuvininkų g.)</t>
  </si>
  <si>
    <t xml:space="preserve"> Darbai baigti 2019 m. lapkričio mėn, tačiau darbų užbaigimo procedūros dar nėra užbaigtos.</t>
  </si>
  <si>
    <t>04.01.04.07</t>
  </si>
  <si>
    <t xml:space="preserve"> Įgyvendinti projektą "Viešųjų erdvių ir gyvenamosios aplinkos gerinimas teritorijoje, besiribojančioje su Draugystės prospektu, Vytauto gatve, P.Višinskio gatve ir Dubijos gatve"</t>
  </si>
  <si>
    <t>Sukurtos arba atnaujintos atviros erdvės mieste</t>
  </si>
  <si>
    <t>Vykdomi Draugystės pr. ir Draugystės pr. ir Dubijos g. žiedinės sankryžos rangos darbai, bus tęsiami 2021 m.</t>
  </si>
  <si>
    <t>Rodiklis bus pasiektas baigus įgyvendinti projektą, preliminariai 2023 m. Rodiklis 2020 metais suplanuotas per klaidą. Rangos darbų atlikimo terminas Draugystės kvartalo rangovui buvo atidėtas, daliai pritaikyta bauda už vėlavimą. Neįvyko P. Višinskio g. rangos darbų konkursai.</t>
  </si>
  <si>
    <t>04.01.04.08</t>
  </si>
  <si>
    <t>P. Višinskio gatvės pritaikymas jaunimo poreikiams</t>
  </si>
  <si>
    <t>9 768</t>
  </si>
  <si>
    <t>Skelbti rangos darbų pirkimo konkursai abiejų projekto objektų (P. Višinskio g. nuo Vilniaus g. iki Vytauto g. ir Aikštelė už amfiteatro) rangovams atrinkti, tačiau nugalėtojai neatrinkti.</t>
  </si>
  <si>
    <t>2019 m. vykdyti abiejų projekto objektų (P. Višinskio g. nuo Vilniaus g. iki Vytauto g. ir Aikštelės už amfiteatro) rangos darbų pirkimo konkursai, nugalėtojai nepaskelbti, rangovų paieška tęsiama 2020 metais. Pagal finansavimo sutartį darbai turi būti baigti 2021 metais.</t>
  </si>
  <si>
    <t>04.01.04.09</t>
  </si>
  <si>
    <t>Šiaulių miesto centrinio ir Didždvario parkų bei jų prieigų sutvarkymas</t>
  </si>
  <si>
    <t xml:space="preserve">Vykdomi Centrinio parko rangos darbai, pasirašyta Kaštonų al. rangos darbų sutartis. </t>
  </si>
  <si>
    <t xml:space="preserve">Centrinio parko rangos darbų sparta lėtesnė nei planuota.Atnaujintų atvirų erdvių rodiklis - 192136 m2 turi būti pasiekas 2021 m. pasibaigus projektui </t>
  </si>
  <si>
    <t>04.01.04.10</t>
  </si>
  <si>
    <t>Įgyvendinti projektą "Aušros alėjos (nuo Žemaitės g. iki Varpo g.) viešųjų pastatų ir viešųjų erdvių prieigų rekonstrukcija"</t>
  </si>
  <si>
    <t xml:space="preserve">Pasirašyta rangos darbų pirkimo sutartis, parengtas darbo projektas. </t>
  </si>
  <si>
    <t xml:space="preserve">Parengtas darbo projektas. Darbus pradėsime nuo 2020 m. kovo 16 d. Atnaujintų atvirų erdvių rodiklis - 18280 m2 turi būti pasiekas 2020 m. pasibaigus projektui </t>
  </si>
  <si>
    <t>04.02.</t>
  </si>
  <si>
    <t>Užtikrinti subalansuotą miesto susisiekimo sistemos vystymą</t>
  </si>
  <si>
    <t>04.02.01.</t>
  </si>
  <si>
    <t>Tobulinti miesto vidaus susisiekimo sistemą</t>
  </si>
  <si>
    <t>04.02.01.01</t>
  </si>
  <si>
    <t>Vykdyti naujų magistralinių gatvių suprojektavimo ir nutiesimo, susisiekimo komunikacijų įrengimo, rekonstravimo ir remonto darbus</t>
  </si>
  <si>
    <t>Išlyginamojo asfalto sluoksnio dengimas; šaligatvių įrengimas; šaligatvių remontas</t>
  </si>
  <si>
    <t>Remontuoti šaligatviai, takai:  S. Daukanto g., Gardino g., Vilniaus g., Sembos g., Vytauto g.; įrengtos naujos atkarpos: Dainų g., tarp Architektų ir Žaliūkų gatvių, Pramonės g. (245,6 tūkst.eur).  Iš KPP: pėsčiųjų takų priežiūrai (remontui) 44 tūkst. eur</t>
  </si>
  <si>
    <t>Atlikti miesto gatvių esminio pagerinimo darbai, minkšto asfalto dangos įrengimo darbai, šaligatvių ir takų kapitalinio remonto darbai</t>
  </si>
  <si>
    <t>Įrengta pirmoji Šiauliuose nauja Lyros ir Gardino g.žiedinė sankryža (1166 tūkst.eur); Tilžės g. nuo Statybininkų iki Gegužių g. rekonstrukcija (504,3 tūkst.eur); Tilžės tarp Aukštabalio ir Gardino g.(400,96 tūkst.eur); J.Basanavičiaus iki Vaidoto (473,7 tūkst.eur); Lyros g.(480,9 tūkst.eur); Aido g.(250,4 tūkst.eur); Dainų g. (19,2 tūkst.eur);Nuklono g. (381,2 tūkst.eur); Stumbro g. statyba (28,7 tūkst.eur); pabaigtas Dainų parko takas (47,3 tūkst.eur). Pradėti Tilžės g. nuo Vaidoto iki miesto ribos takų rekonstravimo darbai (151,3 tūkst.eur), laboratoriniams tyrimams išleista 41,8 tūkst. eur</t>
  </si>
  <si>
    <t>04.02.01.07</t>
  </si>
  <si>
    <t>Įrengti kelio Šiauliai-Panevėžys jungtį su Šiaulių industrinio parko teritorija</t>
  </si>
  <si>
    <t>P. Motiekaičio g. tęsinio projekto parengimas</t>
  </si>
  <si>
    <t>Projektui gauta  teigiama ekspertizė. Dėl kelių direkcijos dalies projekto vėlavimo (bendras projektas teikiamas aplinkos vertinimui, projektas nėra įkeltas į infostatybą).</t>
  </si>
  <si>
    <t>04.02.01.10</t>
  </si>
  <si>
    <t>Įgyvendinti projektą „Šiaulių miesto viešojo transporto priemonių parko atnaujinimas“</t>
  </si>
  <si>
    <t>Įsigyti autobusai</t>
  </si>
  <si>
    <t xml:space="preserve">UAB ,,Busturas" įsigijo iš UAB Adampolis 12 vnt. naujų žemagrindžių, suslėgtas gamtines dujas naudojančių autobusų. </t>
  </si>
  <si>
    <t>04.02.01.11</t>
  </si>
  <si>
    <t>Įgyvendinti projektą „Eismo saugumo priemonių įdiegimas Šiaulių mieste“</t>
  </si>
  <si>
    <t>Įdiegtos saugų eismą gerinančios ir aplinkosaugos priemonės</t>
  </si>
  <si>
    <t>Įrengtos dvi saugumo priemonės. 1. S. Dariaus ir S. Girėno g. rekonstravimas (ties Gegužių progimnazija, S. Dariaus ir S.
Girėno g. 22);
2. Dvaro gatvės rekonstravimas.</t>
  </si>
  <si>
    <t xml:space="preserve"> Projektą įgyvendinant planuojama įrengti viso 7 eismo saugumo priemones. 2019 m. įrengtos dvi saugumo priemonės, 2020 m. bus įrengtos likusios 5.</t>
  </si>
  <si>
    <t>04.02.01.13</t>
  </si>
  <si>
    <t>Įgyvendinti projektą „Darnus judumas ir kasdienių kelionių modeliavimas Baltijos jūros miestuose“</t>
  </si>
  <si>
    <t>Atliktas kasdienių kelionių įpročių monitoringas ir pokyčių modeliavimas bei parengtas veiksmų planas</t>
  </si>
  <si>
    <t>2019 m. buvo inicijuotas mobiliosios aplikacijos pirkimas.</t>
  </si>
  <si>
    <t>2019 m. nepasiektas planuotas rodiklis, kadangi su projekto partneriais buvo derinami techniniai reikalavimai, privalomi indikatoriai (palyginimui tarp partnerių). 2019 m. buvo parengta techninė specifikacija, inicijuotas pirkimas mobiliajai aplikacijai pirkti, tačiau pirkimas persikėlė į 2020 metus. Taip pat 2019 m. buvo formuojama darbo grupė, sudaryta iš Šiaulių miesto ir Šiaulių rajono savivaldyvių atstovų - darbo grupė dalyvauja techninių reikalavimų transporto tyrimo paslaugoms pirkti rengime, kadangi siekiama, kad tyrimas apimtų ne tik miesto, bet ir rajono teritoriją. Lėšos nebuvo panaudotos dėl atliekamų parengiamųjų/ techninių darbų ir bus pilnai panaudotos 2020 metais.</t>
  </si>
  <si>
    <t>04.02.01.15</t>
  </si>
  <si>
    <t>Įgyvendinti projektą ,,Pakruojo gatvės rekonstrukcija“</t>
  </si>
  <si>
    <t>Bendras rekonstruotos Pakruojo g. nuo Tilžės g. iki J. Basanavičiaus g. ilgis</t>
  </si>
  <si>
    <t>Atlikta didžioji dalis rangos darbų. Per 2019 m. yra įrengti gatvės pagrindai, inžineriniai tinklai, apšvietimo tinklai (neįskaitant apšvietimo atramų), įrengta dalis gatvės asfalto dangos (apie 95 proc.), dalis įvažų į sklypus (apie 50 proc.), dalis dviračių takų pagrindų (apie 70 proc.). Pakruojo gatvėje vykstantys darbai turėtų būti baigti 2020 m. balandį</t>
  </si>
  <si>
    <t>Dėl papildomų nenumatytų darbų pratęstas darbų atlikimo terminas. Rodiklį numatoma pasiekti 2020 metais.</t>
  </si>
  <si>
    <t>04.02.01.16</t>
  </si>
  <si>
    <t>Įgyvendinti projektą "Tilžės g. dviračių tako rekonstrukcija"</t>
  </si>
  <si>
    <t>Rekonstruotų dviračių takų ilgis</t>
  </si>
  <si>
    <t>Atlikta didžioji dalis rangos darbų. Įengta dalis gatvės asfalto dangos (apie 95 proc.), dalis įvažų į sklypus (apie 50 proc.), dalis dviračių takų pagrindų (apie 70 proc.)</t>
  </si>
  <si>
    <t>Rodiklis nepasiektas dėl rangovo vėlavimo.</t>
  </si>
  <si>
    <t>04.02.01.18</t>
  </si>
  <si>
    <t>Įgyvendinti Bačiūnų g. rekonstrukciją</t>
  </si>
  <si>
    <t>Rekonstruotos gatvės ilgis</t>
  </si>
  <si>
    <t>2019 m vykdyti darbai pagal 2 (915 metrų) ir 3 (1465 m) projekto etapus.  Užklotas asfaltas 1,365 km ir atnaujinta 0,873 dviračių - pėsčiųjų tako (1 etapas (625 m) atliktas 2018 metais)</t>
  </si>
  <si>
    <t xml:space="preserve">Gatvės rekonstrukcija vykdoma etapais:  2018 - 2021 m. Rodiklis pilnai bus pasiektas įvykdžius visus sutartinius įsipareigojimus bei atsižvelgiant į skirtą finansavimą. </t>
  </si>
  <si>
    <t>Įvykdyta darbų</t>
  </si>
  <si>
    <t>04.02.02.</t>
  </si>
  <si>
    <t>Įrengti gatves individualių namų kvartaluose</t>
  </si>
  <si>
    <t>04.02.02.01</t>
  </si>
  <si>
    <t>Suprojektuoti, nutiesti, išasfaltuoti  ar rekonstruoti žvyruotas gatves individualių namų kvartaluose</t>
  </si>
  <si>
    <t>Gatvių asfaltavimo programos vykdymas; žvyruotų gatvių nutiesimo programos vykdymas; žvyruotų gatvių dangos pagerinimo vykdymas</t>
  </si>
  <si>
    <t xml:space="preserve">2007-12-20 T-430 gatvių asfaltavimo programos vykdymas (Linkuvos g.(97,1 tūkst.Eur); Dotnuvos g.(22,3 tūkst.Eur); Odininkų g.(31,4 tūkst.Eur); Poškos g.(110,34 tūkst.Eur); Pelkių g.(68,65 tūkst.Eur); Padirsių g.(71,8 tūkst.Eur), Žaliasodžių g.(240,24 tūkst.Eur);  2008-02-28 T-50 žvyruotų gatvių (Kalniškių g.65,34 tūkst.Eur) nutiesimo programos vykdymas; 2015-08-27 T-246 žvyruotų gatvių dangos pagerinimo, kai dalis darbų finansuojama paramos teikėjo lėšomis sprendimo vykdymas Žemynos (266 tūkst.Eur), Medelyno (111,46 tūkst.Eur), Šonos (57,07 tūkst.Eur), Šatrijos (99,58 tūkst.Eur), Šimšos (73,22 tūkst.Eur), Švendrelio (82,49 tūkst.Eur), Lauksargio (4,1 tūkst.Eur), Šiladžio (36,7 tūkst.Eur), Vėkės (24 tūkst.Eur). </t>
  </si>
  <si>
    <t>Skolintos lėšos (PS)</t>
  </si>
  <si>
    <t>Kelių priežiūros ir plėtros programos lėšos VB (KPPP)</t>
  </si>
  <si>
    <t>05 PROGRAMOS 2019 METŲ ĮGYVENDINIMO ATASKAITA</t>
  </si>
  <si>
    <t>Produkto /Indėlio</t>
  </si>
  <si>
    <t>Rodiklis</t>
  </si>
  <si>
    <t>Mato vnt.</t>
  </si>
  <si>
    <t>2019</t>
  </si>
  <si>
    <t>Paaiškinimai dėl nukrypimo nuo vertinimo kriterijaus plano</t>
  </si>
  <si>
    <t>Planas</t>
  </si>
  <si>
    <t>Faktas</t>
  </si>
  <si>
    <t>05.</t>
  </si>
  <si>
    <t>Ekonominės plėtros programa</t>
  </si>
  <si>
    <t>05.01.</t>
  </si>
  <si>
    <t>Optimizuoti verslo koordinavimo sistemą</t>
  </si>
  <si>
    <t>05.01.02.</t>
  </si>
  <si>
    <t>Sudaryti palankias sąlygas pradėti ir vystyti verslą naujai įsisteigusiems subjektams.</t>
  </si>
  <si>
    <t>05.01.02.01</t>
  </si>
  <si>
    <t>Skatinti smulkiojo verslo subjektus</t>
  </si>
  <si>
    <t>Įgyvendintų skatinimo priemonių skaičius</t>
  </si>
  <si>
    <t>Įgyvendintos visos numatytos smulkiojo verslo paramos priemonės: dalyvavimo parodoje išlaidų dalinis padengimas; išlaidų paramos gavėjui, jo darbuotojams konsultuoti ir mokyti padengimas; įregistruotų naujų įmonių pradinių steigimosi išlaidų dalinis padengimas; jaunimo nuo 18 iki 29 m. verslo skatinimas; vyresnių nei 50 m. asmenų verslo skatinimas; įrangos ir įrankių įsigijimo išlaidų dalinis padengimas. Iš viso pasirašyta 51 sutartis dėl paramos skyrimo.</t>
  </si>
  <si>
    <t>2.03.</t>
  </si>
  <si>
    <t>05.01.02.02</t>
  </si>
  <si>
    <t>Įgyvendinti verslo subjektų mokymo programas</t>
  </si>
  <si>
    <t>Verslo sklaidos renginių skaičius</t>
  </si>
  <si>
    <t>Įgyvendinta daugiau nei planuota. Suorganizuota 10 sklaidos renginių įvairiomis pradedančiajam verslui aktualiomis tematikomis, verslo pusryčiai, verslumo ir inovacijų stovykla, startuolių/mentorių diskusiniai renginiai, taip pat priimamos delegacijos Šiaulių verslo inkubatoriuje, kur supažindinama su įstaigos veikla, verslo situacija Šiauliuose. Bendra renginių trukmė apie 30 val., dalyvių apie 250.</t>
  </si>
  <si>
    <t>Suteiktos konsultacijos valandomis</t>
  </si>
  <si>
    <t>val</t>
  </si>
  <si>
    <t>Vykdytos konsultacijos verslo pradžios, marketingo, mokesčių, verslo idėjos, verslo finansavimo temomis.</t>
  </si>
  <si>
    <t>Surengtų mokymų skaičius</t>
  </si>
  <si>
    <t>Įgyvendinta daugiau nei planuota. Suorganizuoti 5 mokymai (mokesčių, darbų saugos, kūrybiškumo, e-komercijos ir kt. temomis). Bendra mokymų trukmė 24 val, bendrai apie 100 dalyvių). Taip pat suorganizuoti ir 2 kursai - vieni verslo valdymo ir apskaitos programos (40 val. dalyvių 11), kiti verslo anglų kalbos (40 val. dalyvių 10).</t>
  </si>
  <si>
    <t>05.01.04.</t>
  </si>
  <si>
    <t>Skatinti verslumą ir didinti darbo jėgos konkurencingumą</t>
  </si>
  <si>
    <t>05.01.04.01</t>
  </si>
  <si>
    <t>Įgyvendinti jaunimo verslumo skatinimo programą</t>
  </si>
  <si>
    <t>Verslumo mokymo ir verslo informacinės sklaidos renginių skaičius</t>
  </si>
  <si>
    <t>Įgyvendinta daugiau nei planuota. Per 2019 metus suorganizuoti 23 renginiai: HUB' veikla (10 mokymų), kūrybinės industrijos (4 užsiėmimai), Jauno verslo klubo 2 išvažiuojamieji renginiai, 4 mokymai, 1 mokymų sesija (6 dienų), 1 apskaitos kursas (40 val.) ir dalyvavimas "Go social" vienos dienos socialinio verslo festivalyje. Į šį skaičių neįskaičiuoti visi Ekonomikos ir lyderystės mokyklos (ELM) (kuri yra viena is jaunimo programos priemonių) užsiėmimai. Bendras dalyvių skaičius visose aukščiau išvardintose priemonėse (taip pat ir ELM) apie 570.</t>
  </si>
  <si>
    <t>Konsultuotų asmenų skaičius</t>
  </si>
  <si>
    <t>žm.</t>
  </si>
  <si>
    <t>Įsteigtų įmonių skaičius</t>
  </si>
  <si>
    <t>"Padėta įsisteigti šiom įmonėm:VšĮ „Gintarinė bitė“; MB „Metalo projektai“; MB „Optimistiniai debesys“; UAB „Gomesta""; MB „Inovuok“; MB „Reaktyvinė sraigė“; MB „Veksita“; MB „Šiaurės kodas“; MB „Amedturas“; MB „Dinetika“; UAB „Eveleina“; UAB „Skaitmeniniai IT sprendimai“"</t>
  </si>
  <si>
    <t>05.03.</t>
  </si>
  <si>
    <t>Skatinti miesto ekonominę plėtrą pritraukiant Europos Sąjungos fondų ir valstybės lėšas</t>
  </si>
  <si>
    <t>05.03.01.</t>
  </si>
  <si>
    <t xml:space="preserve"> Užtikrinti projektų dokumentacijos rengimą</t>
  </si>
  <si>
    <t>05.03.01.01</t>
  </si>
  <si>
    <t>Parengti (atnaujinti) investicijų projektus</t>
  </si>
  <si>
    <t>Parengtų ir atnaujintų investicijų projektų skaičius</t>
  </si>
  <si>
    <t>"Parengti 6 investicijų projektai/paraiškos („Vaikų socialinės integracijos skatinimas Jelgavos ir Šiaulių miestuose“, „Viešųjų paslaugų kokybės gerinimas Jelgavos ir Šiaulių miestuose stiprinant skaitmeninius gebėjimus ir diegiant inovatyvius sprendimus“, „Viešųjų ir administracinių paslaugų  (miesto tvarkymo,  infrastruktūros priežiūros, avarinių ir ekstremalių situacijų šalinimo bei civilinės saugos) kokybės gerinimas Šiaulių miesto savivaldybėje (II etapas)“; ,,Irklavimo sporto bazės statyba (Žvyro g. 34, Šiauliai); Šiaulių ,,Rasos"" progimnazijos modernizavimas; Šiaulių sporto gimnazijos pastato adresu Vilniaus g. 297, Šiauliai modernizavimas). 
Atlikti galutiniai apmokėjimai, tikslinti, atnaujinti  5 projektų investiciniai projektai: Aušros alėjos (nuo Žemaitės g. iki Varpo g.) viešųjų pastatų ir viešųjų erdvių prieigų rekonstrukcija; Talkšos ežero pakrantės plėtra; Eismo saugumo priemonių diegimas Šiaulių mieste; Tilžės g. dviračių tako rekonstrukcija;  Pakruojo gatvės rekonstrukcija. "</t>
  </si>
  <si>
    <t>Investicijų projektai rengiami ir atnaujinami pagal poreikį, kaina nustatoma atlikus viešųjų pirkimų procedūras.</t>
  </si>
  <si>
    <t>05.03.02.</t>
  </si>
  <si>
    <t>Įgyvendinti investicijų projektus</t>
  </si>
  <si>
    <t>05.03.02.02</t>
  </si>
  <si>
    <t>Vystyti Šiaulių pramoninio  (ŠPP) ir Šiaulių laisvosios ekonominės zonos (Šiaulių LEZ) infrastruktūrą</t>
  </si>
  <si>
    <t>Įrengta jungtis su A9 keliu ir su oro uosto teritorija bei šaligatviai</t>
  </si>
  <si>
    <t>Įrengta kelio jungtis nuo Šiaulių laisvosios ekonominės zonos teritorijos iki magistralinio kelio A9.</t>
  </si>
  <si>
    <t>Šaligatviai bus įrengiami 2020 metais.
2019 metais nebuvo atlikti šaligatvių įrengimo darbai, nes reikalinga patikslinti techninį projektą ir sumažinti pėstiesiems ir dviratininkams skirtos infrastruktūros apimtis. 2019 m. taip pat buvo atliekamas paramos sutarties keitimas.</t>
  </si>
  <si>
    <t>Iškeltų inžinerinių tinklų skaičius</t>
  </si>
  <si>
    <t>Vadovaujantis 2018 m. rugsėjo 21 d. Papildomo susitarimo Nr. SŽ-1030 prie 2015 m. liepos 20 d. Šiaulių miesto savivaldybės ir uždarosios akcinės bendrovės "ATC Baltic" investicijų sutarties Nr. SŽ-908 5 punktu, inžineriniai tinklai iš sklypo, esančio Radviliškio g. 49, turėtų būti iškelti tik tuomet, kai UAB "ATC Baltic" (investuotojas) pateiktų techninį projektą. 2019 m. techninis projektas pateiktas nebuvo, susitarta dėl terminų pratęsimo.</t>
  </si>
  <si>
    <t>Išvalytų laisvų sklypų skaičius</t>
  </si>
  <si>
    <t>2019 m. išvalytas 1 sklypas adresu P. Motiekaičio g. 8.</t>
  </si>
  <si>
    <t>Sklypai valomi pagal poreikį, o 2019 m. buvo tik vieno investuotojo prašymas dėl sklypo išvalymo, rodiklis pasiektas 50 proc.</t>
  </si>
  <si>
    <t>05.03.02.11</t>
  </si>
  <si>
    <t>Vystyti Šiaulių Oro uosto veiklą</t>
  </si>
  <si>
    <t>Įsigytas ilgalaikis turtas aviacijos saugumui užtikrinti</t>
  </si>
  <si>
    <t>Įsigytas ir įrengtas aviacijos saugumo kontrolės postas su įranga (intraskopas, arkinis metalo detektorius, aviacinio saugumo konteinerinis namelis su pagrindo paruošimu, praleidimo vartai, intraskopo generatorius, sprogmenų aptikimo komplektas, elektros įvadas, nešiojamas kompiuteris). Iš sutaupytų lėšų  įmonei papildomai buvo leista įsigyti: keleivių bagažo patikros įrenginio (intraskopo) generatorių; aviacijos saugumo kontrolės posto elektros įvadą; komutacinės įrangos komplektą; nešiojamą kompiuterį; miesto vandentiekio ir nuotekų įvado į įmonės teritoriją techninį projektą; komunalinį vejos pjovimo traktorių.</t>
  </si>
  <si>
    <t>Vandentiekio kanalizacijos įvadų įrengimas kontroliuojamoje teritorijoje</t>
  </si>
  <si>
    <t>Įrengtas sanitarinis mazgas SĮ Šiaulių oro uosto teritorijoje (įrengta vietinė kanalizacija ir vandens padavimas į aviacinio saugumo kontrolės postą; parengtas miesto vandentiekio ir nuotekų įvado į įmonės teritoriją techninis projektas)</t>
  </si>
  <si>
    <t>Įrengta aerodromo teritorijos perimetro apsaugos sistema</t>
  </si>
  <si>
    <t>Įsigyta ir įrengta SĮ Šiaulių oro uosto teritorijos perimetro (Aviacijos g. 5 teritorijos) apsaugos sistema; įsigytas komutacinės įrangos komplektas.</t>
  </si>
  <si>
    <t>Įvykdyti specialieji aviacijos saugumo užtikrinimo įsipareigojimai</t>
  </si>
  <si>
    <t>Aviacijos saugumo funkcija įvykdyta 100 proc. Apmokėtas Oro uosto darbuotojų, vykdančių aviacinio saugumo funkciją, darbo užmokestis, transporto išlaikymo išlaidos, komunalinės paslaugos, darbuotojų mokymai, CAA mokesčiai.</t>
  </si>
  <si>
    <t>05.03.02.12</t>
  </si>
  <si>
    <t>Plėsti Šiaulių oro uosto infrastruktūrą</t>
  </si>
  <si>
    <t>Įgyvendintas perono dangos įrengimo I etapas</t>
  </si>
  <si>
    <t>Neįgyvendinta</t>
  </si>
  <si>
    <t>Priežastys dėl kurių neatlikti planuoti darbai: užsitęsusios projekto parengimo ir rangos darbų pirkimo procedūros (viešieji pirkimai persikėlė į 2020 metus). Projekto rengimo metu sprendinių derinimas su orlaivių angaro projekto sprendiniais.</t>
  </si>
  <si>
    <t>Iki sklypo ribos atlikti susisiekimo ir inžinerinių komunikacijų įrengimo darbai</t>
  </si>
  <si>
    <t>Įrengti elektros, dujotiekio ir telekomunikacijų ryšių tinklai</t>
  </si>
  <si>
    <t>Neįrengtos susisiekimo komunikacijos (kelias) dėl užsitęsusių projekto parengimo ir rangos darbų pirkimo procedūrų (viešieji pirkimai persikėlė į 2020 metus). Projekto rengimo metu sprendinių derinimas su orlaivių angaro projekto sprendiniais.</t>
  </si>
  <si>
    <t>Parengtas techninis projektas</t>
  </si>
  <si>
    <t>Parengtas Kelio nuo Aviacijos gatvės iki sklypo Aviacijos g. 5, Šiauliai, įrengimo, sklypo vidaus kelių įrengimo, riedėjimo tako „B“ rekonstravimo, perono „B“ ir inžinerinių tinklų statybos techninis  projektas</t>
  </si>
  <si>
    <t>Atlikti perono apšvietimo įrengimo darbai</t>
  </si>
  <si>
    <t>Perono apšvietimo įrengimo darbai neatlikti</t>
  </si>
  <si>
    <t>Atlikti lietaus nuotekų tinklų rekonstravimo darbai</t>
  </si>
  <si>
    <t>05.03.03.</t>
  </si>
  <si>
    <t xml:space="preserve">Skatinti investicijų pritraukimą </t>
  </si>
  <si>
    <t>05.03.03.02</t>
  </si>
  <si>
    <t>Viešinti investicinę aplinką</t>
  </si>
  <si>
    <t>Sklypų analizės skaičius</t>
  </si>
  <si>
    <t>Nupirkta sklypų, esančių adresu Pročiūnų g. 14 ir P. Motiekaičio g. 6, analizė.</t>
  </si>
  <si>
    <t>Vertimų skaičius</t>
  </si>
  <si>
    <t>Atliktas Šiaulių pramoninio parko investuotojų atrankos dokumentų (skelbimo, Šiaulių pramoninio parko aprašymo, investuotojų atrankos aprašo, paraiškos, investicijų ir žemės nuomos sutarties, Tarybos sprendimų) vertimas iš lietuvių į anglų kalbą.</t>
  </si>
  <si>
    <t>Šiaulių miesto savivaldybė dalyvavo verslo ir pasiekimų parodoje "Šiauliai 2019". Parodos metu pristatyta Šiaulių miesto investicinė aplinka, Šiaulių miesto savivaldybės įgyvendinti projektai ir padaryti darbai 2019 m., vesti mokymai paramos verslui klausimais, pristatyti 2019 m. verslo projektų konkurso nugalėtojai.</t>
  </si>
  <si>
    <t>Suorganizuoti 2 verslumo skatinimo renginiai, kuriuose pristatytos Šiaulių miesto savivaldybės paramos priemonės smulkiajam verslui. 2019 m. rugsėjo 5 d. organizuota konferencija "XXI a. pramonė: ateities lyderystė".</t>
  </si>
  <si>
    <t>05.03.03.04</t>
  </si>
  <si>
    <t>Parengti Ekonominės plėtros ir investicijų pritraukimo ilgalaikę strategiją</t>
  </si>
  <si>
    <t>Įgyvendintų strategijos veiklų</t>
  </si>
  <si>
    <t>Įvykdyta Strategijos 4.3.2. priemonė - "Šiaulių miesto prekinio ženklo ir stiliaus knygos (angl. Brand book) sukūrimas ir nuoseklus bei vieningas jų naudojimas. Taip pat įvykdyta 4.3.1. priemonė - sukurtas etatas rinkodaros specialistui (kaip alternatyva naujo padalinio ar įstaigos steigimui). Kitos priemonės pradėtos įgyvendinti, dalis veiklų vyko 2019 m. (anglų kalbos kursai Šiaulių miesto savivaldybės darbuotojams (Strategijos priemonė 3.3.4.), VšĮ Šiaulių verslo inkubatoriaus organizuotas renginys "Startup" tema (Strategijos priemonė 3.2.2.)</t>
  </si>
  <si>
    <t>Parengta ilgalaikė strategija</t>
  </si>
  <si>
    <t>Parengta Šiaulių miesto ekonominės plėtros ir investicijų pritraukimo strategija.</t>
  </si>
  <si>
    <t>2.</t>
  </si>
  <si>
    <t>KITOS LĖŠOS IŠ VISO, IŠ JŲ:</t>
  </si>
  <si>
    <t>Kitų šaltinių lėšos KT (KL)</t>
  </si>
  <si>
    <t>06 PROGRAMOS 2019 METŲ ĮGYVENDINIMO ATASKAITA</t>
  </si>
  <si>
    <t>06.</t>
  </si>
  <si>
    <t>Savivaldybės turto valdymo ir privatizavimo programa</t>
  </si>
  <si>
    <t>06.01.</t>
  </si>
  <si>
    <t>Užtikrinti savivaldybei priklausančio turto efektyvų panaudojimą</t>
  </si>
  <si>
    <t>06.01.01.</t>
  </si>
  <si>
    <t>Užtikrinti Savivaldybei nuosavybės teise priklausančio turto įregistravimą viešuosiuose registruose</t>
  </si>
  <si>
    <t>06.01.01.01</t>
  </si>
  <si>
    <t>Tvarkyti  Savivaldybei nuosavybės teise priklausančio  nekilnojamojo turto kadastrinius matavimus ir juos teisiškai įregistruoti Nekilnojamo turto registre</t>
  </si>
  <si>
    <t>Tvarkyti Savivaldybei nuosavybės teise priklausančio nekilnojamojo turto kadfastrinbius mataivmus ir teisiškai įregistruoti turtą Nekilnojamojo turto regisztre</t>
  </si>
  <si>
    <t>Atlikta 4 pastatų (Vytauto g.149-36, Žemaitės g. 71, Aušros al. 17, K.  Jankausko g.21) kadastriniai matavimai. Teisinė registracija atlikta 37 objektams ir 48 objektams atlikti kadastro duomenų pakeitimai.</t>
  </si>
  <si>
    <t>06.01.01.03</t>
  </si>
  <si>
    <t>Padengti išlaidas, susijusias su Privatizavimo programos vykdymu</t>
  </si>
  <si>
    <t>Išlaidų padengimas</t>
  </si>
  <si>
    <t>Lėšos naudojamos privatizuojamų objektų parengimui (turto vertinimui, notaro išlaidoms, energiniam sertifikatui ir kt.).</t>
  </si>
  <si>
    <t>Per 2019 m. parengta 11 objektų privatizavimui. Parduoti 8 negyvenamieji objektai už 401 869 Eur ir 3 butai už 48 400 Eur.</t>
  </si>
  <si>
    <t>06.01.01.04</t>
  </si>
  <si>
    <t>Drausti sukurtą materialųjį turtą</t>
  </si>
  <si>
    <t>Apdraustų objektų skaičius</t>
  </si>
  <si>
    <t>Apdrausti 4 objektai: lopšelis-darželis,,Sigutė", Medelyno progimnazija, Šiaulių plaukimo centras ,,Delfinas", aikštelė prie Šiaurės kolegijos. Objektai draudžiami  pagal poreikį.</t>
  </si>
  <si>
    <t xml:space="preserve"> Objektai draudžiami  pagal poreikį.</t>
  </si>
  <si>
    <t>06.01.01.05</t>
  </si>
  <si>
    <t>Investuoti Savivaldybės turtą</t>
  </si>
  <si>
    <t>VšĮ Verslo inkubatoriaus dalininkų kapitalo didinimas</t>
  </si>
  <si>
    <t>VšĮ Verslo inkubatoriaus kapitalas padidintas.</t>
  </si>
  <si>
    <t>06.01.02.</t>
  </si>
  <si>
    <t>Tinkamai eksploatuoti, remontuoti ir naudoti Savivaldybei priklausančius pastatus</t>
  </si>
  <si>
    <t>06.01.02.01</t>
  </si>
  <si>
    <t>Apmokėti miesto viešojo tualeto Vasario 16-osios g. 61 eksploatavimo išlaidas</t>
  </si>
  <si>
    <t>Apmokėti eksploatavimo išlaidas</t>
  </si>
  <si>
    <t>06.01.02.03</t>
  </si>
  <si>
    <t>Apmokėti Savivaldybei nuosavybės teise priklausančių negyvenamųjų patalpų, pastatų  komunalinių, pastatų apsaugos ir remonto išlaidas</t>
  </si>
  <si>
    <t>Apmokėti eksploatavimo išlaidos</t>
  </si>
  <si>
    <t>Lėšos apmokamos už tuščių patalpų šildymo, elektros, apsaugos ir administravimo išlaidas.</t>
  </si>
  <si>
    <t xml:space="preserve"> Lėšos naudojamos pagal poreikį.</t>
  </si>
  <si>
    <t>06.01.02.10</t>
  </si>
  <si>
    <t>Apmokėti paviršinių (lietaus) nuotekų ir miesto apšvietimo tinklų  kadastrinių matavimų, teisinės registracijos ir turto vertinimo paslaugas</t>
  </si>
  <si>
    <t>Apmokėti turto vertinimo išlaidas</t>
  </si>
  <si>
    <t>Atlikus viešojo pirkimo paslaugą, buvo sutaupytos lėšos. Paslauga nupirkta už 3 500 Eur.</t>
  </si>
  <si>
    <t>06.01.02.13</t>
  </si>
  <si>
    <t>Įgyvendinti projektą „Kraštovaizdžio būklės gerinimas Šiaulių mieste“</t>
  </si>
  <si>
    <t>Nugriautų pastatų skaičius</t>
  </si>
  <si>
    <t>Nugriauti 2 pastatai Radviliškio g. 47</t>
  </si>
  <si>
    <t>Koreguotas bendrasis planas</t>
  </si>
  <si>
    <t>Bendrasis planas pakoreguotas</t>
  </si>
  <si>
    <t>06.01.03.</t>
  </si>
  <si>
    <t>Modernizuoti ir atnaujinti esamą miesto gyvenamąjį fondą</t>
  </si>
  <si>
    <t>06.01.03.04</t>
  </si>
  <si>
    <t>Kompensuoti daugiabučių namų savininkų bendrijų steigimo išlaidas</t>
  </si>
  <si>
    <t>Padengti  steigimo išlaidas</t>
  </si>
  <si>
    <t>Apmokėta už daugiabučių gyvenamųjų namų Radviliškio g.66, Vilniaus g. 237, Dainų g. 29 ir Šalkauskio g. 14A bendrijų steigimo išlaidas.</t>
  </si>
  <si>
    <t>Lėšos naudojamos pagal poreikį.</t>
  </si>
  <si>
    <t xml:space="preserve">Ataskaitinio laikotarpio asignavimų likutis </t>
  </si>
  <si>
    <t>07 PROGRAMOS 2019 METŲ ĮGYVENDINIMO ATASKAITA</t>
  </si>
  <si>
    <t>07.</t>
  </si>
  <si>
    <t>Sporto plėtros programa</t>
  </si>
  <si>
    <t>07.01.</t>
  </si>
  <si>
    <t>Plėtoti aukšto meistriškumo sportininkų rengimo sistemą</t>
  </si>
  <si>
    <t>07.01.01.</t>
  </si>
  <si>
    <t>Organizuoti nacionalinio ir tarptautinio lygmens sporto renginius ir sudaryti galimybę sportininkams deramai pasirengti bei dalyvauti sporto varžybose</t>
  </si>
  <si>
    <t>07.01.01.02</t>
  </si>
  <si>
    <t>Vykdyti miesto, apskrities, šalies ir tarptautinius sporto renginius bei pasirengti ir dalyvauti šalies ir tarptautinėms varžyboms (Baltijos, Europos ir pasaulio čempionato varžyboms,kompleksiniams renginiams ir kt.)</t>
  </si>
  <si>
    <t>Finansuotas neįgaliųjų sporto organizacijų projektų skaičius vnt.</t>
  </si>
  <si>
    <t>2019 metai vienas teikėjas nepateikė paraiškos.</t>
  </si>
  <si>
    <t>Europos čempionate iškovotų 1–6 vietų ir pasaulio čempionate, taurės varžybose iškovotų 1–10 vietų sk.</t>
  </si>
  <si>
    <t>Individualių sporto šakų sportininkai (jaunių, jaunimo ir jaunučių sporto grupėse).</t>
  </si>
  <si>
    <t>Sportininkų, dalyvaujančių tarptautinėse varžybose sk.</t>
  </si>
  <si>
    <t>Surengtų sporto renginių dalyvių skaičius, žm.</t>
  </si>
  <si>
    <t>Surengtų sporto renginių skaičius, vnt</t>
  </si>
  <si>
    <t>Šalies varžybose laimėta 1–3 vietų, sk.</t>
  </si>
  <si>
    <t>Sportininkų, dalyvaujančių šalies varžybose skaičius, žm.</t>
  </si>
  <si>
    <t xml:space="preserve">Planuojant padidintai įvertintos Sporto įstaigų galimybės. Sporto įstaigų pateikti duomenys. </t>
  </si>
  <si>
    <t>2.01.</t>
  </si>
  <si>
    <t>07.01.01.06</t>
  </si>
  <si>
    <t>Pasirengti ir dalyvauti Lietuvos čempionato ir sporto šakų federacijų taurė, Baltijos lygos ir taurės laimėtojų, Europos taurės ir kitose oficialiose (žaidimų komandų jaunimo ir suaugusiųjų amžiaus grupė)</t>
  </si>
  <si>
    <t>Tarptautinėse varžybose laimėta 1–3 vietų</t>
  </si>
  <si>
    <t>1. Europos šalių klubų čempionų taurė - regbio klubas „Baltrex"  - 2 v.; 2-3. Baltijos regbio 15 čempionatas: regbio klubas „Baltrex" - 2 vieta; regbio klubas „Vairas"  - 1 vieta. 4. Baltijos regbio 7 čempionatas, regbio klubas „BaltRex" - 1 v.; 5. Futbolo klubas „ Gintra" moterų futbolo Baltijos lygos čempionatas -  1 vieta.</t>
  </si>
  <si>
    <t>Komandų, dalyvaujančių tarptautinėse varžybose, skaičius vnt.</t>
  </si>
  <si>
    <t>1. Regbio klubas „Baltrex"; 2.  Regbio klubas „Vairas"; 3. Regbio klubas „Šiauliai", 4. Futbolo klubas „Gintra"; 5-6. Sporto klubas „Ginstrektė) (vyrų ir moterų komanda); 7. Tinklinio klubas „Šarūnas"</t>
  </si>
  <si>
    <t>Lietuvos čempionato varžybose laimėta 1–3 vietų</t>
  </si>
  <si>
    <t>1-2. Lietuvos regbio 7 čempionatas:RK „Baltrex" - 1 v.; RK „Vairas" - 3 v.; 3. LT paplūdimio tinklinio čempionatas:Tinklinio klubas „Šarūnas" - 1 v. 4 -5.  Lietuvos žolės riedulio čempionatas (moterys, (laukas ir uždarų patalpų čempionatai), Sporto klubas „Ginstrektė" - 1 v.;  6. Lietuvos žolės riedulio čempionatas (vyrai, uždaros patalpos) Sporto klubas „Ginstrektė"  - 3 v.; 7. Lietuvos moterų futbolo čempionatas, Futbolo klubas „Gintra" - 1 v.</t>
  </si>
  <si>
    <t>Komandų, dalyvaujančių šalies varžybose, skaičius vnt.</t>
  </si>
  <si>
    <t>1. Regbio klubas „Baltrex"; 2.  Regbio klubas „Vairas"; 3. Regbio klubas „Šiauliai"; 4. Futbolo klubas „Gintra"; 5-6. Sporto klubas „Ginstrektė) (vyrų ir moterų komandos); 7-8. Tinklinio klubas „Šarūnas" ir paplūdimio tinklinio komanda; 9-10. Moterų rankinio sporto komandos; 11. Vyrų rankinio sporto klubas; 12. Vyrų krepšinio komanda „Šiauliai; 13. Šiaulių moterų krepšinio komanda</t>
  </si>
  <si>
    <t>07.01.01.08</t>
  </si>
  <si>
    <t>Įgyvendinti Šiaulių miesto reprezentacinių renginių programą</t>
  </si>
  <si>
    <t>Surengtų sporto renginių žiūrovų skaičius, žm.</t>
  </si>
  <si>
    <t>Duomenis pateikė reprezentacinių sporto renginių vykdytojai.</t>
  </si>
  <si>
    <t>Surengti miestą reprezentuojantys sporto renginiai vnt.</t>
  </si>
  <si>
    <t>1. Pasaulio žirgų konkūrų taurės etapas; 2. Lietuvos krepšinio lyga ir Karaliaus Mindaugo Taurė; 3. Šiaulių dviračių lenktynės; 4. Tarptautinės sportinių šokių varžybos „Sun City Cup"; 5. UEFA moterų čempionų lyga ir Moterų futbolo Baltijos lyga; 6. Europos motokroso čempionato etapas.</t>
  </si>
  <si>
    <t>07.01.04.</t>
  </si>
  <si>
    <t>Skatinti perspektyvius ir didelio meistriškumo sportininkus</t>
  </si>
  <si>
    <t>07.01.04.01</t>
  </si>
  <si>
    <t>Skirti metines premijas (stipendijas) perspektyviausiems sportininkams.</t>
  </si>
  <si>
    <t>Premijų (stipendijų), skirtų sportininkams, sk.</t>
  </si>
  <si>
    <t>07.01.04.03</t>
  </si>
  <si>
    <t>Skatinti sportininkus ir trenerius laimėjusius aukštas vietas tarptautinės varžybose.</t>
  </si>
  <si>
    <t>Paskatintų trenerių dalis nuo bendro trenerių skaičiaus, proc.</t>
  </si>
  <si>
    <t>2019 m. gruodžio 31 d.  Šiaulių sporto įstaigose (su VšĮ) dirbo 137 treneriai, 2019-12-19 Admin. Dir. įsakymu paskatinti 11 trenerių.</t>
  </si>
  <si>
    <t>Paskatintų sportininkų dalis nuo bendro meistriškumo ugdymo, meistriškumo tobulinimo ir aukšto meistriškumo grupes lankančių skaičiaus proc.</t>
  </si>
  <si>
    <t>Paskatinti 15 sportininkų</t>
  </si>
  <si>
    <t>2019 metais tik 15 sportininkų atitiko Šiaulių miesto savivaldybės tarybos 2014 m. lapkričio 6 d. sprendimu Nr. T-337 „Dėl sportininkų ir jų trenerių materialinio skatinimo“ patvirtintus kriterijus ir buvo paskatinti. 2019-10-01 dienos duomenimis MU, MT ir DM grupėse (su VšĮ)  buvo 2389 sportininkai,  2019-12-19 Admin. Dir. įsakymu paskatinti 15 sportininkų</t>
  </si>
  <si>
    <t>07.01.05.</t>
  </si>
  <si>
    <t>Užtikrinti optimalų  sporto įstaigų prieinamumą ir paslaugų įvairovę</t>
  </si>
  <si>
    <t>07.01.05.01</t>
  </si>
  <si>
    <t>Skirti lėšų sporto ugdymo centrų veiklai užtikrinti</t>
  </si>
  <si>
    <t>Įvykdytuose reprezentaciniuose Šiaulių m. sporto renginiuose dalyvaujančių skaičius</t>
  </si>
  <si>
    <t>Reprezentaciniame Šiaulių miesto renginyje Šiaulių dviračių lenktynėse, kurį vykdė sporto centras „Dubysa" dalyvavo 615 dalyvių, o reprezentaciniame renginyje „Run Way Run", kurį vykdė Lengvosios atletikos ir sveikatingumo centras  buvo 7000 tūkst. dalyvių</t>
  </si>
  <si>
    <t>Įgyvendintos futbolo ir krepšinio plėtros programos ir ugdomų asmenų (sportininkų) pagal šias programas dalis nuo bendro bendrojo ugdymo mokyklose besimokančių mokinių skaičiaus, vnt/proc.</t>
  </si>
  <si>
    <t>2019-10-01 duomenimis: VšĮ futbolo akademijoje buvo - 717 sport., o VšĮ krepšinio akademijoje „Saulė" - 515 sport. Švietimo sk. duomenimis 2019-09-01 Bendrojo ugdymo įstaigas lankė 13039 mokiniai.</t>
  </si>
  <si>
    <t>Įrengtos paplūdimio tinklinio aikštelės prie Talkšos ežero vnt. Įsigyta mobili gelbėjimo stotis</t>
  </si>
  <si>
    <t>Atnaujinta teniso kortų danga, aikštelių skaičius</t>
  </si>
  <si>
    <t>Ugdomų asmenų (sportininkų) sporto įstaigose dalis nuo bendro bendrojo ugdymo mokyklose besimokančių skaičiaus, proc.</t>
  </si>
  <si>
    <t>VšĮ futbolo akademijoje ,,Šiauliai" ugdomi 715 sportininkai, o Šiaulių  krepšinio akademijoje ,,Saulė" - 540 sportininkų</t>
  </si>
  <si>
    <t>2019-10-01 duomenimis biudžetinėse įstaigas lankė - 2791 sport. Švietimo sk. duomenimis 2019-09-01 Bendrojo ugdymo įstaigas lankė 13039 mokiniai.</t>
  </si>
  <si>
    <t>Sporto įstaigų skaičius, teikiantis paslaugas</t>
  </si>
  <si>
    <t>Komandų dalyvaujančių LFF I lygos varžybose, vnt./žm.</t>
  </si>
  <si>
    <t>07.02.</t>
  </si>
  <si>
    <t>Atnaujinti ir plėsti sporto objektų infrastruktūrą mieste ir sutvarkyti viešąsias erdves, sudarant sąlygas plėtoti sportą ir rekreaciją</t>
  </si>
  <si>
    <t>07.02.01.</t>
  </si>
  <si>
    <t>Statyti naujas sporto bazes ir statinius</t>
  </si>
  <si>
    <t>07.02.01.02</t>
  </si>
  <si>
    <t>Pastatyti irklavimo sporto bazę (Žvyro g. 34)</t>
  </si>
  <si>
    <t>Atlikti I etapo statybos darbai (pastatytas elingas valtims laikyti (1 x 1000)), atlikta darbų, proc.</t>
  </si>
  <si>
    <t>Atlikti I etapo statybos darbai. Pastatyta irklavimo sporto bazė.</t>
  </si>
  <si>
    <t>07.02.01.04</t>
  </si>
  <si>
    <t>Įrengti futbolo aikštę (Kviečių g. 9)</t>
  </si>
  <si>
    <t>Aptvertas stadionas, įrengtas apšvietimas ir sutvarkyta infrastruktūra, atlikta darbų proc.</t>
  </si>
  <si>
    <t xml:space="preserve">Aptvertas stadionas, įrengtas apšvietimas ir sutvarkyta infrastruktūra. </t>
  </si>
  <si>
    <t xml:space="preserve"> 2020 m. gaudyklių įrengimas.</t>
  </si>
  <si>
    <t>07.02.02.</t>
  </si>
  <si>
    <t>Renovuoti ir remontuoti pagal prioritetus atrinktas sporto bazes</t>
  </si>
  <si>
    <t>07.02.02.13</t>
  </si>
  <si>
    <t>Suremontuoti Šiaulių m. stadiono administracinį pastatą ir tribūnas (S. Daukanto g. 23)</t>
  </si>
  <si>
    <t>Pakeista A ir D tribūnų danga, vnt./ atlikta darbų proc.</t>
  </si>
  <si>
    <t>Pakeista A tribūnos danga.</t>
  </si>
  <si>
    <t>Pakeista A tribūnos danga. Atsižvelgiant į finansavimo dydį ir siekiant kokybiškai atlikti darbus buvo nuspręsta D tribūnos dangos pakeitimo darbus atidėti.</t>
  </si>
  <si>
    <t>07.03.</t>
  </si>
  <si>
    <t>Formuoti bendruomenės narių sveiką gyvenseną ir jos kultūrą</t>
  </si>
  <si>
    <t>07.03.01.</t>
  </si>
  <si>
    <t>Sudaryti sąlygas formuoti kūno kultūros įgūdžius ir teigiamą požiūrį į jos reikšmę sveikatai, fiziniam pajėgumui ir užimtumui</t>
  </si>
  <si>
    <t>07.03.01.02</t>
  </si>
  <si>
    <t>Mokyti vaikus plaukti ir saugiai elgtis vandenyje ir prie vandens</t>
  </si>
  <si>
    <t>Išmokytų plaukti vaikų dalis nuo bendro 1–4 klasių mokinių skaičiaus Šiaulių m. mokyklose proc.</t>
  </si>
  <si>
    <t>Išmokyta  460 Šiaulių miesto 2 klasės mokinių plaukti.</t>
  </si>
  <si>
    <t>Plaukimo pagrindai buvo suteikti sutikimą dalyvauti pareiškusių  mokyklų  806 mokiniams. Švietimo sk. duomenimis 2019-09-01 Šiaulių mieste mokėsi 4622 1-4 klasių mokiniai</t>
  </si>
  <si>
    <t>07.03.02.</t>
  </si>
  <si>
    <t>Siekti rezultatyvios kūno kultūros ir sporto plėtros didinant socialinę sporto funkciją, sudarant palankią aplinką gyventojų sveikatai stiprinti ir darbingumui gerinti</t>
  </si>
  <si>
    <t>07.03.02.01</t>
  </si>
  <si>
    <t>Organizuoti sporto visiems ir sveikatingumo renginius (masinės sporto šventės, žaidynės, vasaros užimtumo renginiai ir kt.).</t>
  </si>
  <si>
    <t>Sportinėje veikloje dalyvaujančių dalis nuo bendro Šiaulių m. darbingo amžiaus gyventojų skaičiaus proc.</t>
  </si>
  <si>
    <t>07.03.02.07</t>
  </si>
  <si>
    <t>Pritaikyti miesto viešąsias erdves sveikos gyvensenos ir laisvalaikio poreikiams tenkinti</t>
  </si>
  <si>
    <t>Įgyvendintas Rėkyvos ežero pakrantės pritaikymo jėgos aitvarų ir burlenčių turizmo reikmėms projekto I etapas proc.</t>
  </si>
  <si>
    <t>Įgyvendintas Rėkyvos ežero pakrantės pritaikymo jėgos aitvarų ir burlenčių turizmo reikmėms projekto I etapas. Įrengta: 1. Automobilių stovėjimo aikštelė;
2. Vandentiekio, nuotekų tinklų įrengimas;
3. Įvažiavimo ir praėjimo takų sutvarkymas;
4. Elektros į sklypą įvedimas;
5. Takų ir ežero pakrantės apšvietimo tinklų įrengimas;
6. Gerbūvio sutvarkymas;
7. Laikinos konteinerių stovyklavietės, administracinių patalpų, WC, dušo ir kitų patalpų, kemperių zonos įrengimas;
8. Tinklinio aikštelės papildymas smėliu;
9. Kitos išlaidos (žemės sklypo matavimų, kadastrinių matavimų bylų ir jų kompiuterinių laikmenų; išpildomųjų dokumentų bei ataskaitų parengimas ir kt.).</t>
  </si>
  <si>
    <t>07.03.02.08</t>
  </si>
  <si>
    <t>Įrengti vandens transporto nuleidimo vietą į Rėkyvos ežerą</t>
  </si>
  <si>
    <t>Įrengtas vandens transporto nuleidimo vieta į Rėkyvos ežerą, vietų sk.</t>
  </si>
  <si>
    <t>Įrengta vandens transporto nuleidimo vieta į Rėkyvos ežerą.</t>
  </si>
  <si>
    <t>Valstybės biudžeto lėšos KT (VB)</t>
  </si>
  <si>
    <t>08 PROGRAMOS 2019 METŲ ĮGYVENDINIMO ATASKAITA</t>
  </si>
  <si>
    <t>08.</t>
  </si>
  <si>
    <t>Švietimo prieinamumo ir kokybės užtikrinimo programa</t>
  </si>
  <si>
    <t>08.01.</t>
  </si>
  <si>
    <t>Gerinti švietimo prieinamumą ir tobulinti valdymą</t>
  </si>
  <si>
    <t>08.01.01.</t>
  </si>
  <si>
    <t>Pristatyti švietimo veiklą, atstovauti miestui ir plėtoti vaikų ugdymo įvairovę</t>
  </si>
  <si>
    <t>08.01.01.01</t>
  </si>
  <si>
    <t>Atstovauti miestui, pristatyti švietimo veiklą, organizuoti renginius</t>
  </si>
  <si>
    <t>Olimpiadų dalyvių</t>
  </si>
  <si>
    <t>sk.</t>
  </si>
  <si>
    <t>Olimpiadose dalyvavo daugiau nei 1000 miesto bendrojo ugdymo mokyklų mokinių.</t>
  </si>
  <si>
    <t xml:space="preserve">Tradicinių mokytojų ir mokinių renginių </t>
  </si>
  <si>
    <t>Surengti renginiai ,,Metų geriausieji“, Rugsėjo 1-osios šventė, ,,Metų mokytojas“, Kalėdinis švietimo bendruomenės renginys, "Aš - lyderis", Vaikų gynimo diena, Švietimo bendruomenės konferencija, Vasario 16-osios ir Kovo 11-osios minėjimo šventės.</t>
  </si>
  <si>
    <t xml:space="preserve">Įteiktų premijų ,,Metų mokytojas“ </t>
  </si>
  <si>
    <t>Mokytojo dienos proga dešimčiai miesto pedagogų įteiktos ,,Metų mokytojo“ premijos.</t>
  </si>
  <si>
    <t>Švietimo bendruomenės organizuoti reprezentaciniai miesto renginiai</t>
  </si>
  <si>
    <t>Organizuoti renginiai : tarptautinis šokio festivalis-konkursas ,,Aušrinė žvaigždė“, renginiai ,,Runway run“ ir Šiauliai Smart“, paroda ,,Tavo PIN kodas“, Šeimų šventė.</t>
  </si>
  <si>
    <t>08.01.01.02</t>
  </si>
  <si>
    <t>Sukurti skaitmenines mokymosi aplinkas bendrojo ugdymo mokyklose</t>
  </si>
  <si>
    <t xml:space="preserve">Sukurtos skaitmeninės mokymosi aplinkos, įvykdyti mokymai bei konsultacijos mokytojams ir mokyklos administracijai, mokyklų </t>
  </si>
  <si>
    <t>Devyniose („Romuvos“ , Dainų, Gegužių, Jovaro, Medelyno, Gytarių, Zoknių progimnazijose, „Saulės“ pradinėje mokykloje ir „Santarvės“ gimnazijoje) miesto bendrojo ugdymo mokyklose įdiegtos skaitmeninės mokymosi aplinkos.</t>
  </si>
  <si>
    <t>08.01.02.</t>
  </si>
  <si>
    <t>Tobulinti švietimo valdymą ir tenkinti gyventojų švietimo poreikius.</t>
  </si>
  <si>
    <t>08.01.02.02</t>
  </si>
  <si>
    <t>Užtikrinti neformaliojo švietimo elektroninės apskaitos sistemos funkcionavimą ir internetinių mokymo priemonių panaudojimą</t>
  </si>
  <si>
    <t>Įstaigų objektai, kuriuose įdiegta ir atnaujinta, veikianti apskaitos sistema</t>
  </si>
  <si>
    <t>Vykdyta 24 neformaliojo švietimo objektų ir 33 laisvųjų mokytojų teikiamų neformaliojo švietimo paslaugų lankomumo apskaita.</t>
  </si>
  <si>
    <t>Lietuvių autorių ir knygų lietuvių kalba mokyklinio amžiaus skaitytojams duomenų bazės prenumerata</t>
  </si>
  <si>
    <t>Lietuvių autorių ir knygų lietuvių kalba mokyklinio amžiaus skaitytojams duomenų bazės prenumerata naudojosi 36 Šiaulių miesto mokyklos.</t>
  </si>
  <si>
    <t>08.01.02.03</t>
  </si>
  <si>
    <t>Vykdyti suaugusiųjų neformaliojo švietimo programas</t>
  </si>
  <si>
    <t xml:space="preserve">Programos dalyvių </t>
  </si>
  <si>
    <t>Neformaliojo švietimo programose dalyvavo per 1166 suaugusiųjų.</t>
  </si>
  <si>
    <t>08.01.02.04</t>
  </si>
  <si>
    <t>Vykdyti Šiaulių miesto savivaldybės, jos teritorijoje veikiančių aukštųjų mokyklų, Šiaulių profesinio rengimo centro ir švietimo įstaigų bendradarbiavimo programas</t>
  </si>
  <si>
    <t>STEAM renginių ir varžybų</t>
  </si>
  <si>
    <t>STEAM konferencija mokytojams</t>
  </si>
  <si>
    <t xml:space="preserve">Studijų parama, studentų  </t>
  </si>
  <si>
    <t>Pasikeitus finansavimo tvarkai, gauta mažiau paraiškų studijų paramai gauti.</t>
  </si>
  <si>
    <t xml:space="preserve">INOSTART programų </t>
  </si>
  <si>
    <t>Per 2019 metus įgyvendinta 11 INOSTART programų:  Šiaulių universiteto 1. „Triratė transporto priemonė varoma alternatyviais energijos šaltiniais“, 2. „Gamtai draugiškas elektrinių transporto priemonių nuomos punktas“, 
3. „Birių produktų pakuočių paletavimo roboto griebtuvo projektavimas“  
4. „Eksperimentinio duomenų automatizuoto kaupimo ir apdorojimo algoritmų kūrimo programinės įrangos Labview pagrindu metodika“  
Šiaulių valstybinės kolegijos 1. „Mobilaus logistinio roboto projektavimas, gaminimas ir jo veikimo optimizavimas“, 
2. „Įrengimų priežiūros specialisto iškvietimo ir faktinio naudojimo laiko registravimo sistemos projektavimas ir diegimas“, 
3. „Mobilių darbuotojų komandų kelionės ir darbo laiko objekte registravimo naudojant RFID darbuotojų žymenis sistemos projektavimas“, 
4. „Robotizuoto logistikos terminalo sukūrimas ir jo panaudojimo siekiant optimizuoti logistinius procesus galimybių analizė“, 
5. „Automatizuotos modulinės prekių skirstymo, perkėlimo ir sandėliavimo sistemos sukūrimas ir optimizavimas“, 
6. „Automobilių autonominių šildytuvų patikros ir remonto stendo valdymo sistemos projektavimas“, 
7. „UAB „Busturas“ informacinė sistema autobusų eksploatacijos ir gedimų registravimui“ įgyvendinti.</t>
  </si>
  <si>
    <t>STEAM  ir STEAM JUNIOR programos grupių skaičius</t>
  </si>
  <si>
    <t>2019 metais STEAM ir STEAM JUNIOR programose dalyvavo 160 grupių.</t>
  </si>
  <si>
    <t>Švietimo bendruomenės renginių ir mokinių eksperimentinių tyrimų ugdymo poreikiams sukurtų lauko edukacinių erdvių skaičius</t>
  </si>
  <si>
    <t>Sukurtos švietimo bendruomenės renginiams ir mokinių eksperimentinių tyrimų ugdymo poreikiams lauko edukacinės erdvės botanikos sode.</t>
  </si>
  <si>
    <t>Inžinerijos ir informatikos mokslų krypties studijų Šiaulių mieste parama, skatinamųjų stipendijų sk.  (+2 užsienio dėstytojų vizitai)</t>
  </si>
  <si>
    <t>2019 metais suteikta 1 inžinerijos ir informatikos mokslų krypties studijų Šiaulių mieste parama 1 dėstytojo vizitui, suteikta 1 skatinamoji stipendija</t>
  </si>
  <si>
    <t>////</t>
  </si>
  <si>
    <t xml:space="preserve">Viešųjų ryšių akcijos „Šiauliai – sėkmingos karjeros miestas“ priemonių </t>
  </si>
  <si>
    <t>Atliktos įvairios viešųjų ryšių akcijos: „Šiauliai – sėkmingos karjeros miestas“, koordinuota  Facebook paskyros „Šiauliai – karjeros miestas“ veikla, STEAM programos pristatymas Šiaulių arenoje, sukurti ir pristatyti Šiaulių mieste STEAM programos ir profesinio veiklinimo video filmai</t>
  </si>
  <si>
    <t>08.02.</t>
  </si>
  <si>
    <t>Užtikrinti bendrųjų ir specialiųjų ugdymo programų įgyvendinimą, kokybiškos pagalbos mokiniams, jų tėvams ir mokytojams teikimą</t>
  </si>
  <si>
    <t>08.02.01.</t>
  </si>
  <si>
    <t>Įgyvendinti bendrąsias ir specialiąsias ugdymo programas, teikti pagalbą mokiniams, jų tėvams ir mokytojams</t>
  </si>
  <si>
    <t>08.02.01.01</t>
  </si>
  <si>
    <t>Finansuoti švietimo įstaigų veiklą (ML 98 % + SB)</t>
  </si>
  <si>
    <t xml:space="preserve">Bendrojo ugdymo mokyklų </t>
  </si>
  <si>
    <t>Pedagogų mokymai dirbti informacinėmis technologijomis, asmeninių ir profesinių gebėjimų kursai, dalyvių skaičius</t>
  </si>
  <si>
    <t>Mokinių skaičius</t>
  </si>
  <si>
    <t xml:space="preserve">Sumažėjo mokinių sk. </t>
  </si>
  <si>
    <t>Švietimo centras</t>
  </si>
  <si>
    <t>Vidutiniškai vienam mokiniui tenkantis plotas</t>
  </si>
  <si>
    <t>Įstaigų, kuriose įsteigti karjeros specialisto etatai, skaičius</t>
  </si>
  <si>
    <t>Mokinių, lankančių IT, robotikos, inžinerijos neformaliojo ugdymo būrelius, dalis</t>
  </si>
  <si>
    <t>Pedagoginę psichologinę pagalbą teikianti tarnyba</t>
  </si>
  <si>
    <t>Įstaigų, kuriose įrengtas išmanusis šildymas, skaičius</t>
  </si>
  <si>
    <t>Įstaigų poreikių tenkinimas, įstaigų skaičius</t>
  </si>
  <si>
    <t>,,Kultūros krepšelis“ edukaciniams užsiėmimams Šiaulių regiono muziejuose ir kitose kultūros įstaigose, mokinių skaičius</t>
  </si>
  <si>
    <t>Suformatuotų, atspausdintų ir išduotų naujų elektroninių mokinio pažymėjimų skaičius</t>
  </si>
  <si>
    <t>1.03.</t>
  </si>
  <si>
    <t>08.02.01.02</t>
  </si>
  <si>
    <t>Mokymo reikmių tenkinimas      (ML 2 % )</t>
  </si>
  <si>
    <t>Ikimokyklinio ugdymo mokyklų skaičius</t>
  </si>
  <si>
    <t>Švietimo įstaigų pagalbos specialistų skaičius</t>
  </si>
  <si>
    <t>Švietimo įstaigų valdymo organizavimo procese dalyvaujančių asmenų skaičius</t>
  </si>
  <si>
    <t>Mokyklų, įdiegusių socialinių kompetencijų  ugdymo modelį, skaičius</t>
  </si>
  <si>
    <t>Egzaminų vykdytojų ir vertintojų skaičius</t>
  </si>
  <si>
    <t>Formalųjį švietimą papildančių programų skaičius</t>
  </si>
  <si>
    <t>Bendrojo ugdymo mokyklų skaičius</t>
  </si>
  <si>
    <t>Mieste veikia 34 bendrojo ugdymo mokyklų (su viešosiomis mokyklomis).</t>
  </si>
  <si>
    <t>08.02.01.03</t>
  </si>
  <si>
    <t>Organizuoti mokinių vežimą</t>
  </si>
  <si>
    <t>Mokinių, kuriems kompensuojamas važiavimas į mokyklą, skaičius</t>
  </si>
  <si>
    <t>Kompensuota mokinių vežimas pagal faktines išlaidas</t>
  </si>
  <si>
    <t>Kompensuota mokinių vežimas pagal faktines išlaidas - kiekvieną mėnesį mokinių skaičius yra kintantis. 2019 m. kitimas svyravo tarp 685 ir 713.</t>
  </si>
  <si>
    <t>08.02.01.09</t>
  </si>
  <si>
    <t>Finansuoti viešųjų įstaigų, įgyvendinančių bendrąsias ir specialiąsias ugdymo programas bei nevalstybinių tradicinių religinių bendruomenių ir bendrijų mokyklų veiklą (ML 98 % + SB)</t>
  </si>
  <si>
    <t>VšĮ ugdymo įstaigų sk. (Šiaulių universiteto gimnazija, ,,Smalsieji pabiručiai“ ir Šiaulių jėzuitų mokykla)</t>
  </si>
  <si>
    <t>VšĮ ugdymo įstaigų sk, (Šiaulių universiteto gimnazija)</t>
  </si>
  <si>
    <t>Nevalstybinių tradicinių religinių bendruomenių ir bendrijų mokyklų skaičius</t>
  </si>
  <si>
    <t>08.02.01.10</t>
  </si>
  <si>
    <t>Pailgintų priešmokyklinio ugdymo grupių atidarymas bendrojo ugdymo mokyklose</t>
  </si>
  <si>
    <t>08.02.01.14</t>
  </si>
  <si>
    <t>Įgyvendinti projektą „Gerinti mokinių pasiekimus diegiant kokybės krepšelį“</t>
  </si>
  <si>
    <t>Kokybės krepšelį gavusių mokyklų skaičius</t>
  </si>
  <si>
    <t>08.02.01.15</t>
  </si>
  <si>
    <t>Įgyvendinti projektą „Mokyklų aprūpinimas gamtos ir technologinių mokslų priemonėmis“</t>
  </si>
  <si>
    <t>Įrangą ir priemones gavusių mokyklų skaičius</t>
  </si>
  <si>
    <t>2.02.</t>
  </si>
  <si>
    <t>08.02.01.16</t>
  </si>
  <si>
    <t>Įgyvendinti projektą „Ugdymo karjerai sistemos tobulinimas Šiaulių miesto savivaldybės bendrojo ugdymo mokyklose“</t>
  </si>
  <si>
    <t>Projekto dalyvių skaičius</t>
  </si>
  <si>
    <t>Projekto finansavimo sutartis pasirašyta 2019 m. spalio mėn. Iškart po sutarties pasirašymo pervesta 40 % skirtos dotacijos veikloms vykdyti. 2019 m. pabaigoje vyko parengiamieji darbai: dalyvių atrankos komisijų formavimas vidų partnerių (27 mokyklų) organizacijose, dalyvių atrankų procesas, dokumentų tvarkymas, vizitų laikų planavimas. Realios veiklos (dalyvavimas kursuose ir darbo stebėjimo vizituose) bus pradėtas 2020 metais ir tęsis iki 2021 m. spalio.</t>
  </si>
  <si>
    <t>08.03.</t>
  </si>
  <si>
    <t>Tenkinti ikimokyklinio ir priešmokyklinio ugdymo poreikius ikimokyklinio ugdymo įstaigose</t>
  </si>
  <si>
    <t>08.03.01.</t>
  </si>
  <si>
    <t>Vykdyti ikimokyklinį ir priešmokyklinį ugdymą</t>
  </si>
  <si>
    <t>08.03.01.01</t>
  </si>
  <si>
    <t>Finansuoti ikimokyklinį ir priešmokyklinį ugdymą</t>
  </si>
  <si>
    <t>Nevalstybines švietimo įstaigas, įgyvendinančias ikimokyklinio ugdymo programas, lankančių ugdytinių skaičius</t>
  </si>
  <si>
    <t>Ikimokyklinio ugdymo įstaigose lengvatas gaunančių vaikų skaičius</t>
  </si>
  <si>
    <t xml:space="preserve">Lėšos panaudotos pagal pateiktas paraiškas. </t>
  </si>
  <si>
    <t>Ikimokyklinio ugdymo įstaigų skaičius</t>
  </si>
  <si>
    <t>Lankančių priešmokyklinio ugdymo grupes ikimokyklinio ugdymo įstaigose vaikų skaičius</t>
  </si>
  <si>
    <t>Pagal ikimokyklinę programą ugdomų vaikų skaičius</t>
  </si>
  <si>
    <t>08.03.01.07</t>
  </si>
  <si>
    <t>Finansuoti ikimokyklinio ir priešmokyklinio ugdymo programas vykdančias viešąsias įstaigas</t>
  </si>
  <si>
    <t>Įstaigų skaičius</t>
  </si>
  <si>
    <t>08.04.</t>
  </si>
  <si>
    <t>Tenkinti mokinių pažinimo, ugdymosi ir saviraiškos poreikius, sudaryti palankias sąlygas vaikų socializacijai</t>
  </si>
  <si>
    <t>08.04.01.</t>
  </si>
  <si>
    <t>Užtikrinti neformaliojo vaikų švietimo prieinamumą</t>
  </si>
  <si>
    <t>08.04.01.01</t>
  </si>
  <si>
    <t>Vykdyti neformaliojo vaikų švietimo programas</t>
  </si>
  <si>
    <t>Vaikų, lankančių neformaliojo vaikų švietimo mokyklas skaičius</t>
  </si>
  <si>
    <t>Nevalstybinių švietimo įstaigų ir laisvųjų mokytojų įgyvendinamas neformaliojo vaikų švietimo programas lankančių vaikų skaičius</t>
  </si>
  <si>
    <t>2019 m. lėšos skirtos pagal miesto bendrojo ugdymo mokyklų mokinių skaičių Mokinių registre. Dalis NVŠ programų tiekėjų sustabdė programų vykdymą, todėl lėšos naudotos pagal realiai veikiančių programų skaičių.</t>
  </si>
  <si>
    <t>Neformaliojo vaikų švietimo mokyklų skaičius</t>
  </si>
  <si>
    <t>Neformaliojo vaikų švietimo programų skaičius</t>
  </si>
  <si>
    <t>Neformaliojo vaikų švietimo teikėjų skaičius</t>
  </si>
  <si>
    <t>Atlyginimo už neformalųjį vaikų švietimą lengvatą gaunančių vaikų skaičius</t>
  </si>
  <si>
    <t>Lėšos panaudotos pagal pateiktas paraiškas.</t>
  </si>
  <si>
    <t>08.04.01.04</t>
  </si>
  <si>
    <t>Įgyvendinti vaikų ir jaunimo vasaros užimtumo programas</t>
  </si>
  <si>
    <t>Vasaros užimtumo programose dalyvaujančių vaikų skaičius</t>
  </si>
  <si>
    <t>Tarptautinėje vasaros stovykloje dalyvaujančių vaikų skaičius</t>
  </si>
  <si>
    <t>08.05.</t>
  </si>
  <si>
    <t>Stiprinti švietimo įstaigų materialinę ir techninę bazę</t>
  </si>
  <si>
    <t>08.05.01.</t>
  </si>
  <si>
    <t>Užtikrinti švietimo įstaigų funkcionavimą</t>
  </si>
  <si>
    <t>08.05.01.01</t>
  </si>
  <si>
    <t>Atnaujinti švietimo įstaigų aplinką, užtikrinti pastatų vidaus komunikacijų funkcionavimą.</t>
  </si>
  <si>
    <t>Švietimo įstaigų, kuriose sumontuotas apšvietimas ant atramų skaičius</t>
  </si>
  <si>
    <t>Sumontuotas teritorijos apšvietimas ant atramų 9 ikimokyklinio ugdymo įstaigose: l/d "Ąžuoliukas", "Bangelė", "Pušelė", "Salduvė", "Eglutė",  "Gintarėlis", "Gluosnis", "Saulutė", "Voveraitė".</t>
  </si>
  <si>
    <t>Pašalinta avarijų</t>
  </si>
  <si>
    <t>Atliktas avarijų šalinimas ir remontas visose poreikį pateikusiose švietimo įstaigose. Per 2019 metus aptarnaujamose apie 70 švietimo įstaigų buvo atlikti šie darbai: 1. Elektros darbai: Elektros instaliacijos remontas. Šviestuvų remontas, droselių, starterių keitimas.  Naujų šviestuvų montavimas.  Sudegusių rozečių keitimas. Naujų rozečių montavimas. Naujų jungtukų montavimas. Sudegusių jungtukų keitimas. Elektros spintų remontas, sudegusių automatų, saugiklių keitimas. Naujų elektros linijų tiesimas. Įrengimų pajungimas. Įvadinių kabelių keitimas.Elektrinių vandens šildytuvų pajungimas. Ventiliatorių remontas. Rekuperacinės vėdinimo sistemos remontas. Elektros variklių keitimas. Elektros plytų remontas. Konvekcinių krosnių pajungimas. Naujo įvado montavimas. Skylių sienose ir grindyse kirtimas.
2. Santechnikos darbai: Vandentiekis.
Naujų vandentiekio vamzdžių keitimas.  Vamzdžių remontas sąvaržų uždėjimas, įvairių diametrų armatūros, kranų, movų, trišakių, jungčių keitimas. Atbulinių vožtuvų keitimas. Balansinių vožtuvų keitimas. Filtrų keitimas. Naujų maišytuvų montavimas. Elektrinių vandens šildytuvų montavimas. Kasimo darbai, įvadinių naujų vamzdžių tiesimas. Skylių sienose ir grindyse kirtimas.
3. Šildymo sistema: Šildymo sistemos vamzdžių remontas. Dalinis vamzdžių keitimas. Maišytuvų keitimas. Balansinių ventilių keitimas. Atbulinių vožtuvų keitimas. Sudegusių cirkuliacinių siurblių keitimas. Prakiurusių radiatorių keitimas. Katilinės katilų sudegusio kamino keitimas. Elektrinių vandens šildytuvų montavimas. Kasimo darbai išorėje, skylių kirtimas, įvadinių naujų vamzdžių tiesimas.
4. Kanalizacija. Skylių kirtimas sienose ir grindyse. Senų kanalizacijos vamzdžių keitimas. Fasoninių dalių, trišakių, movų, alkūnių keitimas. Klozetų bakelių remontas. Naujų klozetų montavimas. Naujų praustuvų montavimas. Sifonų keitimas. Užsikišusių kanalizacijos vamzdžių atkimšimas. Kasimo darbai. Naujų įvadinių kanalizacijos vamzdžių montavimas.</t>
  </si>
  <si>
    <t>08.05.02.</t>
  </si>
  <si>
    <t>Atnaujinti ir modernizuoti švietimo įstaigų ugdymo aplinką</t>
  </si>
  <si>
    <t>08.05.02.07</t>
  </si>
  <si>
    <t>Įgyvendinti projektą ,,Medelyno progimnazijos  pastato modernizavimas“</t>
  </si>
  <si>
    <t>Atlikta planuotų pastato remonto darbų</t>
  </si>
  <si>
    <t>Atlikti planuoti darbai: sumontuoti keltuvai, sutvarkytos laiptinės, įrengtas pandusas, suremontuota dalis rūsio patalpų, įrengti tualetai žmonėms su negalia ir dušas prie sporto salės, pakeista apsauginė ir priešgaisrinė signalizacija, sumontuotos šildymo-vėdinimo sistemos.</t>
  </si>
  <si>
    <t>08.05.02.14</t>
  </si>
  <si>
    <t>Įgyvendinti projektą ,,J. Janonio gimnazijos pastato Šiauliuose, Tilžės g. 137, rekonstravimas“</t>
  </si>
  <si>
    <t>Atliktas dalinis  pastato remontas</t>
  </si>
  <si>
    <t xml:space="preserve"> Atlikti visi suplanuoti remonto darbai, lifto įrengimas perkeltas į 2020 metus.</t>
  </si>
  <si>
    <t>08.05.02.16</t>
  </si>
  <si>
    <t>Rekonstruoti miesto gimnazijų ir mokyklų sporto aikštynus</t>
  </si>
  <si>
    <t>Parengtas Juliaus Janonio gimnazijos daugiafunkcinės sporto aikštės įrengimo techninis  projektas</t>
  </si>
  <si>
    <t>Parengtas Juliaus Janonio gimnazijos daugiafunkcinės sporto aikštės įrengimo techninis projektas.</t>
  </si>
  <si>
    <t>Parengti projektai ,,Juventos“ ir Gegužių progimnazijų sporto aikštelėms</t>
  </si>
  <si>
    <t>Parengtas projektas Gegužių progimnazijų sporto aikštelei.</t>
  </si>
  <si>
    <t>Atlikti numatyti rangos darbai</t>
  </si>
  <si>
    <r>
      <rPr>
        <sz val="12"/>
        <color rgb="FF000000"/>
        <rFont val="Times New Roman"/>
        <family val="1"/>
        <charset val="186"/>
      </rPr>
      <t xml:space="preserve">Atlikti numatyti  </t>
    </r>
    <r>
      <rPr>
        <sz val="12"/>
        <rFont val="Times New Roman"/>
        <family val="1"/>
        <charset val="186"/>
      </rPr>
      <t xml:space="preserve">grunto parengimo </t>
    </r>
    <r>
      <rPr>
        <sz val="12"/>
        <color rgb="FF000000"/>
        <rFont val="Times New Roman"/>
        <family val="1"/>
        <charset val="186"/>
      </rPr>
      <t xml:space="preserve"> Juliaus Janonio gimnazijos aikštyno rangos darbai.</t>
    </r>
  </si>
  <si>
    <t>08.05.02.22</t>
  </si>
  <si>
    <t>Įgyvendinti projektą ,,Rėkyvos progimnazijos rekonstrukcija ir aplinkos gerinimas“</t>
  </si>
  <si>
    <t>Pakoreguotas projektas, atlikta planuotų mokyklos rekonstravimo darbų</t>
  </si>
  <si>
    <t>Pakoreguotas "Rėkyvos" progimnazijos rekonstrukcijos techninis projektas.</t>
  </si>
  <si>
    <t>Pakoreguotas "Rėkyvos" progimnazijos rekonstrukcijos projektas (įvykdymas 100 proc.). Rekonstravimo darbai planuojami 2020 ir 2021 metais.</t>
  </si>
  <si>
    <t>08.05.02.23</t>
  </si>
  <si>
    <t>Tvarkyti švietimo įstaigų teritorijų dangas ir įvažiavimus</t>
  </si>
  <si>
    <t>Švietimo įstaigų, kuriose atnaujintos teritorijų dangos ir įvažiavimai, skaičius („Dagilėlio“ dainavimo mokykla, "Rasos" progimnazija, Švietimo centras, lopšeliai-darželiai „Varpelis“, „Pasaka“ , „Gintarėlis“, Lieporių gimnazija, Gegužių, „Romuvos“ progimnazijos)</t>
  </si>
  <si>
    <t>Teritorijų dangos sutvarkytos 2 švietimo įstaigose: "Juventos" progimnazijoje ir Sanatorinėje mokykloje. Pradėti projektavimo darbai 2 švietimo įstaigų stovėjimo aikštelėms įrengti ("Dagilėlio" dainavimo mokyklos ir Švietimo centro). Projektavimo darbų pabaiga nukelta į 2020 metus.</t>
  </si>
  <si>
    <t>08.05.02.24</t>
  </si>
  <si>
    <t>Atnaujinti švietimo įstaigų teritorijų lauko įrenginius ir aptvėrimą</t>
  </si>
  <si>
    <t>Švietimo įstaigų, kuriose atnaujinti lauko įrenginiai ir aptvertos teritorijos (lopšeliai-darželiai „Ąžuoliukas“, „Coliukė“, „Eglutė“, „Gintarėlis“,„Klevelis“, Gegužių, Rėkyvos prog. ,,Santarvės“ gimnazija, ,,Saulės“ pradinė m-la, Švietimo centras ir kt.)</t>
  </si>
  <si>
    <t>Aptvertos 4 švietimo įstaigų teritorijos: "Rasos", Medelyno progimnazijų, "Santarvės" gimnazijos, suremontuotas N. Valterio jaunimo mokyklos aptvėrimas.</t>
  </si>
  <si>
    <t>08.05.02.31</t>
  </si>
  <si>
    <t>Atnaujinti švietimo įstaigų pastatų stogus, sienas, cokolius, nuogrindas, patalpas, įrangą ir komunikacijas</t>
  </si>
  <si>
    <t>Suremontuotos  sporto salės (ir pagalbinės patalpos), įstaigų sk. (2018 m. „Romuvos“ prog., nuo 2019 iki 2021 m. V. Kudirkos progimnazija, l. d.  ,,Ąžuoliukas“, „Saulėtekio“, „Romuvos“, Juliaus Janonio gimnazija)</t>
  </si>
  <si>
    <t>Suremontuota Juliaus Janonio gimnazijos sporto salė.</t>
  </si>
  <si>
    <t>Įstaigų, kuriose apšiltintos pastatų sienos (l. d. „Žibutė“, "Drugelis" ir kt.)</t>
  </si>
  <si>
    <t>Atlikti sienų apšiltinimo darbai 3 ikimokyklinio ugdymo įstaigose: l/d "Bitė", "Gluosnis", "Saulutė".</t>
  </si>
  <si>
    <t>Parengtas 3 švietimo įstaigų - l/d "Bitė", "Gluosnis", "Saulutė" - sienų apšiltinimo techninis projektas</t>
  </si>
  <si>
    <t>08.05.02.41</t>
  </si>
  <si>
    <t>Įgyvendinti projektą ,,Didžvario gimnazijos pastato remontas“</t>
  </si>
  <si>
    <t>Atlikti planuoti pastato remonto darbai: įrengtas liftas ir 3 keltuvai, suremontuota sporto salė ir pagalbinės patalpos - dušai, drabužinės, tualetai; senajame korpuse atnaujinti koridoriai, grindų dangos, 6 kabinetai, renovuotas nuotekų, vandentiekio vamzdynas, atnaujinta elektros instaliacija.</t>
  </si>
  <si>
    <t>08.05.02.46</t>
  </si>
  <si>
    <t>Įgyvendinti projektą ,,Šiaulių Gegužių progimnazijos pastato S.Dariaus ir Girėno g.22, Šiauliai remontas“</t>
  </si>
  <si>
    <t>Įsigytas specializuotų baldų komplektas</t>
  </si>
  <si>
    <t>2019 m. pristatyta dalis baldų ir įranga.</t>
  </si>
  <si>
    <t>Baldų tiekėjas vėluoja pristatyti dalį baldų. Planuojama, kad likusi dalis baldų bus pristatyta 2020 m. pradžioje.</t>
  </si>
  <si>
    <t>Įsigytas įrangos komplektas</t>
  </si>
  <si>
    <t>2019 m. įsigytas įrangos komplektas</t>
  </si>
  <si>
    <t>08.05.02.52</t>
  </si>
  <si>
    <t>Šiaulių Didždvario gimnazijos ir Šiaulių "Juventos" progimnazijos ugdymo aplinkos modernizavimas</t>
  </si>
  <si>
    <t>Atnaujintų įstaigų skaičius</t>
  </si>
  <si>
    <t>Rangos darbai baigti Didždvario gimnazijoje ir "Juventos" progimnazijoje, nupirkta įranga ir baldai. Prašoma CPVA leisti naudoti pirkimų metus sutaupytas lėšas ir įsigyti papildomos įrangos mokykloms.</t>
  </si>
  <si>
    <t>Rangos darbai baigti Didždvario gimnazijoje ir "Juventos" progimnazijoje, nupirkta įranga ir baldai. Prašoma CPVA leisti naudoti pirkimų metus sutaupytas lėšas ir įsigyti papildomos įrangos mokykloms. Rodiklis bus laikomas pasiektu, kai bus įsigyta visa įranga ir baldai projekto apimtyje.
Kadangi įvykdžius įrangos pirkimus buvo sutaupyta dalis lėšų, rengiamas prašymas Centrinei projektų valdymo agentūrai dėl leidimo naudoti sutaupytas lėšas ir nupirkti papildomos įrangos atnaujintoms erdvėms. Įvykdžius rangos darbų pirkimą "Juventos" progimnazijai buvo sutupyta lėšų. Pateiktas prašymas Centrinei projektų valdymo agentūrai dėl sutaupytų rangos lėšų užskaitymo daliai Didždvario gimnazijos darbų, nefinansuotų ES lėšomis.</t>
  </si>
  <si>
    <t>08.05.02.53</t>
  </si>
  <si>
    <t>Lopšelio darželio "Kregždutė" modernizavimas</t>
  </si>
  <si>
    <t xml:space="preserve">Techninis projektas baigtas rengti 2019 m. pabaigoje, parengti dokumentai rangos darbų pirkimui 2020 metais. </t>
  </si>
  <si>
    <t>Ikimokyklinio ugdymo įstaigoje sukurtos edukacinės erdvės</t>
  </si>
  <si>
    <t>Rangos darbai nukelti į 2020 metus.</t>
  </si>
  <si>
    <t>Vėlavo techninio projekto parengimas, gavus ŽN pastabas statybą leidžiančio dokumento išdavimo procedūroje, teko iš esmės keisti techninio projekto sprendinius.</t>
  </si>
  <si>
    <t>08.05.02.54</t>
  </si>
  <si>
    <t>Modernizuoti edukacines aplinkas Šiaulių 1-ojoje muzikos mokykloje ir Šiaulių dainavimo mokykloje "Dagilėlis"</t>
  </si>
  <si>
    <t>Techninis projektas parengtas</t>
  </si>
  <si>
    <t>Atnaujintos neformaliojo ugdymo įstaigos</t>
  </si>
  <si>
    <t>Rangos darbai Šiaulių 1-ojoje muzikos mokykloje ir Šiaulių dainavimo mokykloje "Dagilėlis" baigti, nupirkta įranga, muzikos instrumentai.</t>
  </si>
  <si>
    <t>Neformaliojo švietimo įstaigų, kuriose modernizuotos  ugdymo aplinkos ir priemonės skaičius</t>
  </si>
  <si>
    <t>2-se įstaigose modernizuotos visos ugdymo aplinkos</t>
  </si>
  <si>
    <t>08.05.02.60</t>
  </si>
  <si>
    <t>Įgyvendinti švietimo įstaigų modernizavimo projektą</t>
  </si>
  <si>
    <t>Modernizuota Šiaulių sanatorinės mokyklos sporto salės pagalbinių patalpų, proc.</t>
  </si>
  <si>
    <t>Modernizuotos Šiaulių sanatorinės mokyklos sporto salės pagalbinės patalpos. Suremontuotos sporto salės dušų, WC ir persirengimo kambarių patalpos pritaikant jas neįgaliesiems. Atlikti grindų, sienų, šildymo sistemos, ventiliacijos bei vandentiekio ir nuotekų sistemų remonto darbai.</t>
  </si>
  <si>
    <t>Mokymo lėšos VB (ML)</t>
  </si>
  <si>
    <t>Europos Sąjungos lėšos KT (ES)</t>
  </si>
  <si>
    <t>09 PROGRAMOS 2019 METŲ ĮGYVENDINIMO ATASKAITA</t>
  </si>
  <si>
    <t>09.</t>
  </si>
  <si>
    <t>Bendruomenės sveikatinimo programa</t>
  </si>
  <si>
    <t>09.01.</t>
  </si>
  <si>
    <t>Pagerinti gyventojų sveikatos rodiklius: sumažinti sergamumą, ligotumą, neįgalumą, sudarant prielaidas ilgesniam ir sveikesniam gyvenimui</t>
  </si>
  <si>
    <t>09.01.01.</t>
  </si>
  <si>
    <t>Priartinti asmens sveikatos priežiūros paslaugas prie gyventojų, sudaryti sąlygas modernizuoti pirminės sveikatos priežiūros paslaugas teikiančias įstaigas</t>
  </si>
  <si>
    <t>09.01.01.05</t>
  </si>
  <si>
    <t>Įgyvendinti projektą "Energetinių charakteristikų gerinimas VšĮ Dainų pirminės sveikatos priežiūros centre"</t>
  </si>
  <si>
    <t>Įrengta ventiliacija</t>
  </si>
  <si>
    <t>Derinant su ES projekto įgyvendinimu (09.01.01.15), vėdinimo ir kondicionavimo įrengimo darbai numatyti 2020 m.</t>
  </si>
  <si>
    <t>09.01.01.11</t>
  </si>
  <si>
    <t>Įgyvendinti projektą "VšĮ Šiaulių ilgalaikio gydymo ir geriatrijos centro pastatų rekonstravimas, aktyvios ventiliacijos įrengimas, kiemo gerbūvio sutvarkymas ir maisto gamybos skyriaus modernizavimas"</t>
  </si>
  <si>
    <t>Atlikta virtuvės remonto darbų</t>
  </si>
  <si>
    <t>Atlikti virtuvės remonto darbai</t>
  </si>
  <si>
    <t>Atlikta senojo korpuso rekuperavimo ir kondicionavimo sistemos įrengimo darbų</t>
  </si>
  <si>
    <t>09.01.01.12</t>
  </si>
  <si>
    <t>Pritraukti gydytojus specialistus į Šiaulių miestą ir išlaikyti jame</t>
  </si>
  <si>
    <t>Paremtų gydytojų, atvykusių dirbti į Šiaulius</t>
  </si>
  <si>
    <t>Paremta gydytojų, atvykusių dirbti į Šiaulius.</t>
  </si>
  <si>
    <t>ASPĮ nepateikė poreikio.</t>
  </si>
  <si>
    <t>Finansuotų rezidentų skaičius</t>
  </si>
  <si>
    <t>Finansuota rezidentų.</t>
  </si>
  <si>
    <t>Vadovaujantis Tvarkos aprašu finansavimas suteiktas 6 rezidentams.</t>
  </si>
  <si>
    <t>09.01.01.13</t>
  </si>
  <si>
    <t>Modernizuoti VšĮ Šiaulių centro polikliniką</t>
  </si>
  <si>
    <t>Atlikta stogo remonto darbų</t>
  </si>
  <si>
    <t>Atlikta stogo remonto darbų.</t>
  </si>
  <si>
    <t>09.01.01.15</t>
  </si>
  <si>
    <t>Įgyvendinti projektą "Pirminės asmens sveikatos priežiūros veiklos efektyvumo didinimas Šiaulių mieste"</t>
  </si>
  <si>
    <t>Viešąsias sveikatos paslaugas teikiančios asmens sveikatos priežiūros įstaigos, kuriose modernizuota paslaugų teikimo infrastruktūra</t>
  </si>
  <si>
    <t>2019 m. modernizuota paslaugų teikimo infrastruktūra Šiaulių centro poliklinikoje (įsigytas 
panoraminis odontologinis rentgeno aparatas, eilių valdymo sistema, 40 kompiuterių, 4 daugiafunkciniai spausdintuvai) ir Dainų pirminės sveikatos priežiūros centre (įsigyta 10 kompiuterių ir 28 bendrosios paciento apžiūros kušetės).</t>
  </si>
  <si>
    <t>Gautas avansas, kuris naudojamas kaip apyvartinės lėšos. Rodiklių siektinos reikšmės nustatytos projekto sutartyje 609-61-0013.</t>
  </si>
  <si>
    <t>09.01.03.</t>
  </si>
  <si>
    <t>Gerinti ikimokyklinio amžiaus vaikų sveikatą, mažinti sergamumą, negalę ir socialinę atskirtį</t>
  </si>
  <si>
    <t>09.01.03.01</t>
  </si>
  <si>
    <t>Teikti sveikatos priežiūros, socialines ir ugdymo paslaugas Šiaulių miesto savivaldybės sutrikusio vystymosi kūdikių namuose</t>
  </si>
  <si>
    <t>Vidutinis užpildymas per metus</t>
  </si>
  <si>
    <t>Įstaigos reorganizacija.</t>
  </si>
  <si>
    <t>Ankstyvosios reabilitacijos taikymas tikslinės grupės vaikams</t>
  </si>
  <si>
    <t>Tikslinės grupės vaikams taikyta ankstyvoji reabilitacija.</t>
  </si>
  <si>
    <t>Dienos socialinės globos paslaugas gavusių neįgaliųjų ar specialiųjų poreikių vaikų skaičius</t>
  </si>
  <si>
    <t>Dienos socialinės globos paslaugas gavę neįgalieji ar specialiųjų poreikių turintys vaikai.</t>
  </si>
  <si>
    <t>09.02.</t>
  </si>
  <si>
    <t>Sudaryti palankias sąlygas miesto bendruomenei sveikatinti</t>
  </si>
  <si>
    <t>09.02.01.</t>
  </si>
  <si>
    <t>Plėtoti visuomenės sveikatos priežiūros paslaugas, sustiprinti ligų prevenciją ir ugdyti visuomenės poreikį sveikai gyventi</t>
  </si>
  <si>
    <t>09.02.01.01</t>
  </si>
  <si>
    <t>Įsitraukti į sveikatinimo iniciatyvas, prevencines programas ir jas vykdyti</t>
  </si>
  <si>
    <t>Vykdytų sveikatinimo iniciatyvų, prevencinių programų</t>
  </si>
  <si>
    <t>Įvykdyta sveikatinimo iniciatyvų, prevencinių programų: Savivaldybės darbuotojams atlikti 197 kraujo tyrimai prieš tymų virusą, paskiepyti 46 darbuotojai nuo tymų, skatinant darbuotojų fizinį aktyvumą organizuotas 1 sveikatinimo renginys.</t>
  </si>
  <si>
    <t>Neįvyko Biosocialinių įgūdžių ugdymo programos paslaugų viešasis pirkimas - negauta pasiūlymų.</t>
  </si>
  <si>
    <t>09.02.01.02</t>
  </si>
  <si>
    <t>Sukurti ir gerinti miesto bendruomenės sveikatinimo sąlygas, užtikrinant sveikatinimo projektų finansavimą</t>
  </si>
  <si>
    <t>Finansuotų projektų</t>
  </si>
  <si>
    <t>Finansuota sveikatinimo projektų.</t>
  </si>
  <si>
    <t>Pasyvus galimų pareiškėjų dalyvavimas sveikatinimo projektų konkursuose.</t>
  </si>
  <si>
    <t>09.02.01.03</t>
  </si>
  <si>
    <t>Įgyvendinti projektą "Sveikos gyvensenos skatinimas Šiaulių mieste"</t>
  </si>
  <si>
    <t>Tikslinių grupių asmenų, kurie dalyvavo informavimo, švietimo ir mokymo renginiuose bei sveikatos raštingumą didinančiose veiklose</t>
  </si>
  <si>
    <t>Tikslinių grupių asmenų dalyvauta informavimo, švietimo ir mokymo renginiuose bei sveikatos raštingumą didinančiose veiklose.</t>
  </si>
  <si>
    <t>Nepanaudota avanso dalis iš ES ir VB lėšų.</t>
  </si>
  <si>
    <t>09.02.02.</t>
  </si>
  <si>
    <t>Pritaikyti vandens telkinius rekreacijai ir sveikam žmonių poilsiui</t>
  </si>
  <si>
    <t>09.02.02.01</t>
  </si>
  <si>
    <t>Vykdyti maudyklų vandens kokybės stebėseną ir paruošti duomenų rinkmenas apie maudyklų vandens charakteristikas</t>
  </si>
  <si>
    <t>Vykdyta maudyklų vandens kokybės stebėsena</t>
  </si>
  <si>
    <t>Įvykdyta maudyklų vandens kokybės stebėsena Rėkyvos ežero ir Prūdelio tvenkinio paplūdymiuose, Talkšos ežero ir Rekyvos ežero Bačiūnų maudyklose.</t>
  </si>
  <si>
    <t>09.02.03.</t>
  </si>
  <si>
    <t>Vystyti Visuomenės sveikatos biuro veiklą</t>
  </si>
  <si>
    <t>09.02.03.01</t>
  </si>
  <si>
    <t>Vykdyti Visuomenės sveikatos biuro funkcijas</t>
  </si>
  <si>
    <t>Privalomojo mokymo metu mokytų asmenų</t>
  </si>
  <si>
    <t>Privalomojo mokymo metu apmokytų asmenų.</t>
  </si>
  <si>
    <t>09.02.03.03</t>
  </si>
  <si>
    <t>Plėtoti sveiką gyvenseną ir stiprinti mokinių sveikatos įgūdžius ugdymo įstaigose</t>
  </si>
  <si>
    <t>Ugdymo įstaigos, kuriose vykdytos visuomenės sveikatos priežiūros funkcijos</t>
  </si>
  <si>
    <r>
      <rPr>
        <sz val="12"/>
        <color rgb="FF000000"/>
        <rFont val="Times New Roman"/>
        <family val="1"/>
        <charset val="186"/>
      </rPr>
      <t>Ugdymo įstaigos, kuriose vykdytos visuomenės sveikatos priežiūros funkcijos.</t>
    </r>
    <r>
      <rPr>
        <sz val="12"/>
        <color rgb="FFFF0000"/>
        <rFont val="Times New Roman"/>
        <family val="1"/>
        <charset val="186"/>
      </rPr>
      <t xml:space="preserve"> </t>
    </r>
  </si>
  <si>
    <t>Mokinių, dalyvavusių sveikatinimo veiklose ugdymo įstaigose</t>
  </si>
  <si>
    <t>Mokinių, dalyvavusių sveikatinimo veiklose ugdymo įstaigose.</t>
  </si>
  <si>
    <t>Renginiai, organizuoti ugdymo įstaigų mokiniams</t>
  </si>
  <si>
    <t>Renginių, organizuotų ugdymo įstaigų mokiniams.</t>
  </si>
  <si>
    <t>Profilaktiškai pasitikrinusių mokinių, ugdomų pagal ikimokyklinio ir priešmokyklinio ugdymo programas, dalis nuo viso mokinių skaičiaus</t>
  </si>
  <si>
    <t>Profilaktiškai pasitikrinusių mokinių, ugdomų pagal ikimokyklinio ir priešmokyklinio ugdymo programas.</t>
  </si>
  <si>
    <t>1.04.</t>
  </si>
  <si>
    <t>09.02.03.05</t>
  </si>
  <si>
    <t>Stiprinti sveikos gyvensenos įgūdžius bendruomenėse bei vykdyti visuomenės sveikatos stebėseną</t>
  </si>
  <si>
    <t>Parengta informacinių pranešimų, straipsnių</t>
  </si>
  <si>
    <t>Parengta informacinių pranešimų, straipsnių.</t>
  </si>
  <si>
    <t>Miesto gyventojų, dalyvavusių sveikatinimo veiklose</t>
  </si>
  <si>
    <t>Miesto gyventojų, dalyvavusių sveikatinimo veiklose.</t>
  </si>
  <si>
    <t>Stebėsenos ataskaitos su pasiūlymais dėl gyventojų sveikatos būklės gerinimo</t>
  </si>
  <si>
    <t>Parengta stebėsenos ataskaitų su pasiūlymais dėl gyventojų sveikatos būklės gerinimo.</t>
  </si>
  <si>
    <t>Renginių, organizuotų miesto gyventojams</t>
  </si>
  <si>
    <t>Organizuota renginių miesto gyventojams.</t>
  </si>
  <si>
    <t>09.02.03.06</t>
  </si>
  <si>
    <t>Užtikrinti savižudybių prevencijos prioritetų nustatymą ir įgyvendinimą</t>
  </si>
  <si>
    <t>Asmenų, pradėjusių ir baigusių ankstyvosios intervencijos mokymus</t>
  </si>
  <si>
    <t>Asmenų, pradėjusių ir baigusių ankstyvosios intervencijos mokymus.</t>
  </si>
  <si>
    <t>Įmonės, dalyvavusios psichikos sveikatos stiprinimo užsiėmimuose</t>
  </si>
  <si>
    <t>Įmonių, dalyvavusių psichikos sveikatos stiprinimo užsiėmimuose.</t>
  </si>
  <si>
    <t>09.02.04.</t>
  </si>
  <si>
    <t>Užtikrinti sveikatos priežiūrą kitų steigėjų mokyklose</t>
  </si>
  <si>
    <t>09.02.04.01</t>
  </si>
  <si>
    <t>Teikti visuomenės sveikatos priežiūros paslaugas kitų steigėjų mokyklose</t>
  </si>
  <si>
    <t>09.03.</t>
  </si>
  <si>
    <t>Mažinti socialinius sveikatos netolygumus</t>
  </si>
  <si>
    <t>09.03.01.</t>
  </si>
  <si>
    <t xml:space="preserve">Gerinti gyvenimo kokybę pažeidžiamiausioms gyventojų grupėms didinant sveikatos priežiūros </t>
  </si>
  <si>
    <t>09.03.01.01</t>
  </si>
  <si>
    <t xml:space="preserve">Kompensuoti ir teikti medicinines paslaugas pažeidžiamiausioms gyventojų grupėms </t>
  </si>
  <si>
    <t>Dantų protezavimo paslaugas gavusių asmenų</t>
  </si>
  <si>
    <t>Asmenys, gavę dantų protezavimo paslaugas.</t>
  </si>
  <si>
    <t>Apmokėta už faktiškai suteiktas paslaugas.</t>
  </si>
  <si>
    <t>Ortodonto suteiktos konsultacijos</t>
  </si>
  <si>
    <t>Suteikta ortodonto konsultacijų.</t>
  </si>
  <si>
    <t>Padidėjo ortodonto paslaugų įkainiai.</t>
  </si>
  <si>
    <t>Pervežtų pacientų</t>
  </si>
  <si>
    <t>Pervežta pacientų.</t>
  </si>
  <si>
    <t>Slaugos paslaugas gavusių asmenų</t>
  </si>
  <si>
    <t>Slaugos paslaugas gavę asmenys.</t>
  </si>
  <si>
    <t>09.03.01.02</t>
  </si>
  <si>
    <t>Teikti priklausomybės ligų diagnostikos ir prevencijos paslaugas ,,Žemo slenksčio“ kabinete</t>
  </si>
  <si>
    <t>Individualios psichoterapijos užsiėmimai</t>
  </si>
  <si>
    <t>Pravesta individualios psichoterapijos užsiėmimų.</t>
  </si>
  <si>
    <t>Atlikti tyrimai dėl ŽIV</t>
  </si>
  <si>
    <t>Atlikta tyrimų dėl ŽIV.</t>
  </si>
  <si>
    <t>Nalaksono terapiją gavusių asmenų</t>
  </si>
  <si>
    <t>Nalaksono terapiją gavę asmenys.</t>
  </si>
  <si>
    <t>Suteiktos konsultacijos</t>
  </si>
  <si>
    <t>Suteikta konsultacijų.</t>
  </si>
  <si>
    <t>Apsilankymų kabinete</t>
  </si>
  <si>
    <t>Apsilankymai kabinete.</t>
  </si>
  <si>
    <t>Nuolatinių paslaugų gavėjų</t>
  </si>
  <si>
    <t>Paslaugas nuolat gavusieji.</t>
  </si>
  <si>
    <t>Atlikti testai dėl hepatito diagnostikos</t>
  </si>
  <si>
    <t>Nebuvo poreikio.</t>
  </si>
  <si>
    <t>Atlikta narkotinių medžiagų nustatymo testų</t>
  </si>
  <si>
    <t>Atlikta narkotinių medžiagų nustatymo testų.</t>
  </si>
  <si>
    <t>09.03.01.03</t>
  </si>
  <si>
    <t>Organizuoti privalomąjį profilaktinį aplinkos kenksmingumo pašalinimą</t>
  </si>
  <si>
    <t>Gavusių paslaugas</t>
  </si>
  <si>
    <t>Gauta paslaugų.</t>
  </si>
  <si>
    <t>09.03.01.04</t>
  </si>
  <si>
    <t>Įgyvendinti projektą "Paramos priemonių tuberkulioze sergantiems asmenims įgyvendinimas Šiaulių mieste"</t>
  </si>
  <si>
    <t>Tuberkulioze sergančių pacientų, kuriems buvo suteiktos socialinės paramos priemonės tuberkuliozės ambulatorinio gydymo metu</t>
  </si>
  <si>
    <t>Tuberkulioze sergantys pacientai, kuriems buvo suteiktos socialinės paramos priemonės tuberkuliozės ambulatorinio gydymo metu.</t>
  </si>
  <si>
    <t>Lėšos valstybinėms funkcijoms atlikti VB (VF)</t>
  </si>
  <si>
    <t>10 PROGRAMOS 2019 METŲ ĮGYVENDINIMO ATASKAITA</t>
  </si>
  <si>
    <t>10.</t>
  </si>
  <si>
    <t>Socialinės paramos įgyvendinimo programa</t>
  </si>
  <si>
    <t>10.01.</t>
  </si>
  <si>
    <t>Įgyvendinti socialinės apsaugos sistemą, mažinančią socialinę atskirtį ir užtikrinančią pažeidžiamų gyventojų grupių socialinę integraciją</t>
  </si>
  <si>
    <t>10.01.01.</t>
  </si>
  <si>
    <t>Mažinti pažeidžiamų gyventojų grupių socialinę atskirtį</t>
  </si>
  <si>
    <t>10.01.01.05</t>
  </si>
  <si>
    <t>Teikti socialinės globos paslaugas asmenims su sunkia negalia</t>
  </si>
  <si>
    <t>Teikiamų paslaugų rūšių skaičius</t>
  </si>
  <si>
    <t>Teiktos 3-jų rūšių paslaugos: 1) ilgalaikė socialinė globa (2019 metais paslaugą gavo 192 asmenys su sunkia negalia); trumpalaikė socialinė globa (51 asmuo); dienos socialinė globa (188 asmenys).</t>
  </si>
  <si>
    <t>10.01.01.06</t>
  </si>
  <si>
    <t>Užtikrinti vienkartinės piniginės pašalpos skyrimą</t>
  </si>
  <si>
    <t>Patenkintų prašymų dalis nuo visų gautų prašymų</t>
  </si>
  <si>
    <t>Patenkinta 92,4% parašymų skirti vienkartinę pašalpą nuo visų gautų prašymų. Daugiausia vienkartinių pašalpų buvo skirta asmenims, grįžusiems iš laisvės atėmimo vietos (34,7%) ir gydymo išlaidoms kompensuoti (31,4%).</t>
  </si>
  <si>
    <t>Dalis lėšų nepanaudota todėl, kad gauta mažiau nei planuota prašymų dėl vienkartinės pašalpos skyrimo. Dalis prašymų neatitiko Vienkartinės pašalpos skyrimo ir mokėjimo tvarkos aprašo nuostatų.</t>
  </si>
  <si>
    <t>10.01.01.07</t>
  </si>
  <si>
    <t>Įgyvendinti Užimtumo didinimo programą</t>
  </si>
  <si>
    <t>Sukurta laikinų darbo vietų</t>
  </si>
  <si>
    <t>Sukurtos laikinos darbo vietos ir įdarbinti bedarbiai, registruoti Užimtumo tarnyboje. Jiems sudaryta galimybė integruotis į darbo rinką, įgyti ir (ar) išsaugoti darbinius ar profesinius įgūdžius.</t>
  </si>
  <si>
    <t>Dalis lėšų sutaupyta todėl, kad buvo daug nedarbingumo laikotarpių (apie 300 darbo dienų sirgta).</t>
  </si>
  <si>
    <t>10.01.01.08</t>
  </si>
  <si>
    <t>Teikti ilgalaikės, trumpalaikės ir dienos socialinės globos paslaugas senyvo amžiaus asmenims, suaugusiems asmenims su negalia ir vaikams su negalia</t>
  </si>
  <si>
    <t>Teikiamų paslaugų skaičius</t>
  </si>
  <si>
    <t>Teiktos 3-jų rūšių paslaugos: 1) ilgalaikė socialinė globa (2019 metais paslaugą gavo 125 asmenys su negalia); trumpalaikė socialinė globa (17 asmenų); dienos socialinė globa (65 asmenys).</t>
  </si>
  <si>
    <t>10.01.02.</t>
  </si>
  <si>
    <t>Didinti socialinių paslaugų prieinamumą</t>
  </si>
  <si>
    <t>10.01.02.01</t>
  </si>
  <si>
    <t>Užtikrinti Šiaulių miesto savivaldybės socialinių paslaugų centro veiklą</t>
  </si>
  <si>
    <t>Teikiamų socialinių paslaugų rūšių skaičius</t>
  </si>
  <si>
    <t>Teikiamos įvairios socialinės paslaugos: dienos socialinė globa asmens namuose, pagalba į namus, socialinė priežiūra šeimoms, patiriančioms riziką, globėjų (rūpintojų) ir įtėvių mokymas ir konsultavimas, apgyvendinimas nakvynės namuose, laikinas apnakvindinimas, krizių centro paslauga, vaikų dienos užimtumo grupė ir kt.</t>
  </si>
  <si>
    <t>10.01.02.02</t>
  </si>
  <si>
    <t>Įgyvendinti Būsto pritaikymo neįgaliesiems programą</t>
  </si>
  <si>
    <t>Pritaikyta vaikams</t>
  </si>
  <si>
    <t>Programa įgyvendinama vadovaujantis Šeimų, auginančių vaikus su sunkia negalia, socialinio saugumo stiprinimo pritaikant būstą ir gyvenamąją aplinką tvarkos aprašu, patvirtintu Lietuvos Respublikos socialinės apsaugos ir darbo ministro 2019  m. birželio 27 d. įsakymu Nr. A1-365 „Dėl Šeimų, auginančių vaikus su sunkia negalia, socialinio saugumo stiprinimo pritaikant būstą ir gyvenamąją aplinką tvarkos aprašo patvirtinimo".</t>
  </si>
  <si>
    <t>Pritaikytų būstų ir gyvenamosios aplinkos dalis nuo visų gautų paraiškų</t>
  </si>
  <si>
    <t>Būsto pritaikymas - tai būsto ir gyvenamosios aplinkos pertvarkymas, panaudojant specialius elementus, keičiant neįgaliesiems nepritaikytas erdves, ir paprastasis remontas, atliekant tiesiogiai su būsto pritaikymu susijusius statybos darbus.</t>
  </si>
  <si>
    <t>Nebuvo pakankamai lėšų visiems gautiems prašymams patenkinti.</t>
  </si>
  <si>
    <t>Pritaikyta suaugusiesiems</t>
  </si>
  <si>
    <t>Programa įgyvendinama vadovaujantis Būsto pritaikymo neįgaliesiems tvarkos aprašu, patvirtintu Lietuvos Respublikos socialinės apsaugos ir darbo ministro 2019 m. vasario 19 d. įsakymu Nr. A1-103 "Dėl Būsto pritaikymo neįgaliesiems tvarkos aprašo patvirtinimo".</t>
  </si>
  <si>
    <t>Gautas daug didesnis prašymų skaičius, lyginant su ankstesniais metais.</t>
  </si>
  <si>
    <t>10.01.02.04</t>
  </si>
  <si>
    <t>Užtikrinti Šiaulių miesto savivaldybės vaikų globos namų veiklą</t>
  </si>
  <si>
    <t>Įstaiga teikia vaikų globos, Krizių centro, Globos centro ir socialinės priežiūros šeimoms, patiriančioms riziką, paslaugas.</t>
  </si>
  <si>
    <t>10.01.02.05</t>
  </si>
  <si>
    <t>Užtikrinti Šiaulių miesto savivaldybės globos namų veiklą</t>
  </si>
  <si>
    <t>Teikiamos įvairios socialinės paslaugos: ilgalaikė, trumpalaikė socialinė globa, dienos socialinė globa asmens namuose, dienos socialinė globa dienos centre "Goda", savarankiško gyvenimo namai, apsaugoto būsto ir laikino atokvėpio paslaugos.</t>
  </si>
  <si>
    <t>10.01.02.06</t>
  </si>
  <si>
    <t>Įgyvendinti projektą "Integrali pagalba į namus Šiaulių mieste"</t>
  </si>
  <si>
    <t>Paslaugų gavėjų skaičius</t>
  </si>
  <si>
    <t>Teikiamos integralios pagalbos paslaugos pagal poreikį.</t>
  </si>
  <si>
    <t>MP teiktas 2019 m. lapkričio 28 d., iš agentūros lėšos gautos 2019 m. gruodžio 20. Partneriams lėšos bus pervestos iškart, kai bus pasirašytas papildomas susitarimas prie jungtinės veiklos sutarties, t.y. 2020 m. sausio mėn.</t>
  </si>
  <si>
    <t>10.01.02.07</t>
  </si>
  <si>
    <t>Suteiktos šios paslaugos: 1) socialinė priežiūra šeimoms, patiriančioms riziką; 2) kompleksinės paslaugos šeimai krizės atveju; 3) išvadų rengimas dėl asmens gebėjimo pasirūpinti savimi; 4) finansuojamas Labdaros ir paramos fondo "Maisto bankas" projekto įgyvendinimas.</t>
  </si>
  <si>
    <t>Dalis savivaldybės biudžeto lėšų nepanaudota todėl, kad kompleksinės paslaugos krizinės motinystės (tėvystės) atveju buvo suteiktos mažesniam nei planuota šeimų skaičiui (nebuvo poreikio).</t>
  </si>
  <si>
    <t>10.01.02.08</t>
  </si>
  <si>
    <t>Įgyvendinti projektą "Kompleksinės paslaugos šeimai Šiaulių miesto savivaldybėje"</t>
  </si>
  <si>
    <t>Asmenų (šeimų), gavusių paslaugas, skaičius</t>
  </si>
  <si>
    <t>Teikiamos kompleksinės paslaugos pagal poreikį. Projekto veiklas vykdo trys partneriai. VšĮ Šiaurės Lietuvos kolegija ir VšĮ Socialinių inovacijų centras projekto įgyvendinimo metu teikia informavimo ir konsultavimo apie kompleksinių paslaugų šeimai teikimą, jų koordinavimo ir organizavimo paslaugas, vykdomi pozityvios tėvystės mokymai, teikiama psichosocialinė pagalba, šeimos įgūdžių ugdymo ir sociokultūrinės paslaugos, mediacijos paslaugos. Trečiasis partneris – Šiaulių miesto savivaldybės Socialinių paslaugų centras teikia asmeninio asistento paslaugą.</t>
  </si>
  <si>
    <t>10.01.02.09</t>
  </si>
  <si>
    <t>Užtikrinti Globos centro veiklą</t>
  </si>
  <si>
    <t>Budinčių globotojų / parengtų budinčių globotojų skaičius</t>
  </si>
  <si>
    <t>Teikiama vaiko priežiūros paslauga pagal Globos centro ir budinčio globotojo tarpusavio bendradarbiavimo ir paslaugų teikimo sutartį.</t>
  </si>
  <si>
    <t>10.01.02.10</t>
  </si>
  <si>
    <t>Užtikrinti socialinės globos paslaugų teikimą vaikams, likusiems be tėvų globos</t>
  </si>
  <si>
    <t>Globojamų vaikų skaičius institucijose</t>
  </si>
  <si>
    <t>Be tėvų globos likę vaikai globojami instituciniuose vaikų globos namuose. 2019 m. paslaugą teikė globos namai "Užuovėja", Kuršėnų vaikų globos namai, Šiaulių vaikų globos namai "Šaltinis".</t>
  </si>
  <si>
    <t>2019 metų pradžioje buvo 7, o metų pabaigoje - 1 be tėvų globos likęs vaikas, globojamas institucijoje (Kuršėnų vaikų globos namuose). Kiti vaikai arba perėjo į bendruomeninius vaikų globos namus, arba jie sulaukė pilnametystės.</t>
  </si>
  <si>
    <t>Globojamų vaikų skaičius šeimynose</t>
  </si>
  <si>
    <t>Šiaulių mieste veiklą vykdo 4 šeimynos, kuriose 2019 m. gruodžio 31 d. buvo globojami 25 vaikai. Šeimynos dalyviams yra garantuojamos Vyriausybės ar jos įgaliotos institucijos patvirtintoje Socialinių paslaugų finansavimo ir lėšų apskaičiavimo metodikoje nustatytos išlaikymo pajamos.</t>
  </si>
  <si>
    <t>Globojamų vaikų skaičius bendruomeniniuose vaikų globos namuose</t>
  </si>
  <si>
    <t>Paslaugą teikia VŠĮ Vilniaus SOS vaikų kaimas.</t>
  </si>
  <si>
    <t>Globojamų vaikų skaičius šeimose</t>
  </si>
  <si>
    <t>Mokami pagalbos pinigai globėjams (rūpintojams), globojantiems be tėvų globos likusius vaikus.</t>
  </si>
  <si>
    <t>2019 metais buvo 140 globėjų (rūpintojų), kurie savo šeimose globojo 184 vaikus.</t>
  </si>
  <si>
    <t>10.01.02.12</t>
  </si>
  <si>
    <t>Plėsti bendruomenines paslaugas vaikams</t>
  </si>
  <si>
    <t>Pritaikyta būstų vaikų dienos centrų veiklai</t>
  </si>
  <si>
    <t>Vienam iš projekto partnerių atsisakius įgyvendinti projektą, buvo sustabdytas projekto paraiškos vertinimo procesas, inicijuotas partnerio pakeitimas (2019-11-07 Šiaulių miesto savivaldybės tarybos sprendimas Nr. T-412), dėl to projekto finansavimo sutartis sudaryta tik 2019-12-27.</t>
  </si>
  <si>
    <t>10.01.02.13</t>
  </si>
  <si>
    <t>Įgyvendinti projektą „Vaikų gerovės ir saugumo didinimas, paslaugų šeimai, globėjams (rūpintojams) kokybės didinimas bei prieinamumo plėtra (institucinės globos pertvarka)</t>
  </si>
  <si>
    <t>Finansuojamų pareigybių skaičius Šiaulių miesto savivaldybės socialinių paslaugų centre</t>
  </si>
  <si>
    <t>Europos Sąjungos struktūrinių fondų lėšomis įsteigtos Globos centrų globos koordinatorių pareigybės ir jiems įkurtos darbo vietos.</t>
  </si>
  <si>
    <t>Finansuojamų pareigybių skaičius Šiaulių miesto savivaldybės vaikų globos namuose</t>
  </si>
  <si>
    <t>10.01.02.14</t>
  </si>
  <si>
    <t>Plėsti grupinio gyvenimo namų tinklą</t>
  </si>
  <si>
    <t>Nupirktų butų ar gyvenamųjų namų skaičius</t>
  </si>
  <si>
    <t>Pirkimo procedūra nutraukta.</t>
  </si>
  <si>
    <t>10.01.02.15</t>
  </si>
  <si>
    <t>Pastatyti (pritaikyti pastatą) nakvynės namų ir apgyvendinimo paslaugoms teikti</t>
  </si>
  <si>
    <t>Parengti dokumentai dėl patalpų apgyv paslaugoms teikti priaikymo</t>
  </si>
  <si>
    <t>Laikino apgyvendinimo paslaugas planuojama teikti adresu Tiesos g. 3.
Šiaulių miesto savivaldybės tarybos 2019 m. gruodžio 12 d. sprendimu Nr. T-423 laikino apnakvindinimo paslaugos bus teikiamos adresu Kauno g. 6.</t>
  </si>
  <si>
    <t>10.01.02.16</t>
  </si>
  <si>
    <t>Užtikrinti Šiaulių vaikų globos namų „Šaltinis“ veiklą</t>
  </si>
  <si>
    <t>Teikė vaikų globos paslaugą. 2019 m. lapkričio 29 d. įstaiga buvo reorganizuota - kartu su Šiaulių miesto sutrikusio vystymosi kūdikių namais buvo sujungta į naują juridinį asmenį - kompleksinių paslaugų namus "Alka".</t>
  </si>
  <si>
    <t>10.01.02.17</t>
  </si>
  <si>
    <t>Užtikrinti kompleksinių paslaugų namų "Alka" veiklą</t>
  </si>
  <si>
    <t>Įstaiga įsteigta 2019 m. lapkričio 29 d., sujungiant Šiaulių vaikų globos namus "Šaltinis" ir Sutrikusio vystymosi kūdikių namus. Teiktos ilgalaikės, trumpalaikės, dienos socialinės globos, grupinio gyvenimo namų ir dienos centrų paslaugos.</t>
  </si>
  <si>
    <t>10.01.03.</t>
  </si>
  <si>
    <t>Plėsti ir modernizuoti esamų socialinių paslaugų įstaigų infrastruktūrą</t>
  </si>
  <si>
    <t>10.01.03.08</t>
  </si>
  <si>
    <t>Atnaujinti dienos socialinės globos centro „Goda'' pastatą (Žalgirio g. 3)</t>
  </si>
  <si>
    <t>Atnaujintas pastato A korpusas</t>
  </si>
  <si>
    <t>Atnaujintas korpusas: langų ir durų montavimas; stogo, fasadų ir cokolio šiltinimas; lauko laiptų, nuovažos remontas (įrengimas); rūsio patalpų remontas; pirmo ir antro aukšto patalpų remontas; keltuvo įrengimas; šilumos punkto modernizavimas ir šildymo sistemos keitimas; vėdinimo sistemos įrengimas; vandens apskaitos mazgo įrengimas, vandentiekio vamzdynų montavimas; buitinių nuotekų vamzdynų montavimas; elektrotechnikos darbai; elektroninių ryšių įrengimas; gaisrinės ir apsauginės signalizacijos montavimas; lauko inžinerinių tinklų įrengimo darbai ir kt., nupirkti baldai, perkama įranga.</t>
  </si>
  <si>
    <t>Lėšos, numatytos baldams ir įrangai įsigyti persikėlė į 2020 metus, kadangi pirkimus teko vykdyti po keletą kartų.</t>
  </si>
  <si>
    <t>Atnaujintas pastato B korpusas</t>
  </si>
  <si>
    <t>Atnaujintas korpusas: langų ir durų montavimas; stogo, fasadų ir cokolio šiltinimas; lauko laiptų remontas (įrengimas); rūsio patalpų remontas; pirmo ir antro aukšto patalpų remontas; keltuvo įrengimas; šildymo sistemos montavimas; vėdinimo sistemos įrengimas;  vandentiekio vamzdynų montavimas; buitinių nuotekų vamzdynų montavimas; elektrotechnikos darbai; elektroninių ryšių įrengimas; gaisrinės ir apsauginės signalizacijos montavimas; lauko inžinerinių tinklų įrengimo darbai ir kt., nupirkti baldai, perkama įranga.</t>
  </si>
  <si>
    <t>10.01.04.</t>
  </si>
  <si>
    <t xml:space="preserve">Bendradarbiauti su nevyriausybinėmis organizacijomis, teikiančiomis socialinės reabilitacijos paslaugas </t>
  </si>
  <si>
    <t>10.01.04.01</t>
  </si>
  <si>
    <t>Finansuoti socialinės reabilitacijos paslaugų neįgaliesiems bendruomenėje projektus</t>
  </si>
  <si>
    <t>Finansuojamų projektų skaičius</t>
  </si>
  <si>
    <t>Per nevyriausybines organizacijas suteiktos įvairios socialinės integracijos paslaugos neįgaliesiems ir jų šeimos nariams: dienos užimtumas, individuali pagalba, meninių ir kt. gebėjimų lavinimas, emocinės pagalbos organizavimas ir kt.</t>
  </si>
  <si>
    <t>Vienas projektas finansuotas nebuvo, nes neatitiko reikalavimų.</t>
  </si>
  <si>
    <t>10.01.05.</t>
  </si>
  <si>
    <t xml:space="preserve">Užtikrinti valstybės garantuotos piniginės socialinės paramos  teikimą </t>
  </si>
  <si>
    <t>10.01.05.01</t>
  </si>
  <si>
    <t>Skirti ir išmokėti išmokas ir kompensacijas</t>
  </si>
  <si>
    <t>Išmokų gavėjų skaičius</t>
  </si>
  <si>
    <t>1473 gavėjai.</t>
  </si>
  <si>
    <t>Išmokos išmokamos pagal poreikį
1.Laidojimo išmoka - 1458 išmokos
2. Palaikų pervežimas - 15 išmokų</t>
  </si>
  <si>
    <t>12799 gavėjai.</t>
  </si>
  <si>
    <t>Sutaupytos lėšos, nes kompensacijos priklauso nuo oro temperatūros.Šiltas  sezonas ir kompensacijų sumos labai mažos.</t>
  </si>
  <si>
    <t>10.01.06.</t>
  </si>
  <si>
    <t xml:space="preserve">Užtikrinti išmokų vaikams teikimą </t>
  </si>
  <si>
    <t>10.01.06.01</t>
  </si>
  <si>
    <t>Skirti ir išmokėti išmokas</t>
  </si>
  <si>
    <t>Išmokos mokamos pagal poreikį. Dėl išmokų kreipėsi +2192 asmenų daugiau negu planavome.</t>
  </si>
  <si>
    <t>10.01.06.02</t>
  </si>
  <si>
    <t>Administravimo išlaidos</t>
  </si>
  <si>
    <t>Etatų skaičius</t>
  </si>
  <si>
    <t>10.01.07.</t>
  </si>
  <si>
    <t>Užtikrinti tikslinių kompensacijų teikimą</t>
  </si>
  <si>
    <t>10.01.07.01</t>
  </si>
  <si>
    <t>Užtikrinti tikslinių kompensacijų mokėjimą</t>
  </si>
  <si>
    <t>Išmokos skiriamos ir mokamos asmenims, kuriems nustatytas specialus nuolatinės slaugos ar nuolatinės priežiūros ((pagalbos) poreikis arba neįgalumo lygis.</t>
  </si>
  <si>
    <t>10.01.07.02</t>
  </si>
  <si>
    <t>10.01.08.</t>
  </si>
  <si>
    <t>Užtikrinti kitų išmokų ir kompensacijų teikimą teisės aktuose numatytiems asmenims</t>
  </si>
  <si>
    <t>10.01.08.03</t>
  </si>
  <si>
    <t>Kompensacijos sovietinėje armijoje sužalotiems ir žuvusiųjų šeimoms</t>
  </si>
  <si>
    <t>Išmokos mokamos pagal poreikį</t>
  </si>
  <si>
    <t>10.01.08.05</t>
  </si>
  <si>
    <t>Kompensacijos nepriklausomybės gynėjams nukentėjusiems nuo 1991 m. sausio 11-13 d. ir po to vykdytos SSRS agresijos</t>
  </si>
  <si>
    <t>10.01.08.07</t>
  </si>
  <si>
    <t>Skirti kitas išmokas</t>
  </si>
  <si>
    <t>10.01.09.</t>
  </si>
  <si>
    <t>Teikti socialinę paramą mokiniams</t>
  </si>
  <si>
    <t>10.01.09.01</t>
  </si>
  <si>
    <t>Skirti socialinę paramą moksleiviams</t>
  </si>
  <si>
    <t>10.01.10.</t>
  </si>
  <si>
    <t>Užtikrinti lengvatinio keleivių vežimo reguliaraus susisiekimo maršrutais išlaidų kompensavimą</t>
  </si>
  <si>
    <t>10.01.10.01</t>
  </si>
  <si>
    <t>Kompensuoti keleivinio transporto vežėjų išlaidas - (negautas pajamas) už lengvatinį keleivių vežimą reguliaraus susisiekimo maršrutais</t>
  </si>
  <si>
    <t>Pagal UAB „Busturas“ pateiktas  sąskaitas buvo kompensuotos vežėjo išlaidos (negautos pajamos) už lengvatinį keleivių vežimą 2018 m. gruodžio mėn. ir 2019 m. sausio - lapkričio mėn. Sąskaita už 2019 m. gruodžio mėn. gauta 2020 m. sausio mėn. ir bus apmokėta  iš 2020 m. biudžeto. Pagal bendrovės pateiktus duomenis faktinė gavėjų reikšmė išskirta į dvi dalis: 1) pagal Šiaulių miesto savivaldybės tarybos sprendimą suteikiamos legvatos dalis, kurios gavėjams priskiriama 100 proc. lengvata.  2) pagal LR transporto lengvatų įstatymą išskiriama dalis - gavėjai su 50 proc. ir 80 proc. lengvata.</t>
  </si>
  <si>
    <t>Nebuvo kompensacijos poreikio. Paslaugų gavėjų skaičiaus 2019 m. faktinė reikšmė buvo 1923 vnt. (arba 4,67 proc.) mažesnė nei planuota dėl konkretaus važiavimo poreikio.</t>
  </si>
  <si>
    <t>10.02.</t>
  </si>
  <si>
    <t>Kurti saugią aplinką socialinės rizikos grupės vaikams, neattraukiant jų nuo šeimos; siekti apsaugotijuos nuo smurto, valkatavimo, elgetavimo, nusikaltimų, organizuojant jų užimtumą</t>
  </si>
  <si>
    <t>10.02.01.</t>
  </si>
  <si>
    <t>Vykdyti programas socialinės apsaugos srityje</t>
  </si>
  <si>
    <t>10.02.01.01</t>
  </si>
  <si>
    <t>Vaikų, gaunančių paslaugas, skaičius</t>
  </si>
  <si>
    <t>Suorganizuotas vasaros poilsis vaikams stovykloje (su apgyvendinimu, maitinimu, užimtumu, nuvežimu į stovyklą pamainos pradžioje ir parvežimu iš stovyklos pamainos pabaigoje) ne Šiaulių mieste.</t>
  </si>
  <si>
    <t>Dalis vaikų stovykloje neišbuvo pilnos pamainos.</t>
  </si>
  <si>
    <t>10.02.02.</t>
  </si>
  <si>
    <t>Užtikrinti vaikų dienos centrų veiklą</t>
  </si>
  <si>
    <t>10.02.02.01</t>
  </si>
  <si>
    <t>Finansuoti vaikų dienos centrų veiklos programas</t>
  </si>
  <si>
    <t>Patenkintų paraiškų dalis nuo visų gautų paraiškų</t>
  </si>
  <si>
    <t>Teikiamos dienos socialinės priežiūros ir ugdymo paslaugos vaikui, organizuojamas dienos užimtumas vaikui ir jo šeimos nariams. Buvo patenkinta 100 procentų visų gautų paraiškų.</t>
  </si>
  <si>
    <t>Komisijos sprendimu, vaikų dienos centrų pateikti projektai buvo reitinguojami ir pagal gautus įvertinimus buvo skiriamas atitinkamo dydžio finansavimas. Visų projektų įgyvendinimui buvo skirtas finansavimas, tačiau ne visi surinko aukščiausius įvertinimus ir gavo finansavimą 100 procentų, todėl dalis lėšų liko nepanaudota.</t>
  </si>
  <si>
    <t>10.03.</t>
  </si>
  <si>
    <t>Didinti socialiai pažeidžiamų gyventojų gerovę ir socialinę aprėptį aprūpinant juos būstu</t>
  </si>
  <si>
    <t>10.03.01.</t>
  </si>
  <si>
    <t>Tinkamai eksploatuoti, remontuoti ir naudoti Savivaldybei nuosavybės teise priklausančius būstus</t>
  </si>
  <si>
    <t>10.03.01.01</t>
  </si>
  <si>
    <t>Užtikrinti skolų išieškojimą ir skolininkų iškeldinimą iš savivaldybei nuosavybės teise priklausančių būstų</t>
  </si>
  <si>
    <t>Teismo sprendimų skaičius</t>
  </si>
  <si>
    <t>10.03.01.02</t>
  </si>
  <si>
    <t>Apmokėti savivaldybei nuosavybės teise priklausančių būstų eksploatavimo, administravimo, kaupimo, nuomos mokesčio surinkimo, komunalinių mokesčių, remonto išlaidas</t>
  </si>
  <si>
    <t>Apmokėtos išlaidos</t>
  </si>
  <si>
    <t>Šiaulių miesto savivaldybės būsto fondą sudaro 835 būstai. Priemonės lėšomis finansuojamos visos išlaidos, susijusios su būstų eksploatavimu, administravimu, kaupimu, nuomos mokesčio surinkimu ir kt.</t>
  </si>
  <si>
    <t>Neįvyko nei vienas iš trijų skelbtų per CPO  pirkimų dėl senų langų keitimo savivaldybei nuosavybės teise priklausančiuose būstuose.</t>
  </si>
  <si>
    <t>10.03.01.04</t>
  </si>
  <si>
    <t>Apmokėti savivaldybei nuosavybės teise priklausančio nekilnojamojo turto renovacijos išlaidas</t>
  </si>
  <si>
    <t>Apmokėtos renovacijos išlaidas</t>
  </si>
  <si>
    <t>Priemonės lėšomis finansuojamos renovacijos išlaidos, kurios yra patiriamos renovuojant daugiabučius gyvenamuosius namus, kuriuose yra Savivaldybei nuosavybės teise priklausančių gyvenamųjų patalpų.</t>
  </si>
  <si>
    <t>Išlaidos apmokėtos.Sutaupyta.</t>
  </si>
  <si>
    <t>10.03.02.</t>
  </si>
  <si>
    <t>Didinti būsto prieinamumą pažeidžiamoms gyventojų grupėms</t>
  </si>
  <si>
    <t>10.03.02.02</t>
  </si>
  <si>
    <t>Įgyvendinti projektą "Socialinio būsto fondo plėtra Šiaulių miesto savivaldybėje"</t>
  </si>
  <si>
    <t>Nupirktų būstų skaičius</t>
  </si>
  <si>
    <t>Įsigyta 14 naujų socialinių būstų (butų).</t>
  </si>
  <si>
    <t>Nupirkta butų mažiau nei planuota, kadangi nebuvo gauta pakankamai pasiūlymų.</t>
  </si>
  <si>
    <t>10.03.02.03</t>
  </si>
  <si>
    <t>Sumokėti socialiai remtinų piliečių palūkanas už paskolas</t>
  </si>
  <si>
    <t>Padengtos išlaidos</t>
  </si>
  <si>
    <t>Palūkanos dengiamos 31 asmeniui (šeimai).  Visos išlaidos apmokėtos.</t>
  </si>
  <si>
    <t>Palūkanų dengimas už socialiai remtinų piliečių paskolas.</t>
  </si>
  <si>
    <t>10.03.02.04</t>
  </si>
  <si>
    <t>Didinti savivaldybės būsto fondą</t>
  </si>
  <si>
    <t>Per 2019 m. parduoti 4 savivaldybės statusą turintys būstai. Lėšos, gautos pardavus savivaldybės būstus, pervedamos  į savivaldybės biudžetą. Priemonės likutis 2019-12-31 yra 112,47 tūkst. Eur.</t>
  </si>
  <si>
    <t>Vadovaujantis Paramos būstui 29 str., lėšos už parduotus būstus naudojamos soc. būsto plėtrai. Įgyvendinus 10.03.02.02 priemonę, būstų pirkimas bus finansuojamas šios priemonės lėšomis.</t>
  </si>
  <si>
    <t>10.03.03.</t>
  </si>
  <si>
    <t>Teikti paramą būstui išsinuomoti</t>
  </si>
  <si>
    <t>10.03.03.01</t>
  </si>
  <si>
    <t>Kompensuoti būsto nuomos ar išperkamosios būsto nuomos mokesčių dalį</t>
  </si>
  <si>
    <t>Per 2019 m. būsto nuomos mokesčio dalies kompensaciją gavo 18 asmenų (šeimų).</t>
  </si>
  <si>
    <t>Visos išlaidos apmokėtos.</t>
  </si>
  <si>
    <t>10.04.</t>
  </si>
  <si>
    <t>Kurti saugią ir patrauklią socialinę aplinką šeimoms</t>
  </si>
  <si>
    <t>10.04.04.</t>
  </si>
  <si>
    <t>Skatinti šeimas</t>
  </si>
  <si>
    <t>10.04.04.01</t>
  </si>
  <si>
    <t>Užtikrinti kraitelio skyrimą šeimoms, susilaukusioms kūdikio</t>
  </si>
  <si>
    <t>Nupirktų kraitelių skaičius</t>
  </si>
  <si>
    <t>Kraiteliai perkami pagal poreikį, atsižvelgiant į gimstančių kūdikių skaičių. Nupirkta 868 vnt. kraitelių po 231,6 Eur/vnt.</t>
  </si>
  <si>
    <t>Viešųjų pirkimų konkurso būdu kūdikio kraiteliai buvo nupirkti už mažesnę nei planuota kainą. Mažesnis nei planuota per metus gimusių kūdikių skaičius.</t>
  </si>
  <si>
    <t>11 PROGRAMOS 2019 METŲ ĮGYVENDINIMO ATASKAITA</t>
  </si>
  <si>
    <t>11.</t>
  </si>
  <si>
    <t>Savivaldybės veiklos programa</t>
  </si>
  <si>
    <t>11.01.</t>
  </si>
  <si>
    <t>Efektyviai organizuoti Savivadybės darbą ir užtikrinti Savivaldybės funkcijų įgyvendinimą</t>
  </si>
  <si>
    <t>11.01.01.</t>
  </si>
  <si>
    <t>Sudaryti sąlygas Savivaldybės funkcijoms įgyvendinti</t>
  </si>
  <si>
    <t>11.01.01.01</t>
  </si>
  <si>
    <t>Užtikrinti Savivaldybės administracijos finansinį, ūkinį ir materialinį aptarnavimą</t>
  </si>
  <si>
    <t>Organizuota mokymų/ dalyvių</t>
  </si>
  <si>
    <t>Suorganizuoti mokymai atskiroms darbuotojų grupėms: skyrių vedėjams -  lyderystės kompetencijos stiprinimas: „Ugdomojo vadovavimo (koučingo) gebėjimų stiprinimas“ ir „Konfliktinės situacijos ir jų valdymas“ (25 darbuotojai); administracijos darbuotojams, surašantiems administracinio nusižengimo protokolus - „Administracinių nusižengimų kodekso (ANK) taikymas“ (20 darbuotojų); asmenų aptarnavimo kokybės gerinimas įstaigoje -  „Efektyvus interesantų aptarnavimas bei stresinių ir konfliktinių situacijų valdymas“ (25 darbuotojai); Socialinių išmokų ir kompensacijų skyriaus darbuotojams - „Dokumentų rengimas: pagrindiniai raštvedybos reikalavimai oficialiam atsakymui, apskundimo tvarka ir įstatymo nuostatų aiškinimas, alternatyvos/ų pateikimas“ ir „Asmens duomenų apsaugos principai“ (34 darbuotojai);  darbuotojams, vykdantiems viešuosius pirkimus -  „Viešųjų pirkimų organizavimo ir vykdymo geroji praktika: pirkimų vykdymo efektyvumo strategija - 2019 m." (22 darbuotojai); stiprinant darbuotojų komunikacijos kompetencijas Žmonių gerovės ir ugdymo departamento darbuotojams - „Dalykinis bendravimas ir bendradarbiavimas“ ir „Streso valdymas dalykinėje aplinkoje“ (28 darbuotojai); komandos stiprinimo mokymai  Strateginio planavimo ir finansų skyriaus darbuotojams -„Efektyvaus bendravimo ir bendradarbiavimo komandoje įgūdžių formavimo praktiniai užsiėmimai“ (15 darbuotojų). Taip pat dalyvauta įvairiuose mokymuose tobulinant specialiuosius ir profesinius gebėjimus, reikalingus konkrečioms pareigybės aprašyme nustatytoms funkcijoms vykdyti.</t>
  </si>
  <si>
    <t>Sutaupyta 5,5 tūkst. Eur nupirkus mokymus pigiau nei planuota.</t>
  </si>
  <si>
    <t>Išnuomota biuro technikos</t>
  </si>
  <si>
    <t>Biuro technikos nuoma nevykdoma, nes biuro technika įsigyta.</t>
  </si>
  <si>
    <t>Eksploatuojama kompiuterių</t>
  </si>
  <si>
    <t>Įsigyta programinė įranga</t>
  </si>
  <si>
    <t>Valstybės karjeros tarnautojų</t>
  </si>
  <si>
    <t>Įsigyta duomenų saugyklų</t>
  </si>
  <si>
    <t>Darbuotojų dirbančių pagal darbo sutartis</t>
  </si>
  <si>
    <t>Įvykdytų planuotų administracijos remonto darbų</t>
  </si>
  <si>
    <t>Atlikti tokie darbai: išdažytos Civilinės metrikacijos skyriaus laiptinės, kabinetai ir suremontuoti įėjimo į pastatą laiptai. Įrengtos Miesto koordinavimo skyriaus patalpos. Suremontuotas Savivaldybės (Vasario 16-osios g. 62) fasadas, bokštelis, pakeista dalis stogo dangos, pakeistos paradinio įėjimo laiptų granito plokštės.</t>
  </si>
  <si>
    <t>Sutaupyta 12,2 tūkst. Eur pigiau nupirkus remonto darbus nei planuota.</t>
  </si>
  <si>
    <t>Išnuomota programinės įrangos licencijų</t>
  </si>
  <si>
    <t>Programinės įrangos licencijų nuoma nevykdoma, licenzijos įsigyjamos.</t>
  </si>
  <si>
    <t>Įsigyta kompiuterinės technikos</t>
  </si>
  <si>
    <t>30 stacionarių ir 17 nešiojamųjų kompiuterių.</t>
  </si>
  <si>
    <t>Įsigyta organizacinės technikos</t>
  </si>
  <si>
    <t>1 spausdintuvas, 35 telefonų aparatai, 1 dokumentų naikinimo įrenginys, 1 fotoaparatas,
naikinimo įrenginys, 1 fotoaparatas.</t>
  </si>
  <si>
    <t>Įsigyta spaudos ploto dienraščiuose</t>
  </si>
  <si>
    <t>cm</t>
  </si>
  <si>
    <t>Vis daugiau informacijos skelbiama internetinėje erdvėje, nes taip didesnis šiauliečių pasiekiamumas.</t>
  </si>
  <si>
    <t>11.01.01.02</t>
  </si>
  <si>
    <t>Užtikrinti Savivaldybės tarybos ir Savivaldybės tarybos sekretoriato finansinį, ūkinį ir materialinį aptarnavimą</t>
  </si>
  <si>
    <t>Tarybos narių</t>
  </si>
  <si>
    <t>Tarybos ir mero fondo nepanaudotas asignavimų likutis  - 23,1 tūkst. Eur. Tarybos nepanaudotą asignavimų likutį - 19,8 tūkst. Eur sudaro: darbo užmokestis 19,8 tūkst. Eur, socilinio draudimo įmokos 0,5 tūkst. Eur, kitų prekių ir paslaugų išlaidos 3,2 tūkst. Eur (nepanaudoti: ryšiams, transporto išlaidoms, komandiruotėms, kvalifikacijai, kitoms prekėms ir paslaugoms numatyti asignavimai). 
Mero fondui nepanaudoti 3,3 tūkst. Eur.</t>
  </si>
  <si>
    <t>Tarybos sekretoriato darbuotojų</t>
  </si>
  <si>
    <t>Tarybos sekretoriato nepanaudotas asignavimų likutis - 3,5 tūkst. Eur, iš jų darbo užmokesčiui - 3,4 tūkst. Eur, socialinio draudimo įmokoms - 0,1 tūkst. Eur.</t>
  </si>
  <si>
    <t>11.01.01.03</t>
  </si>
  <si>
    <t>Užtikrinti finansinį, ūkinį bei materialinį Kontrolės tarnybos aptarnavimą</t>
  </si>
  <si>
    <t>Patvirtintų pareigybių</t>
  </si>
  <si>
    <t>11.01.02.</t>
  </si>
  <si>
    <t>Tinkamai įgyvendinti valstybines (perduotas savivaldybei) funkcijas</t>
  </si>
  <si>
    <t>11.01.02.01</t>
  </si>
  <si>
    <t>Deklaruoti gyvenamąją vietą</t>
  </si>
  <si>
    <t>11.01.02.02</t>
  </si>
  <si>
    <t>Teikti duomenis Valstybės registrui</t>
  </si>
  <si>
    <t>11.01.02.03</t>
  </si>
  <si>
    <t>Teikti pirminę teisinę pagalbą</t>
  </si>
  <si>
    <t>11.01.02.04</t>
  </si>
  <si>
    <t>Nagrinėti nuosavybės teisių atkūrimą</t>
  </si>
  <si>
    <t>11.01.02.05</t>
  </si>
  <si>
    <t>Registruoti civilinės būklės aktus</t>
  </si>
  <si>
    <t>11.01.02.06</t>
  </si>
  <si>
    <t>Tvarkyti Gyventojų registrą</t>
  </si>
  <si>
    <t>11.01.02.07</t>
  </si>
  <si>
    <t>Vykdyti valstybinės kalbos vartojimo kontrolę</t>
  </si>
  <si>
    <t>11.01.02.09</t>
  </si>
  <si>
    <t>Įgyvendinti jaunimo politiką</t>
  </si>
  <si>
    <t>11.01.02.10</t>
  </si>
  <si>
    <t>Tvarkyti archyvinius dokumentus</t>
  </si>
  <si>
    <t>11.01.02.11</t>
  </si>
  <si>
    <t>Administruoti mobilizaciją</t>
  </si>
  <si>
    <t>11.01.02.12</t>
  </si>
  <si>
    <t>Organizuoti civilinę saugą</t>
  </si>
  <si>
    <t>11.01.02.13</t>
  </si>
  <si>
    <t>Vykdyti žemės ūkio funkcijas</t>
  </si>
  <si>
    <t>11.01.02.14</t>
  </si>
  <si>
    <t>Administruoti Užimtumo didinimo programą</t>
  </si>
  <si>
    <t>11.01.02.15</t>
  </si>
  <si>
    <t>Administruoti socialines pašalpas</t>
  </si>
  <si>
    <t>11.01.02.16</t>
  </si>
  <si>
    <t>Administruoti kompensacijas</t>
  </si>
  <si>
    <t>11.01.02.17</t>
  </si>
  <si>
    <t>Administruoti socialinę paramą mokiniams</t>
  </si>
  <si>
    <t>11.01.02.18</t>
  </si>
  <si>
    <t>Administruoti socialinę globą</t>
  </si>
  <si>
    <t>11.01.02.20</t>
  </si>
  <si>
    <t>Administruoti būsto nuomos ar išperkamosios būsto nuomos mokesčių dalies kompensacijas</t>
  </si>
  <si>
    <t>11.01.02.21</t>
  </si>
  <si>
    <t>Užtikrinti informacijos apie neveiksnių asmenų būklę persvarstymą</t>
  </si>
  <si>
    <t>Komisijos inicijuoti asmens būklės peržiūrėjimai</t>
  </si>
  <si>
    <t>Sprendimai priimti pagal poreikį.</t>
  </si>
  <si>
    <t>Komisijos priimti sprendimai kreiptis į teismą</t>
  </si>
  <si>
    <t>Komisijos išnagrinėtų inicijuotų asmens būklės peržiūrėjimo bylų skaičius</t>
  </si>
  <si>
    <t>Išnagrinėta komisijos inicijuotų asmens būklės peržiūrėjimo bylų pagal poreikį.</t>
  </si>
  <si>
    <t>11.01.02.23</t>
  </si>
  <si>
    <t>Atlikti erdvinių duomenų rinkinio tvarkymo funkciją</t>
  </si>
  <si>
    <t>Atlikta erdvinių duomenų rinkinio tvarkymo funkcija</t>
  </si>
  <si>
    <t>11.01.04.</t>
  </si>
  <si>
    <t xml:space="preserve">Diegti Savivaldybės administracijoje modernias informacines sistemas </t>
  </si>
  <si>
    <t>11.01.04.04</t>
  </si>
  <si>
    <t>Gerinti asmenų aptarnavimo ir paslaugų kokybę Šiaulių miesto savivaldybėje</t>
  </si>
  <si>
    <t>Patobulinti viešojo administravimo paslaugų organizavimo ir teikimo procesai</t>
  </si>
  <si>
    <t>1. Šiaulių miesto savivaldybės administracijos teikiamų paslaugų, susijusių su verslo ir gyventojų ūkinės veiklos vykdymu, analizės ir optimizavimo paslaugos; 2. Informavimo bei konsultavimo paslaugų teikimo ir klientų aptarnavimo paslaugų optimizavimo ir tobulinimo Šiaulių turizmo informacijos centre paslaugos.</t>
  </si>
  <si>
    <t>2 vnt. parengti, 2 vnt. yra rengimo stadijoje (rengėjas vėluoja pateikti, skaičiuojami delspinigiai), 1 vnt. pirkimas apskųstas teismui.</t>
  </si>
  <si>
    <t>11.01.04.05</t>
  </si>
  <si>
    <t>Įgyvendinti projektą "Gyventontojų kortelės integravimas į teikiamų paslauhgų valdymą Jelgavos ir Šiaulių savivaldybėse"</t>
  </si>
  <si>
    <t>Įdiegta gyventojų kortelė</t>
  </si>
  <si>
    <t>2019 metais parengta Išmanaus miesto koncepcija.</t>
  </si>
  <si>
    <t xml:space="preserve"> Išmanus gyventojų ir paslaugų registras - gyventojų kortelė - bus parengtas 2020 metais.</t>
  </si>
  <si>
    <t>11.01.05.</t>
  </si>
  <si>
    <t>Gerinti Savivaldybės administracijos materialinę – techninę bazę</t>
  </si>
  <si>
    <t>11.01.05.03</t>
  </si>
  <si>
    <t>Projektų vykdymo priežiūros ir kitos inžinerinės paslaugos</t>
  </si>
  <si>
    <t>Parengti planuoti techniniai projektai ir įgyvendintos inžinerinės paslaugos</t>
  </si>
  <si>
    <t>Rėkyvos progimnazijos (Poilsio g. 1) ekspertizė ir SLD;
Medelyno progimnazijos (Birutės g. 40) techninės priežiūros paslauga ir techninio prižiūrėtojo civilinės atsakomybės privalomasis draudimas;
J. Janonio gimnazijos techninio prižiūrėtojo civilinės atsakomybės privalomasis draudimas;
J. Janonio gimnazijos daugiafunkcinės aikštelės techninio projekto ekspertizė ir SLD;
Juventos progimnazijos paprasto remonto projekto vykdymo priežiūra;
1-osios muzikos mokyklos paprasto remonto darbų projekto ekspertizė, techninės priežiūros (elektrotechnikos) paslauga, projekto vykdymo priežiūra ir  techninio prižiūrėtojo civilinės atsakomybės privalomasis draudimas;
Šiaulių dainavimo mokyklos „Dagilėlis“ I ir II etapo remonto darbų projekto vykdymo priežiūra ir techninės priežiūros (elektrotechnikos) paslauga;
Juventos progimnazijos daugiafunkcinės aikštelės SLD;
L. d. „Kregždutė“ ekspertizė ir SLD;
L.d. „Saulutė“, „Bitė“, „Gluosnis“ SLD;
Socialinių paslaugų centro paramos tarnybos, Stoties g. 9C paprastojo remonto TP ekspertizė;
Globos namų padalinio dienos socialinės globos centras „Goda“ Žalgirio g. 3 atnaujinimo darbų: statinio techninės priežiūros paslauga, techninio darbo projekto paslauga, archeologiniai tyrimai ir SLD;
Kultūros centro techninės priežiūros paslauga ir SLD;
Šiaulių dailės galerijos TP ekspertizė ir SLD;
Kultūros centro Rėkyvos skyriaus TP ekspertizė ir SLD;
Šiaulių miesto koncertų įstaigos „Saulė“ TP ekspertinis vertinimas;
Irklavimo bazės techninės priežiūros (elektrotechnikos) paslauga, projekto vykdymo priežiūra, techninės priežiūros civilinės atsakomybės drausimas, statybos užbaigimo aktas;
Daušiškių kapinių įrengimo II etapo projekto vykdymo priežiūra;
Administracinės paskirties pastatas vasario 16-sios g. 62 pastato kapitalinio remonto darbų techninės priežiūros (elektrotechnikos, santechnikos) paslauga; kapitalinio remonto darbo projekto konstrukcinės dalies ekspertizė, projekto vykdymo priežiūra, techninio prižiūrėtojo civilinės atsakomybės privalomasis draudimas, statybos užbaigimo aktas;
Šiaulių oro uosto projekto ekspertizė ir SLD.</t>
  </si>
  <si>
    <t>Asignavimai sutaupyti</t>
  </si>
  <si>
    <t>11.02.</t>
  </si>
  <si>
    <t>Plėtoti bendradarbiavimą su socialiniais partneriais</t>
  </si>
  <si>
    <t>11.02.01.</t>
  </si>
  <si>
    <t>Plėtoti bendradarbiavimą su miesto teisėtvarkos institucijomis, organizacijomis</t>
  </si>
  <si>
    <t>11.02.01.01</t>
  </si>
  <si>
    <t>Įgyvendinti prevencines programas</t>
  </si>
  <si>
    <t>Įsigytų triukšmo matuoklių skaičius</t>
  </si>
  <si>
    <t>Poreikio pirkti dar viena triukšmo matuoklį policija nepateikė (vienas matuoklis įsigytas ir perduotas 2018 m.).</t>
  </si>
  <si>
    <t>Įgyvendinta projektų</t>
  </si>
  <si>
    <t xml:space="preserve"> Vykdant Šiaulių miesto savivaldybės nusikaltimų prevencijos 2017–2019 m. programos 2019 m. veiklos planą buvo finansuoti 8  tikslinių nusikaltimų prevencijos programos projektai.
Finansuota atitinkamų institucijų 8 projektai:
1. „Psichoaktyvių medžiagų vartojimo prevencijos organizavimas Šiaulių mieste“, 1 500 Eur, Viešoji įstaiga „ETERNA VITA“
2. „Prevencinė veikla su valkataujančiais ir elgetaujančiais asmenimis“, 2 000 Eur, VšĮ „Šiaulių greitosios medicinos pagalbos stotis“
3. „Smurtas artimoje aplinkoje: pagalba, smurto prevencija“, 4 000 Eur, Asociacija „Moterų veiklos inovacijų centras“.
4. „Saugūs Šiauliai”, 15 500 Eur, Šiaulių apskrities vyriausiasis policijos komisariatas.
5. „Smurtinių nusikaltimų prevencijos vykdymas per smurtinį elgesį keičiančių programų taikymą“, 1 200 Eur, Lietuvos probacijos tarnyba, Šiaulių regiono skyrius.
6. „Prevencinė veikla per smurtinį elgesį keičiančių programų taikymą“, 3 300 Eur, Lietuvos probacijos tarnyba, Šiaulių regiono skyrius.
7. „Perspėtas – apsaugotas nuo gaisro“, 6 000 Eur, Šiaulių priešgaisrinė gelbėjimo valdyba.
8. „Smurto artimoje aplinkoje prevencija Šiaulių mieste“, 1 500 Eur, VšĮ Žmogiškųjų išteklių stebėsenos ir plėtros biuras.</t>
  </si>
  <si>
    <t>Dėl beveik dvigubai sumažinto biudžeto iš viso įgyvendinti 8 projektai. Buvo gautos 9 paraiškos projektams, tačiau Nusikaltimų prevencijos programos finansuojamų projektų vertinimo komisijos sprendimu buvo nepritarta vieno iš projektų įgyvendinimui.</t>
  </si>
  <si>
    <t>11.02.01.02</t>
  </si>
  <si>
    <t>Įgyvendinti projektą "Civilinės saugos sistemos gerinimas Šiaulių ir Jelgavos miestuose"</t>
  </si>
  <si>
    <t>Įsteigtas informacijos ir įvykių operatyvaus valdymo koordinacinis centras</t>
  </si>
  <si>
    <t>Baigti rangos darbai, įsigyta įranga ir baldai.</t>
  </si>
  <si>
    <t>11.02.02.</t>
  </si>
  <si>
    <t>Skatinti Savivaldybės bendradarbiavimą su vietos bendruomene</t>
  </si>
  <si>
    <t>11.02.02.03</t>
  </si>
  <si>
    <t>Remti bendruomeninę veiklą savivaldybėje</t>
  </si>
  <si>
    <t>Finansuota projektų</t>
  </si>
  <si>
    <t>Alikti sporto aikštyno įrengimo darbai, projekto veiklos leido išplėtoti bendruomeninių, nevyriausybinių organizacijų, vietos savivaldos, švietimo institucijų bendradarbiavimą, siekiant efektyvios ir ilgalaikės socialinės partnerystės. Sukurtos turiningesnio ir įvairesnio laisvalaikio galimybės, įtraukti į veiklas skirtingų kartų atstovai, socialinę atskirtį patiriantys asmenys, bendruomenių atstovai įtraukti į viešojo valdymo procesus, savanorišką veiklą, formuojamos bendruomeniškumo tradicijos, skatinamas psichologinės sveikatos gerinimo paslaugų teikimas.</t>
  </si>
  <si>
    <t>Išplėstinės seniūnaičių sueigos siūlymu lėšų likutis nepaskirstytas visiems projektams skelbiant papildomą projektų finansavimo konkursą.</t>
  </si>
  <si>
    <t>Dalyvavusių bendruomeninių organizacijų</t>
  </si>
  <si>
    <t>Įgyvendintose veiklose dalyvavę asmenys</t>
  </si>
  <si>
    <t>11.02.02.05</t>
  </si>
  <si>
    <t>Skatinti nevyriausybinių organizacijų veiklą ir užtikrinti jų plėtrą</t>
  </si>
  <si>
    <t>Suorganizuota mokymų NVO, bendruomenėms</t>
  </si>
  <si>
    <t>Mokymų dalyviai įgijo kompetencijų rengiant paraiškas, formuluojant tikslus, uždavinius, veiklų planą, planuojant biudžetą, susipažino su tarptautine partneryste, rizikų valdymu, savanorystės teisiniais aspektais.</t>
  </si>
  <si>
    <t>Atliekant apklausą dėl mokymų poreikio dalyvavusių mokymuose organizacijų buvo mažiau negu pareiškusių  norą.</t>
  </si>
  <si>
    <t>Projektinių veiklų metu skatinamas socialiai pažeidžiamų, vienišų, pagyvenusių žmonių užimtumas, domėjimasis sveika ir aktyvia gyvensena, puoselėjamos tradicijos per projektinę veiklą, ugdomas vaikų, jaunimo pilietiškumas, įtraukimas į etnines kultūros veiklas, stiprintas NVO, dirbančių užimtumo didinimo srityje tinklas. Suorganizuota vaikų, augančių šeimose, kurios patiria finansinių sunkumų, penkių dienų stovykla „Laimės beieškant“, įgyvendintas integruotų grupinių užsiėmimų ciklas „Nedygliuota paauglystė“, pristatyta Šiaulių miesto reikšmingumas ir potencialas Lietuvos Jaunimo dienoms 2020, suorganizuoti „Jaunimo debatai“, skatinamas Šiaulių miesto jaunimas veikti ir likti Šiauliuose, renginių ciklas jaunimui „Destination Šiauliai 2019“, tarptautinė mokslinė-praktinė konferencija „Studijų praktika Trečiojo amžiaus universitetuose ir jų tobulinimo perspektyvos“.</t>
  </si>
  <si>
    <t>Atsižvelgiant į kokybinius projektų vertinimo kriterijus, finansuota mažiau projektų didesne lėšų suma.</t>
  </si>
  <si>
    <t>Įregistruota ir perregistruota organizacijų</t>
  </si>
  <si>
    <t>11.02.02.06</t>
  </si>
  <si>
    <t>Dalyvauti Šiaulių vietos veiklos grupės strategijos rengime ir  įgyvendinime</t>
  </si>
  <si>
    <t>Pasirašytos projektų finansavimo sutartys</t>
  </si>
  <si>
    <t>Pasirašytos 4 finansavimo sutartys dėl Šiaulių miesto savivaldybės biudžeto lėšų skyrimo projektams „Kelio žvaigždė“, „Pagalbos teikimas Šiaulių miesto gyventojams, prižiūrintiems savo šeimos narius (ligonius)“, „Senjorų agapė“, „Įsigalink ir siek“.</t>
  </si>
  <si>
    <t>11.03.</t>
  </si>
  <si>
    <t>Užtikrinti tinkamą savivaldybės lėšų planavimą ir panaudojimą</t>
  </si>
  <si>
    <t>11.03.01.</t>
  </si>
  <si>
    <t>Užtikrinti prisiimtų įsipareigojimų vykdymą</t>
  </si>
  <si>
    <t>11.03.01.01</t>
  </si>
  <si>
    <t>Vykdyti paskolų grąžinimą, palūkanų už paskolas mokėjimą, bei kitus finansinių įsipareigojimus</t>
  </si>
  <si>
    <t>Pasirašytų paskolų sutarčių</t>
  </si>
  <si>
    <t>Skolinių įsipareigojimų vykdymas</t>
  </si>
  <si>
    <t>Sumokėta palūkanų pagal faktinį poreikį.</t>
  </si>
  <si>
    <t>11.03.01.02</t>
  </si>
  <si>
    <t>Mokėti  koncesijos mokestį Aukštabalio multifunkcinio komplekso operatoriui</t>
  </si>
  <si>
    <t>Sutartinių metinių įsipareigojimų vykdymas</t>
  </si>
  <si>
    <t>11.03.01.03</t>
  </si>
  <si>
    <t>Užtikrinti rinkliavos už leidimą prekiauti nuo (iš) laikinųjų prekybos įrenginių gėlėmis ir gedulo ritualo reikmenimis prie Ginkūnų ir K. Donelaičio civilinių kapinių administravimą</t>
  </si>
  <si>
    <t>Užtikrintas rinkliavos organizavimas</t>
  </si>
  <si>
    <t>Vietinės rinkliavos už leidimų prekiauti prie Ginkūnų ir K. Donelaičio civilinių kapinių išdavimą administravimas</t>
  </si>
  <si>
    <t>Planuoto rodiklio nukrypimas susidaro, nes Vietinės rinkliavos administratoriui mokėjimai atliekami pagal faktą (Sutartyje nustatyta tvarka pagal pateiktas sąskaitas +1183,20 Eur (neįtraukta už gruodžio mėn.)</t>
  </si>
  <si>
    <t>11.03.01.04</t>
  </si>
  <si>
    <t>Kompensuoti keleivių vežimo vietiniais maršrutais organizavimo išlaidas</t>
  </si>
  <si>
    <t>Sutartinių įsipareigojimų vykdymas</t>
  </si>
  <si>
    <t>Pagal pateiktas UAB „Busturas“ sąskaitas  yra kompensuoti vežėjo nuostoliai, susidarę teikiant keleivių vežimo miesto autobusais paslaugas už 2018 m. gruodžio mėn. ir 2019 m. sausio-lapkričio mėn. Sąskaita nuostolių kompensacijai už 2019 m. gruodžio mėn. bus gauta  2020 m. sausio 20 d., todėl atsiskaityta bus iš 2020 m. biudžeto lėšų.</t>
  </si>
  <si>
    <t>Planas viršytas nepatikslinus sąmatos, nes vadovaujantis LR vyriausybės 2001-05-14 d. nutarimu Nr. 543 ,,Dėl LR valstybės biudžeto ir savivaldybių biudžeto sudarymo ir vykdymo taisyklių patvirtinimo 60 punktu, bei siekiant sumažinti 2019 m. kreditorinius įsipareigojimus, buvo leista 2019 m. nepanaudotas priemonės 10 01 10 01 „Kompensuoti keleivinio transporto vežėjų išlaidas – (negautas pajamas) už lengvatinį keleivių vežimą reguliaraus susisiekimo maršrutais“ savivaldybės biudžeto (151) lėšas 27 300,28 Eur panaudoti priemonei 11 03 01 04 „Kompensuoti keleivių vežimo vietiniais maršrutais organizavimo išlaidas“, siekiant pilna apimtimi sumokėti UAB „Busturas“ pateiktą sąskaitą Nr. 2019/11-M, gautą 2019 m. gruodžio 20 d. (Dvs Avilys Nr. G-8497 „Dėl ataskaitų pateikimo“).</t>
  </si>
  <si>
    <t>11.03.01.05</t>
  </si>
  <si>
    <t>Administruoti rinkliavą Šiaulių miesto viešosiose prekybos vietose</t>
  </si>
  <si>
    <t>Užtikrinti rinkliavos organizavimą</t>
  </si>
  <si>
    <t>Vietinės rinkliavos už leidimų  prekiauti viešosiose vietose išdavimą administravimas</t>
  </si>
  <si>
    <t>Planuoto rodiklio nukrypimas susidarė,  nes 2019-04-04 baigėsi sutarties su Vietinės rinkliavos administratoriumi galiojimas</t>
  </si>
  <si>
    <t>11.03.02.</t>
  </si>
  <si>
    <t>Organizuoti civilinę saugą, naudojant direktoriaus rezervo fondo lėšas</t>
  </si>
  <si>
    <t>11.03.02.01</t>
  </si>
  <si>
    <t>Likviduoti įvykių, ekstremalių įvykių ir ekstremalių situacijų pasekmes</t>
  </si>
  <si>
    <t>2019 m. ekstremalių situacijų nebuvo, ekstremaliems įvykiams likviduoti lėšų nereikėjo</t>
  </si>
  <si>
    <t>11.03.02.02</t>
  </si>
  <si>
    <t>Sudaryti mobilizacinio užsakymo sutartis su ūkio subjektais Savivaldybės prekių, paslaugų ir darbų poreikiams užtikrinti paskelbus mobilizaciją</t>
  </si>
  <si>
    <t>Sudarytos mobilizacinio užsakymo sutartys su ūkio subjektais Savivaldybės prekių, paslaugų ir darbų poreikiams užtikrinti paskelbus mobilizaciją</t>
  </si>
  <si>
    <t>2019 metų eigoje buvo priimtas sprendimas sudaryti mobilizacinio užsakymo bendradarbiavimo sutartis, kurioms lėšų nereikia, todėl skirtos lėšos buvo gražintos į Savivaldybės biudžetą ir skirtos vaizdo stebėjimo kamerų įrengimui Saulės laikrodžio aikštėje.</t>
  </si>
  <si>
    <t xml:space="preserve"> Per vėlai skirtos lėšos, dėl ko mokytojai negalėjo suderinti darbo ir mokymų lankymo.</t>
  </si>
  <si>
    <t>Kadangi stovykla buvo planuojama Estijos, Latvijos ir Lietuvos moksleiviams, partneriams atsisakius ją vykdyti, idėjos buvo atsisakyta ir organizuota sovykla gabiems moksleiviams.Gabių mokinių vasaros užimtumo stovyklą pavesta suorganizuoti Didždvario gimanazijai.</t>
  </si>
  <si>
    <t>Dėl vykdomos dviračių trąsos (miestų gatvių) remonto darbų, sumažėjo dviračių lenktynių dalyvių skaičius.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</si>
</sst>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27]General"/>
    <numFmt numFmtId="166" formatCode="[$]@"/>
    <numFmt numFmtId="167" formatCode="[$-427]#,##0.00;\-#,##0.00;&quot;&quot;"/>
  </numFmts>
  <fonts count="24" x14ac:knownFonts="1">
    <font>
      <sz val="11"/>
      <color rgb="FF000000"/>
      <name val="Calibri"/>
      <family val="2"/>
      <charset val="1"/>
    </font>
    <font>
      <sz val="11"/>
      <color rgb="FF000000"/>
      <name val="Times New Roman"/>
      <family val="1"/>
      <charset val="186"/>
    </font>
    <font>
      <sz val="10"/>
      <color rgb="FF000000"/>
      <name val="Arial"/>
      <family val="2"/>
      <charset val="186"/>
    </font>
    <font>
      <sz val="11"/>
      <name val="Times New Roman"/>
      <family val="1"/>
      <charset val="186"/>
    </font>
    <font>
      <b/>
      <sz val="12"/>
      <color rgb="FF000000"/>
      <name val="Times New Roman"/>
      <family val="1"/>
      <charset val="186"/>
    </font>
    <font>
      <b/>
      <sz val="11"/>
      <color rgb="FF000000"/>
      <name val="Calibri"/>
      <family val="2"/>
      <charset val="1"/>
    </font>
    <font>
      <sz val="12"/>
      <color rgb="FF000000"/>
      <name val="Times New Roman"/>
      <family val="1"/>
      <charset val="186"/>
    </font>
    <font>
      <sz val="10"/>
      <color rgb="FF000000"/>
      <name val="Times New Roman"/>
      <family val="1"/>
      <charset val="186"/>
    </font>
    <font>
      <sz val="10"/>
      <name val="Times New Roman"/>
      <family val="1"/>
      <charset val="186"/>
    </font>
    <font>
      <b/>
      <sz val="10"/>
      <color rgb="FF000000"/>
      <name val="Times New Roman"/>
      <family val="1"/>
      <charset val="186"/>
    </font>
    <font>
      <b/>
      <sz val="12"/>
      <name val="Times New Roman"/>
      <family val="1"/>
      <charset val="186"/>
    </font>
    <font>
      <sz val="12"/>
      <name val="Times New Roman"/>
      <family val="1"/>
      <charset val="186"/>
    </font>
    <font>
      <sz val="12"/>
      <color rgb="FF000000"/>
      <name val="times New Roman"/>
      <family val="2"/>
      <charset val="1"/>
    </font>
    <font>
      <sz val="12"/>
      <color rgb="FF000000"/>
      <name val="Calibri"/>
      <family val="2"/>
      <charset val="1"/>
    </font>
    <font>
      <sz val="12"/>
      <color rgb="FFFF0000"/>
      <name val="Times New Roman"/>
      <family val="1"/>
      <charset val="186"/>
    </font>
    <font>
      <strike/>
      <sz val="12"/>
      <color rgb="FF000000"/>
      <name val="Times New Roman"/>
      <family val="1"/>
      <charset val="186"/>
    </font>
    <font>
      <b/>
      <sz val="11"/>
      <color rgb="FF000000"/>
      <name val="Times New Roman"/>
      <family val="1"/>
      <charset val="186"/>
    </font>
    <font>
      <sz val="11"/>
      <color rgb="FFFF0000"/>
      <name val="Calibri"/>
      <family val="2"/>
      <charset val="1"/>
    </font>
    <font>
      <sz val="8"/>
      <color rgb="FF000000"/>
      <name val="Arial"/>
      <family val="2"/>
      <charset val="1"/>
    </font>
    <font>
      <sz val="12"/>
      <color rgb="FF000000"/>
      <name val="Arial"/>
      <family val="2"/>
      <charset val="186"/>
    </font>
    <font>
      <b/>
      <sz val="12"/>
      <color rgb="FF000000"/>
      <name val="Arial"/>
      <family val="2"/>
      <charset val="186"/>
    </font>
    <font>
      <sz val="11"/>
      <color rgb="FF000000"/>
      <name val="Arial"/>
      <family val="2"/>
      <charset val="186"/>
    </font>
    <font>
      <b/>
      <sz val="11"/>
      <color rgb="FF000000"/>
      <name val="Arial"/>
      <family val="2"/>
      <charset val="186"/>
    </font>
    <font>
      <sz val="11"/>
      <color rgb="FF000000"/>
      <name val="Calibri"/>
      <family val="2"/>
      <charset val="1"/>
    </font>
  </fonts>
  <fills count="10">
    <fill>
      <patternFill patternType="none"/>
    </fill>
    <fill>
      <patternFill patternType="gray125"/>
    </fill>
    <fill>
      <patternFill patternType="solid">
        <fgColor rgb="FFFFFFFF"/>
        <bgColor rgb="FFF2F2F2"/>
      </patternFill>
    </fill>
    <fill>
      <patternFill patternType="solid">
        <fgColor rgb="FFFAEE80"/>
        <bgColor rgb="FFF3F193"/>
      </patternFill>
    </fill>
    <fill>
      <patternFill patternType="solid">
        <fgColor rgb="FFC0E4F6"/>
        <bgColor rgb="FFD9D9D9"/>
      </patternFill>
    </fill>
    <fill>
      <patternFill patternType="solid">
        <fgColor rgb="FFD8FAD4"/>
        <bgColor rgb="FFCCFFCC"/>
      </patternFill>
    </fill>
    <fill>
      <patternFill patternType="solid">
        <fgColor rgb="FFCCFFCC"/>
        <bgColor rgb="FFD8FAD4"/>
      </patternFill>
    </fill>
    <fill>
      <patternFill patternType="solid">
        <fgColor rgb="FFFFFFCC"/>
        <bgColor rgb="FFFFFFFF"/>
      </patternFill>
    </fill>
    <fill>
      <patternFill patternType="solid">
        <fgColor rgb="FFFFCCCC"/>
        <bgColor rgb="FFE6B9B8"/>
      </patternFill>
    </fill>
    <fill>
      <patternFill patternType="solid">
        <fgColor rgb="FFEBEBEB"/>
        <bgColor rgb="FFF2F2F2"/>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style="medium">
        <color auto="1"/>
      </left>
      <right/>
      <top/>
      <bottom/>
      <diagonal/>
    </border>
  </borders>
  <cellStyleXfs count="3">
    <xf numFmtId="0" fontId="0" fillId="0" borderId="0"/>
    <xf numFmtId="0" fontId="23" fillId="0" borderId="0" applyBorder="0"/>
    <xf numFmtId="165" fontId="2" fillId="0" borderId="0"/>
  </cellStyleXfs>
  <cellXfs count="468">
    <xf numFmtId="0" fontId="0" fillId="0" borderId="0" xfId="0"/>
    <xf numFmtId="0" fontId="0" fillId="0" borderId="0" xfId="0" applyBorder="1"/>
    <xf numFmtId="0" fontId="0" fillId="0" borderId="0" xfId="0" applyBorder="1" applyAlignment="1">
      <alignment vertical="center"/>
    </xf>
    <xf numFmtId="164" fontId="0" fillId="0" borderId="0" xfId="0" applyNumberFormat="1" applyBorder="1" applyAlignment="1">
      <alignment vertical="center"/>
    </xf>
    <xf numFmtId="164" fontId="0" fillId="2" borderId="0" xfId="0" applyNumberFormat="1" applyFill="1" applyBorder="1" applyAlignment="1">
      <alignment vertical="center"/>
    </xf>
    <xf numFmtId="0" fontId="3" fillId="0" borderId="0" xfId="0" applyFont="1" applyBorder="1" applyAlignment="1">
      <alignment vertical="center"/>
    </xf>
    <xf numFmtId="166" fontId="1" fillId="0" borderId="0" xfId="2" applyNumberFormat="1" applyFont="1" applyAlignment="1">
      <alignment vertical="top"/>
    </xf>
    <xf numFmtId="0" fontId="0" fillId="2" borderId="0" xfId="0" applyFill="1" applyBorder="1"/>
    <xf numFmtId="0" fontId="3" fillId="0" borderId="0" xfId="0" applyFont="1" applyBorder="1" applyAlignment="1">
      <alignment horizontal="justify" vertical="center" wrapText="1"/>
    </xf>
    <xf numFmtId="0" fontId="5" fillId="0" borderId="0" xfId="0" applyFont="1" applyBorder="1" applyAlignment="1" applyProtection="1">
      <alignment horizontal="center"/>
    </xf>
    <xf numFmtId="0" fontId="6" fillId="0" borderId="0" xfId="0" applyFont="1" applyBorder="1" applyAlignment="1" applyProtection="1"/>
    <xf numFmtId="0" fontId="6" fillId="0" borderId="5" xfId="0" applyFont="1" applyBorder="1" applyAlignment="1" applyProtection="1">
      <alignment horizontal="center" vertical="center" wrapText="1" readingOrder="1"/>
    </xf>
    <xf numFmtId="0" fontId="1" fillId="0" borderId="5" xfId="0" applyFont="1" applyBorder="1" applyAlignment="1" applyProtection="1">
      <alignment horizontal="center" vertical="center" textRotation="90" wrapText="1" readingOrder="1"/>
    </xf>
    <xf numFmtId="0" fontId="6" fillId="3" borderId="6" xfId="0" applyFont="1" applyFill="1" applyBorder="1" applyAlignment="1" applyProtection="1">
      <alignment vertical="top" wrapText="1" readingOrder="1"/>
      <protection locked="0"/>
    </xf>
    <xf numFmtId="167" fontId="6" fillId="3" borderId="3" xfId="0" applyNumberFormat="1" applyFont="1" applyFill="1" applyBorder="1" applyAlignment="1" applyProtection="1">
      <alignment horizontal="center" vertical="top" readingOrder="1"/>
    </xf>
    <xf numFmtId="167" fontId="6" fillId="3" borderId="3" xfId="0" applyNumberFormat="1" applyFont="1" applyFill="1" applyBorder="1" applyAlignment="1" applyProtection="1">
      <alignment horizontal="right" vertical="top" readingOrder="1"/>
    </xf>
    <xf numFmtId="0" fontId="6" fillId="4" borderId="6" xfId="0" applyFont="1" applyFill="1" applyBorder="1" applyAlignment="1" applyProtection="1">
      <alignment vertical="top" wrapText="1" readingOrder="1"/>
      <protection locked="0"/>
    </xf>
    <xf numFmtId="167" fontId="6" fillId="4" borderId="3" xfId="0" applyNumberFormat="1" applyFont="1" applyFill="1" applyBorder="1" applyAlignment="1" applyProtection="1">
      <alignment horizontal="center" vertical="top" readingOrder="1"/>
    </xf>
    <xf numFmtId="167" fontId="6" fillId="4" borderId="3" xfId="0" applyNumberFormat="1" applyFont="1" applyFill="1" applyBorder="1" applyAlignment="1" applyProtection="1">
      <alignment horizontal="right" vertical="top" readingOrder="1"/>
    </xf>
    <xf numFmtId="0" fontId="6" fillId="5" borderId="6" xfId="0" applyFont="1" applyFill="1" applyBorder="1" applyAlignment="1" applyProtection="1">
      <alignment vertical="top" wrapText="1" readingOrder="1"/>
      <protection locked="0"/>
    </xf>
    <xf numFmtId="167" fontId="6" fillId="5" borderId="3" xfId="0" applyNumberFormat="1" applyFont="1" applyFill="1" applyBorder="1" applyAlignment="1" applyProtection="1">
      <alignment horizontal="center" vertical="top" readingOrder="1"/>
    </xf>
    <xf numFmtId="167" fontId="6" fillId="5" borderId="3" xfId="0" applyNumberFormat="1" applyFont="1" applyFill="1" applyBorder="1" applyAlignment="1" applyProtection="1">
      <alignment horizontal="right" vertical="top" readingOrder="1"/>
    </xf>
    <xf numFmtId="0" fontId="6" fillId="0" borderId="6" xfId="0" applyFont="1" applyBorder="1" applyAlignment="1" applyProtection="1">
      <alignment vertical="top" wrapText="1" readingOrder="1"/>
      <protection locked="0"/>
    </xf>
    <xf numFmtId="0" fontId="6" fillId="0" borderId="3" xfId="0" applyFont="1" applyBorder="1" applyAlignment="1" applyProtection="1">
      <alignment vertical="top" wrapText="1" readingOrder="1"/>
      <protection locked="0"/>
    </xf>
    <xf numFmtId="0" fontId="6" fillId="0" borderId="3" xfId="0" applyFont="1" applyBorder="1" applyAlignment="1" applyProtection="1">
      <alignment horizontal="left" vertical="top" readingOrder="1"/>
      <protection locked="0"/>
    </xf>
    <xf numFmtId="167" fontId="6" fillId="0" borderId="3" xfId="0" applyNumberFormat="1" applyFont="1" applyBorder="1" applyAlignment="1" applyProtection="1">
      <alignment horizontal="center" vertical="top" readingOrder="1"/>
      <protection locked="0"/>
    </xf>
    <xf numFmtId="167" fontId="6" fillId="0" borderId="3" xfId="0" applyNumberFormat="1" applyFont="1" applyBorder="1" applyAlignment="1" applyProtection="1">
      <alignment horizontal="right" vertical="top" readingOrder="1"/>
      <protection locked="0"/>
    </xf>
    <xf numFmtId="0" fontId="6" fillId="0" borderId="3" xfId="0" applyFont="1" applyBorder="1" applyAlignment="1" applyProtection="1">
      <alignment horizontal="left" vertical="top" wrapText="1" readingOrder="1"/>
      <protection locked="0"/>
    </xf>
    <xf numFmtId="0" fontId="6" fillId="0" borderId="3" xfId="0" applyFont="1" applyBorder="1" applyAlignment="1" applyProtection="1">
      <alignment horizontal="center" vertical="top" readingOrder="1"/>
      <protection locked="0"/>
    </xf>
    <xf numFmtId="0" fontId="6" fillId="6" borderId="3" xfId="0" applyFont="1" applyFill="1" applyBorder="1" applyAlignment="1" applyProtection="1">
      <alignment horizontal="center" vertical="top" readingOrder="1"/>
      <protection locked="0"/>
    </xf>
    <xf numFmtId="0" fontId="6" fillId="0" borderId="7" xfId="0" applyFont="1" applyBorder="1" applyAlignment="1" applyProtection="1">
      <alignment horizontal="left" vertical="top" wrapText="1" readingOrder="1"/>
      <protection locked="0"/>
    </xf>
    <xf numFmtId="167" fontId="6" fillId="0" borderId="3" xfId="0" applyNumberFormat="1" applyFont="1" applyBorder="1" applyAlignment="1" applyProtection="1">
      <alignment horizontal="center" vertical="top" readingOrder="1"/>
    </xf>
    <xf numFmtId="167" fontId="6" fillId="0" borderId="3" xfId="0" applyNumberFormat="1" applyFont="1" applyBorder="1" applyAlignment="1" applyProtection="1">
      <alignment horizontal="right" vertical="top" readingOrder="1"/>
    </xf>
    <xf numFmtId="0" fontId="6" fillId="0" borderId="8" xfId="0" applyFont="1" applyBorder="1" applyAlignment="1" applyProtection="1">
      <alignment horizontal="left" vertical="top" readingOrder="1"/>
      <protection locked="0"/>
    </xf>
    <xf numFmtId="167" fontId="6" fillId="0" borderId="8" xfId="0" applyNumberFormat="1" applyFont="1" applyBorder="1" applyAlignment="1" applyProtection="1">
      <alignment horizontal="center" vertical="top" readingOrder="1"/>
      <protection locked="0"/>
    </xf>
    <xf numFmtId="167" fontId="6" fillId="0" borderId="8" xfId="0" applyNumberFormat="1" applyFont="1" applyBorder="1" applyAlignment="1" applyProtection="1">
      <alignment horizontal="right" vertical="top" readingOrder="1"/>
      <protection locked="0"/>
    </xf>
    <xf numFmtId="0" fontId="6" fillId="8" borderId="3" xfId="0" applyFont="1" applyFill="1" applyBorder="1" applyAlignment="1" applyProtection="1">
      <alignment horizontal="center" vertical="top" readingOrder="1"/>
      <protection locked="0"/>
    </xf>
    <xf numFmtId="0" fontId="6" fillId="2" borderId="3" xfId="0" applyFont="1" applyFill="1" applyBorder="1" applyAlignment="1" applyProtection="1">
      <alignment horizontal="left" vertical="top" wrapText="1" readingOrder="1"/>
      <protection locked="0"/>
    </xf>
    <xf numFmtId="0" fontId="6" fillId="2" borderId="7" xfId="0" applyFont="1" applyFill="1" applyBorder="1" applyAlignment="1" applyProtection="1">
      <alignment horizontal="left" vertical="top" wrapText="1" readingOrder="1"/>
      <protection locked="0"/>
    </xf>
    <xf numFmtId="0" fontId="6" fillId="0" borderId="8" xfId="0" applyFont="1" applyBorder="1" applyAlignment="1" applyProtection="1">
      <alignment horizontal="left" vertical="top" wrapText="1" readingOrder="1"/>
      <protection locked="0"/>
    </xf>
    <xf numFmtId="0" fontId="6" fillId="0" borderId="8" xfId="0" applyFont="1" applyBorder="1" applyAlignment="1" applyProtection="1">
      <alignment horizontal="center" vertical="top" readingOrder="1"/>
      <protection locked="0"/>
    </xf>
    <xf numFmtId="0" fontId="6" fillId="6" borderId="8" xfId="0" applyFont="1" applyFill="1" applyBorder="1" applyAlignment="1" applyProtection="1">
      <alignment horizontal="center" vertical="top" readingOrder="1"/>
      <protection locked="0"/>
    </xf>
    <xf numFmtId="0" fontId="6" fillId="2" borderId="8" xfId="0" applyFont="1" applyFill="1" applyBorder="1" applyAlignment="1" applyProtection="1">
      <alignment horizontal="left" vertical="top" wrapText="1" readingOrder="1"/>
      <protection locked="0"/>
    </xf>
    <xf numFmtId="0" fontId="1" fillId="2" borderId="10" xfId="0" applyFont="1" applyFill="1" applyBorder="1" applyAlignment="1" applyProtection="1">
      <alignment horizontal="left" vertical="top" wrapText="1" readingOrder="1"/>
      <protection locked="0"/>
    </xf>
    <xf numFmtId="0" fontId="6" fillId="0" borderId="5" xfId="0" applyFont="1" applyBorder="1" applyAlignment="1" applyProtection="1">
      <alignment horizontal="left" vertical="top" wrapText="1" readingOrder="1"/>
      <protection locked="0"/>
    </xf>
    <xf numFmtId="0" fontId="6" fillId="0" borderId="5" xfId="0" applyFont="1" applyBorder="1" applyAlignment="1" applyProtection="1">
      <alignment horizontal="center" vertical="top" readingOrder="1"/>
      <protection locked="0"/>
    </xf>
    <xf numFmtId="0" fontId="6" fillId="5" borderId="3" xfId="0" applyFont="1" applyFill="1" applyBorder="1" applyAlignment="1" applyProtection="1">
      <alignment vertical="top" wrapText="1" readingOrder="1"/>
      <protection locked="0"/>
    </xf>
    <xf numFmtId="0" fontId="6" fillId="5" borderId="3" xfId="0" applyFont="1" applyFill="1" applyBorder="1" applyAlignment="1" applyProtection="1">
      <alignment horizontal="left" vertical="top" readingOrder="1"/>
      <protection locked="0"/>
    </xf>
    <xf numFmtId="0" fontId="6" fillId="7" borderId="3" xfId="0" applyFont="1" applyFill="1" applyBorder="1" applyAlignment="1" applyProtection="1">
      <alignment horizontal="center" vertical="top" readingOrder="1"/>
      <protection locked="0"/>
    </xf>
    <xf numFmtId="0" fontId="7" fillId="2" borderId="3" xfId="0" applyFont="1" applyFill="1" applyBorder="1" applyAlignment="1" applyProtection="1">
      <alignment horizontal="left" vertical="top" wrapText="1" readingOrder="1"/>
      <protection locked="0"/>
    </xf>
    <xf numFmtId="0" fontId="7" fillId="2" borderId="7" xfId="0" applyFont="1" applyFill="1" applyBorder="1" applyAlignment="1" applyProtection="1">
      <alignment horizontal="left" vertical="top" wrapText="1" readingOrder="1"/>
      <protection locked="0"/>
    </xf>
    <xf numFmtId="0" fontId="6" fillId="0" borderId="12" xfId="0" applyFont="1" applyBorder="1" applyAlignment="1" applyProtection="1">
      <alignment vertical="top" wrapText="1" readingOrder="1"/>
      <protection locked="0"/>
    </xf>
    <xf numFmtId="0" fontId="6" fillId="0" borderId="8" xfId="0" applyFont="1" applyBorder="1" applyAlignment="1" applyProtection="1">
      <alignment vertical="top" wrapText="1" readingOrder="1"/>
      <protection locked="0"/>
    </xf>
    <xf numFmtId="0" fontId="6" fillId="0" borderId="10" xfId="0" applyFont="1" applyBorder="1" applyAlignment="1" applyProtection="1">
      <alignment horizontal="left" vertical="top" wrapText="1" readingOrder="1"/>
      <protection locked="0"/>
    </xf>
    <xf numFmtId="0" fontId="6" fillId="0" borderId="9" xfId="0" applyFont="1" applyBorder="1" applyAlignment="1" applyProtection="1">
      <alignment vertical="top" wrapText="1" readingOrder="1"/>
      <protection locked="0"/>
    </xf>
    <xf numFmtId="0" fontId="6" fillId="0" borderId="5" xfId="0" applyFont="1" applyBorder="1" applyAlignment="1" applyProtection="1">
      <alignment vertical="top" wrapText="1" readingOrder="1"/>
      <protection locked="0"/>
    </xf>
    <xf numFmtId="0" fontId="6" fillId="0" borderId="5" xfId="0" applyFont="1" applyBorder="1" applyAlignment="1" applyProtection="1">
      <alignment horizontal="left" vertical="top" readingOrder="1"/>
      <protection locked="0"/>
    </xf>
    <xf numFmtId="167" fontId="6" fillId="0" borderId="5" xfId="0" applyNumberFormat="1" applyFont="1" applyBorder="1" applyAlignment="1" applyProtection="1">
      <alignment horizontal="right" vertical="top" readingOrder="1"/>
      <protection locked="0"/>
    </xf>
    <xf numFmtId="0" fontId="6" fillId="0" borderId="11" xfId="0" applyFont="1" applyBorder="1" applyAlignment="1" applyProtection="1">
      <alignment horizontal="left" vertical="top" wrapText="1" readingOrder="1"/>
      <protection locked="0"/>
    </xf>
    <xf numFmtId="0" fontId="6" fillId="0" borderId="0" xfId="0" applyFont="1" applyBorder="1" applyAlignment="1" applyProtection="1">
      <alignment vertical="top" readingOrder="1"/>
      <protection locked="0"/>
    </xf>
    <xf numFmtId="0" fontId="6" fillId="0" borderId="0" xfId="0" applyFont="1" applyBorder="1" applyAlignment="1" applyProtection="1">
      <alignment vertical="top" wrapText="1" readingOrder="1"/>
      <protection locked="0"/>
    </xf>
    <xf numFmtId="0" fontId="6" fillId="0" borderId="0" xfId="0" applyFont="1" applyBorder="1" applyAlignment="1" applyProtection="1">
      <alignment horizontal="left" vertical="top" readingOrder="1"/>
      <protection locked="0"/>
    </xf>
    <xf numFmtId="167" fontId="6" fillId="0" borderId="0" xfId="0" applyNumberFormat="1" applyFont="1" applyBorder="1" applyAlignment="1" applyProtection="1">
      <alignment horizontal="right" vertical="top" readingOrder="1"/>
      <protection locked="0"/>
    </xf>
    <xf numFmtId="0" fontId="6" fillId="0" borderId="0" xfId="0" applyFont="1" applyBorder="1" applyAlignment="1" applyProtection="1">
      <alignment horizontal="center" vertical="top" readingOrder="1"/>
      <protection locked="0"/>
    </xf>
    <xf numFmtId="0" fontId="6" fillId="0" borderId="0" xfId="0" applyFont="1" applyBorder="1" applyAlignment="1" applyProtection="1">
      <alignment horizontal="right" vertical="top" readingOrder="1"/>
      <protection locked="0"/>
    </xf>
    <xf numFmtId="0" fontId="0" fillId="0" borderId="0" xfId="0" applyBorder="1" applyAlignment="1" applyProtection="1"/>
    <xf numFmtId="0" fontId="9" fillId="0" borderId="8" xfId="0" applyFont="1" applyBorder="1" applyAlignment="1" applyProtection="1">
      <alignment horizontal="center" vertical="center" wrapText="1" readingOrder="1"/>
    </xf>
    <xf numFmtId="0" fontId="9" fillId="0" borderId="13" xfId="0" applyFont="1" applyBorder="1" applyAlignment="1" applyProtection="1">
      <alignment vertical="center" wrapText="1" readingOrder="1"/>
    </xf>
    <xf numFmtId="0" fontId="0" fillId="0" borderId="8" xfId="0" applyBorder="1" applyAlignment="1"/>
    <xf numFmtId="0" fontId="10" fillId="0" borderId="8" xfId="1" applyFont="1" applyBorder="1" applyAlignment="1">
      <alignment horizontal="center" vertical="center"/>
    </xf>
    <xf numFmtId="0" fontId="4" fillId="0" borderId="8" xfId="0" applyFont="1" applyBorder="1" applyAlignment="1" applyProtection="1">
      <alignment vertical="top" wrapText="1" readingOrder="1"/>
      <protection locked="0"/>
    </xf>
    <xf numFmtId="167" fontId="6" fillId="2" borderId="14" xfId="0" applyNumberFormat="1" applyFont="1" applyFill="1" applyBorder="1" applyAlignment="1" applyProtection="1">
      <alignment vertical="center" readingOrder="1"/>
    </xf>
    <xf numFmtId="167" fontId="6" fillId="0" borderId="8" xfId="0" applyNumberFormat="1" applyFont="1" applyBorder="1" applyAlignment="1" applyProtection="1">
      <alignment horizontal="center" vertical="center" readingOrder="1"/>
    </xf>
    <xf numFmtId="0" fontId="0" fillId="6" borderId="8" xfId="0" applyFill="1" applyBorder="1"/>
    <xf numFmtId="0" fontId="11" fillId="0" borderId="8" xfId="0" applyFont="1" applyBorder="1" applyAlignment="1">
      <alignment vertical="center" wrapText="1"/>
    </xf>
    <xf numFmtId="0" fontId="10" fillId="0" borderId="8" xfId="0" applyFont="1" applyBorder="1" applyAlignment="1">
      <alignment horizontal="center" vertical="center"/>
    </xf>
    <xf numFmtId="167" fontId="6" fillId="0" borderId="14" xfId="0" applyNumberFormat="1" applyFont="1" applyBorder="1" applyAlignment="1" applyProtection="1">
      <alignment vertical="center" readingOrder="1"/>
      <protection locked="0"/>
    </xf>
    <xf numFmtId="167" fontId="6" fillId="0" borderId="8" xfId="0" applyNumberFormat="1" applyFont="1" applyBorder="1" applyAlignment="1" applyProtection="1">
      <alignment horizontal="center" vertical="center" readingOrder="1"/>
      <protection locked="0"/>
    </xf>
    <xf numFmtId="0" fontId="0" fillId="7" borderId="8" xfId="0" applyFill="1" applyBorder="1"/>
    <xf numFmtId="0" fontId="0" fillId="8" borderId="8" xfId="0" applyFill="1" applyBorder="1"/>
    <xf numFmtId="0" fontId="4" fillId="9" borderId="8" xfId="0" applyFont="1" applyFill="1" applyBorder="1" applyAlignment="1" applyProtection="1">
      <alignment vertical="top" readingOrder="1"/>
      <protection locked="0"/>
    </xf>
    <xf numFmtId="0" fontId="4" fillId="9" borderId="8" xfId="0" applyFont="1" applyFill="1" applyBorder="1" applyAlignment="1" applyProtection="1">
      <alignment horizontal="right" vertical="top" readingOrder="1"/>
      <protection locked="0"/>
    </xf>
    <xf numFmtId="167" fontId="4" fillId="9" borderId="14" xfId="0" applyNumberFormat="1" applyFont="1" applyFill="1" applyBorder="1" applyAlignment="1" applyProtection="1">
      <alignment vertical="top" readingOrder="1"/>
    </xf>
    <xf numFmtId="167" fontId="4" fillId="9" borderId="8" xfId="0" applyNumberFormat="1" applyFont="1" applyFill="1" applyBorder="1" applyAlignment="1" applyProtection="1">
      <alignment horizontal="center" vertical="top" readingOrder="1"/>
    </xf>
    <xf numFmtId="0" fontId="4" fillId="0" borderId="8" xfId="0" applyFont="1" applyBorder="1" applyAlignment="1" applyProtection="1"/>
    <xf numFmtId="0" fontId="4" fillId="0" borderId="8" xfId="0" applyFont="1" applyBorder="1" applyAlignment="1" applyProtection="1">
      <alignment horizontal="center" vertical="center"/>
    </xf>
    <xf numFmtId="0" fontId="23" fillId="0" borderId="0" xfId="1" applyBorder="1" applyAlignment="1" applyProtection="1"/>
    <xf numFmtId="0" fontId="1" fillId="0" borderId="0" xfId="1" applyFont="1" applyBorder="1" applyAlignment="1" applyProtection="1"/>
    <xf numFmtId="0" fontId="4" fillId="0" borderId="0" xfId="1" applyFont="1" applyBorder="1" applyAlignment="1" applyProtection="1">
      <alignment horizontal="center"/>
    </xf>
    <xf numFmtId="0" fontId="4" fillId="0" borderId="0" xfId="1" applyFont="1" applyBorder="1" applyAlignment="1" applyProtection="1"/>
    <xf numFmtId="0" fontId="5" fillId="0" borderId="0" xfId="1" applyFont="1" applyBorder="1" applyAlignment="1" applyProtection="1">
      <alignment horizontal="center"/>
    </xf>
    <xf numFmtId="0" fontId="6" fillId="3" borderId="6" xfId="1" applyFont="1" applyFill="1" applyBorder="1" applyAlignment="1" applyProtection="1">
      <alignment vertical="top" wrapText="1" readingOrder="1"/>
      <protection locked="0"/>
    </xf>
    <xf numFmtId="167" fontId="6" fillId="3" borderId="3" xfId="1" applyNumberFormat="1" applyFont="1" applyFill="1" applyBorder="1" applyAlignment="1" applyProtection="1">
      <alignment horizontal="center" vertical="top" readingOrder="1"/>
    </xf>
    <xf numFmtId="167" fontId="6" fillId="3" borderId="3" xfId="1" applyNumberFormat="1" applyFont="1" applyFill="1" applyBorder="1" applyAlignment="1" applyProtection="1">
      <alignment horizontal="right" vertical="top" readingOrder="1"/>
    </xf>
    <xf numFmtId="0" fontId="6" fillId="4" borderId="6" xfId="1" applyFont="1" applyFill="1" applyBorder="1" applyAlignment="1" applyProtection="1">
      <alignment vertical="top" wrapText="1" readingOrder="1"/>
      <protection locked="0"/>
    </xf>
    <xf numFmtId="167" fontId="6" fillId="4" borderId="3" xfId="1" applyNumberFormat="1" applyFont="1" applyFill="1" applyBorder="1" applyAlignment="1" applyProtection="1">
      <alignment horizontal="center" vertical="top" readingOrder="1"/>
    </xf>
    <xf numFmtId="167" fontId="6" fillId="4" borderId="3" xfId="1" applyNumberFormat="1" applyFont="1" applyFill="1" applyBorder="1" applyAlignment="1" applyProtection="1">
      <alignment horizontal="right" vertical="top" readingOrder="1"/>
    </xf>
    <xf numFmtId="0" fontId="6" fillId="5" borderId="6" xfId="1" applyFont="1" applyFill="1" applyBorder="1" applyAlignment="1" applyProtection="1">
      <alignment vertical="top" wrapText="1" readingOrder="1"/>
      <protection locked="0"/>
    </xf>
    <xf numFmtId="167" fontId="6" fillId="5" borderId="3" xfId="1" applyNumberFormat="1" applyFont="1" applyFill="1" applyBorder="1" applyAlignment="1" applyProtection="1">
      <alignment horizontal="center" vertical="top" readingOrder="1"/>
    </xf>
    <xf numFmtId="167" fontId="6" fillId="5" borderId="3" xfId="1" applyNumberFormat="1" applyFont="1" applyFill="1" applyBorder="1" applyAlignment="1" applyProtection="1">
      <alignment horizontal="right" vertical="top" readingOrder="1"/>
    </xf>
    <xf numFmtId="0" fontId="6" fillId="0" borderId="6" xfId="1" applyFont="1" applyBorder="1" applyAlignment="1" applyProtection="1">
      <alignment vertical="top" wrapText="1" readingOrder="1"/>
      <protection locked="0"/>
    </xf>
    <xf numFmtId="0" fontId="6" fillId="0" borderId="3" xfId="1" applyFont="1" applyBorder="1" applyAlignment="1" applyProtection="1">
      <alignment vertical="top" wrapText="1" readingOrder="1"/>
      <protection locked="0"/>
    </xf>
    <xf numFmtId="0" fontId="6" fillId="0" borderId="3" xfId="1" applyFont="1" applyBorder="1" applyAlignment="1" applyProtection="1">
      <alignment horizontal="left" vertical="top" readingOrder="1"/>
      <protection locked="0"/>
    </xf>
    <xf numFmtId="167" fontId="6" fillId="0" borderId="3" xfId="1" applyNumberFormat="1" applyFont="1" applyBorder="1" applyAlignment="1" applyProtection="1">
      <alignment horizontal="center" vertical="top" readingOrder="1"/>
      <protection locked="0"/>
    </xf>
    <xf numFmtId="167" fontId="6" fillId="0" borderId="3" xfId="1" applyNumberFormat="1" applyFont="1" applyBorder="1" applyAlignment="1" applyProtection="1">
      <alignment horizontal="right" vertical="top" readingOrder="1"/>
      <protection locked="0"/>
    </xf>
    <xf numFmtId="0" fontId="6" fillId="0" borderId="3" xfId="1" applyFont="1" applyBorder="1" applyAlignment="1" applyProtection="1">
      <alignment horizontal="left" vertical="top" wrapText="1" readingOrder="1"/>
      <protection locked="0"/>
    </xf>
    <xf numFmtId="0" fontId="6" fillId="0" borderId="3" xfId="1" applyFont="1" applyBorder="1" applyAlignment="1" applyProtection="1">
      <alignment horizontal="center" vertical="top" readingOrder="1"/>
      <protection locked="0"/>
    </xf>
    <xf numFmtId="0" fontId="6" fillId="7" borderId="3" xfId="1" applyFont="1" applyFill="1" applyBorder="1" applyAlignment="1" applyProtection="1">
      <alignment horizontal="center" vertical="top" readingOrder="1"/>
      <protection locked="0"/>
    </xf>
    <xf numFmtId="0" fontId="6" fillId="0" borderId="7" xfId="1" applyFont="1" applyBorder="1" applyAlignment="1" applyProtection="1">
      <alignment horizontal="left" vertical="top" wrapText="1" readingOrder="1"/>
      <protection locked="0"/>
    </xf>
    <xf numFmtId="0" fontId="6" fillId="0" borderId="2" xfId="1" applyFont="1" applyBorder="1" applyAlignment="1" applyProtection="1">
      <alignment horizontal="left" vertical="top" wrapText="1" readingOrder="1"/>
      <protection locked="0"/>
    </xf>
    <xf numFmtId="167" fontId="6" fillId="0" borderId="3" xfId="1" applyNumberFormat="1" applyFont="1" applyBorder="1" applyAlignment="1" applyProtection="1">
      <alignment horizontal="center" vertical="top" readingOrder="1"/>
    </xf>
    <xf numFmtId="167" fontId="6" fillId="0" borderId="3" xfId="1" applyNumberFormat="1" applyFont="1" applyBorder="1" applyAlignment="1" applyProtection="1">
      <alignment horizontal="right" vertical="top" readingOrder="1"/>
    </xf>
    <xf numFmtId="0" fontId="6" fillId="0" borderId="2" xfId="1" applyFont="1" applyBorder="1" applyAlignment="1" applyProtection="1">
      <alignment horizontal="center" vertical="top" readingOrder="1"/>
      <protection locked="0"/>
    </xf>
    <xf numFmtId="0" fontId="6" fillId="0" borderId="4" xfId="1" applyFont="1" applyBorder="1" applyAlignment="1" applyProtection="1">
      <alignment horizontal="left" vertical="top" wrapText="1" readingOrder="1"/>
      <protection locked="0"/>
    </xf>
    <xf numFmtId="0" fontId="6" fillId="0" borderId="8" xfId="1" applyFont="1" applyBorder="1" applyAlignment="1" applyProtection="1">
      <alignment horizontal="left" vertical="top" readingOrder="1"/>
      <protection locked="0"/>
    </xf>
    <xf numFmtId="167" fontId="6" fillId="0" borderId="8" xfId="1" applyNumberFormat="1" applyFont="1" applyBorder="1" applyAlignment="1" applyProtection="1">
      <alignment horizontal="center" vertical="top" readingOrder="1"/>
      <protection locked="0"/>
    </xf>
    <xf numFmtId="167" fontId="6" fillId="0" borderId="8" xfId="1" applyNumberFormat="1" applyFont="1" applyBorder="1" applyAlignment="1" applyProtection="1">
      <alignment horizontal="right" vertical="top" readingOrder="1"/>
      <protection locked="0"/>
    </xf>
    <xf numFmtId="0" fontId="6" fillId="6" borderId="3" xfId="1" applyFont="1" applyFill="1" applyBorder="1" applyAlignment="1" applyProtection="1">
      <alignment horizontal="center" vertical="top" readingOrder="1"/>
      <protection locked="0"/>
    </xf>
    <xf numFmtId="0" fontId="6" fillId="0" borderId="8" xfId="1" applyFont="1" applyBorder="1" applyAlignment="1" applyProtection="1">
      <alignment horizontal="left" vertical="top" wrapText="1" readingOrder="1"/>
      <protection locked="0"/>
    </xf>
    <xf numFmtId="0" fontId="6" fillId="0" borderId="8" xfId="1" applyFont="1" applyBorder="1" applyAlignment="1" applyProtection="1">
      <alignment horizontal="center" vertical="top" readingOrder="1"/>
      <protection locked="0"/>
    </xf>
    <xf numFmtId="0" fontId="6" fillId="7" borderId="8" xfId="1" applyFont="1" applyFill="1" applyBorder="1" applyAlignment="1" applyProtection="1">
      <alignment horizontal="center" vertical="top" readingOrder="1"/>
      <protection locked="0"/>
    </xf>
    <xf numFmtId="0" fontId="6" fillId="0" borderId="10" xfId="1" applyFont="1" applyBorder="1" applyAlignment="1" applyProtection="1">
      <alignment horizontal="left" vertical="top" wrapText="1" readingOrder="1"/>
      <protection locked="0"/>
    </xf>
    <xf numFmtId="0" fontId="6" fillId="0" borderId="12" xfId="1" applyFont="1" applyBorder="1" applyAlignment="1" applyProtection="1">
      <alignment vertical="top" wrapText="1" readingOrder="1"/>
      <protection locked="0"/>
    </xf>
    <xf numFmtId="0" fontId="6" fillId="0" borderId="8" xfId="1" applyFont="1" applyBorder="1" applyAlignment="1" applyProtection="1">
      <alignment vertical="top" wrapText="1" readingOrder="1"/>
      <protection locked="0"/>
    </xf>
    <xf numFmtId="0" fontId="6" fillId="5" borderId="3" xfId="1" applyFont="1" applyFill="1" applyBorder="1" applyAlignment="1" applyProtection="1">
      <alignment vertical="top" wrapText="1" readingOrder="1"/>
      <protection locked="0"/>
    </xf>
    <xf numFmtId="0" fontId="6" fillId="5" borderId="3" xfId="1" applyFont="1" applyFill="1" applyBorder="1" applyAlignment="1" applyProtection="1">
      <alignment horizontal="left" vertical="top" readingOrder="1"/>
      <protection locked="0"/>
    </xf>
    <xf numFmtId="0" fontId="6" fillId="6" borderId="3" xfId="1" applyFont="1" applyFill="1" applyBorder="1" applyAlignment="1" applyProtection="1">
      <alignment horizontal="center" vertical="top" wrapText="1" readingOrder="1"/>
      <protection locked="0"/>
    </xf>
    <xf numFmtId="0" fontId="6" fillId="0" borderId="3" xfId="1" applyFont="1" applyBorder="1" applyAlignment="1" applyProtection="1">
      <alignment horizontal="left" vertical="top" wrapText="1" readingOrder="1"/>
      <protection locked="0"/>
    </xf>
    <xf numFmtId="0" fontId="6" fillId="6" borderId="8" xfId="1" applyFont="1" applyFill="1" applyBorder="1" applyAlignment="1" applyProtection="1">
      <alignment horizontal="center" vertical="top" readingOrder="1"/>
      <protection locked="0"/>
    </xf>
    <xf numFmtId="0" fontId="6" fillId="6" borderId="8" xfId="1" applyFont="1" applyFill="1" applyBorder="1" applyAlignment="1" applyProtection="1">
      <alignment horizontal="center" vertical="top" wrapText="1" readingOrder="1"/>
      <protection locked="0"/>
    </xf>
    <xf numFmtId="0" fontId="1" fillId="0" borderId="8" xfId="1" applyFont="1" applyBorder="1" applyAlignment="1" applyProtection="1">
      <alignment horizontal="center" vertical="top" readingOrder="1"/>
      <protection locked="0"/>
    </xf>
    <xf numFmtId="0" fontId="1" fillId="7" borderId="8" xfId="1" applyFont="1" applyFill="1" applyBorder="1" applyAlignment="1" applyProtection="1">
      <alignment horizontal="center" vertical="top" wrapText="1" readingOrder="1"/>
      <protection locked="0"/>
    </xf>
    <xf numFmtId="0" fontId="6" fillId="0" borderId="5" xfId="1" applyFont="1" applyBorder="1" applyAlignment="1" applyProtection="1">
      <alignment horizontal="left" vertical="top" wrapText="1" readingOrder="1"/>
      <protection locked="0"/>
    </xf>
    <xf numFmtId="0" fontId="6" fillId="0" borderId="5" xfId="1" applyFont="1" applyBorder="1" applyAlignment="1" applyProtection="1">
      <alignment horizontal="left" vertical="top" readingOrder="1"/>
      <protection locked="0"/>
    </xf>
    <xf numFmtId="0" fontId="6" fillId="0" borderId="11" xfId="1" applyFont="1" applyBorder="1" applyAlignment="1" applyProtection="1">
      <alignment horizontal="left" vertical="top" wrapText="1" readingOrder="1"/>
      <protection locked="0"/>
    </xf>
    <xf numFmtId="0" fontId="6" fillId="0" borderId="5" xfId="1" applyFont="1" applyBorder="1" applyAlignment="1" applyProtection="1">
      <alignment horizontal="center" vertical="top" readingOrder="1"/>
      <protection locked="0"/>
    </xf>
    <xf numFmtId="0" fontId="6" fillId="6" borderId="5" xfId="1" applyFont="1" applyFill="1" applyBorder="1" applyAlignment="1" applyProtection="1">
      <alignment horizontal="center" vertical="top" readingOrder="1"/>
      <protection locked="0"/>
    </xf>
    <xf numFmtId="0" fontId="6" fillId="4" borderId="3" xfId="1" applyFont="1" applyFill="1" applyBorder="1" applyAlignment="1" applyProtection="1">
      <alignment vertical="top" wrapText="1" readingOrder="1"/>
      <protection locked="0"/>
    </xf>
    <xf numFmtId="0" fontId="6" fillId="4" borderId="3" xfId="1" applyFont="1" applyFill="1" applyBorder="1" applyAlignment="1" applyProtection="1">
      <alignment horizontal="left" vertical="top" readingOrder="1"/>
      <protection locked="0"/>
    </xf>
    <xf numFmtId="0" fontId="6" fillId="8" borderId="3" xfId="1" applyFont="1" applyFill="1" applyBorder="1" applyAlignment="1" applyProtection="1">
      <alignment horizontal="center" vertical="top" readingOrder="1"/>
      <protection locked="0"/>
    </xf>
    <xf numFmtId="0" fontId="6" fillId="8" borderId="2" xfId="1" applyFont="1" applyFill="1" applyBorder="1" applyAlignment="1" applyProtection="1">
      <alignment horizontal="center" vertical="top" readingOrder="1"/>
      <protection locked="0"/>
    </xf>
    <xf numFmtId="0" fontId="6" fillId="7" borderId="2" xfId="1" applyFont="1" applyFill="1" applyBorder="1" applyAlignment="1" applyProtection="1">
      <alignment horizontal="center" vertical="top" readingOrder="1"/>
      <protection locked="0"/>
    </xf>
    <xf numFmtId="167" fontId="6" fillId="0" borderId="5" xfId="1" applyNumberFormat="1" applyFont="1" applyBorder="1" applyAlignment="1" applyProtection="1">
      <alignment horizontal="center" vertical="top" readingOrder="1"/>
      <protection locked="0"/>
    </xf>
    <xf numFmtId="167" fontId="6" fillId="0" borderId="5" xfId="1" applyNumberFormat="1" applyFont="1" applyBorder="1" applyAlignment="1" applyProtection="1">
      <alignment horizontal="right" vertical="top" readingOrder="1"/>
      <protection locked="0"/>
    </xf>
    <xf numFmtId="0" fontId="6" fillId="0" borderId="0" xfId="1" applyFont="1" applyBorder="1" applyAlignment="1" applyProtection="1">
      <alignment vertical="top" readingOrder="1"/>
      <protection locked="0"/>
    </xf>
    <xf numFmtId="0" fontId="6" fillId="0" borderId="0" xfId="1" applyFont="1" applyBorder="1" applyAlignment="1" applyProtection="1">
      <alignment vertical="top" wrapText="1" readingOrder="1"/>
      <protection locked="0"/>
    </xf>
    <xf numFmtId="0" fontId="6" fillId="0" borderId="0" xfId="1" applyFont="1" applyBorder="1" applyAlignment="1" applyProtection="1">
      <alignment horizontal="left" vertical="top" readingOrder="1"/>
      <protection locked="0"/>
    </xf>
    <xf numFmtId="167" fontId="6" fillId="0" borderId="0" xfId="1" applyNumberFormat="1" applyFont="1" applyBorder="1" applyAlignment="1" applyProtection="1">
      <alignment horizontal="right" vertical="top" readingOrder="1"/>
      <protection locked="0"/>
    </xf>
    <xf numFmtId="0" fontId="6" fillId="0" borderId="0" xfId="1" applyFont="1" applyBorder="1" applyAlignment="1" applyProtection="1">
      <alignment horizontal="center" vertical="top" readingOrder="1"/>
      <protection locked="0"/>
    </xf>
    <xf numFmtId="0" fontId="6" fillId="0" borderId="0" xfId="1" applyFont="1" applyBorder="1" applyAlignment="1" applyProtection="1">
      <alignment horizontal="right" vertical="top" readingOrder="1"/>
      <protection locked="0"/>
    </xf>
    <xf numFmtId="0" fontId="6" fillId="0" borderId="8" xfId="1" applyFont="1" applyBorder="1" applyAlignment="1" applyProtection="1">
      <alignment horizontal="center" vertical="center" wrapText="1" readingOrder="1"/>
    </xf>
    <xf numFmtId="0" fontId="6" fillId="0" borderId="0" xfId="1" applyFont="1" applyBorder="1" applyAlignment="1" applyProtection="1"/>
    <xf numFmtId="0" fontId="23" fillId="0" borderId="8" xfId="1" applyBorder="1" applyAlignment="1"/>
    <xf numFmtId="0" fontId="11" fillId="0" borderId="8" xfId="1" applyFont="1" applyBorder="1" applyAlignment="1">
      <alignment horizontal="center" vertical="center"/>
    </xf>
    <xf numFmtId="0" fontId="6" fillId="0" borderId="8" xfId="1" applyFont="1" applyBorder="1" applyAlignment="1" applyProtection="1">
      <alignment vertical="top" readingOrder="1"/>
      <protection locked="0"/>
    </xf>
    <xf numFmtId="167" fontId="6" fillId="0" borderId="8" xfId="1" applyNumberFormat="1" applyFont="1" applyBorder="1" applyAlignment="1" applyProtection="1">
      <alignment horizontal="right" vertical="top" readingOrder="1"/>
    </xf>
    <xf numFmtId="0" fontId="23" fillId="6" borderId="8" xfId="1" applyFill="1" applyBorder="1"/>
    <xf numFmtId="0" fontId="11" fillId="0" borderId="8" xfId="1" applyFont="1" applyBorder="1" applyAlignment="1">
      <alignment vertical="center" wrapText="1"/>
    </xf>
    <xf numFmtId="0" fontId="23" fillId="7" borderId="8" xfId="1" applyFill="1" applyBorder="1"/>
    <xf numFmtId="0" fontId="23" fillId="8" borderId="8" xfId="1" applyFill="1" applyBorder="1"/>
    <xf numFmtId="0" fontId="6" fillId="0" borderId="8" xfId="1" applyFont="1" applyBorder="1" applyAlignment="1" applyProtection="1"/>
    <xf numFmtId="0" fontId="4" fillId="0" borderId="8" xfId="1" applyFont="1" applyBorder="1" applyAlignment="1" applyProtection="1"/>
    <xf numFmtId="0" fontId="4" fillId="0" borderId="8" xfId="1" applyFont="1" applyBorder="1" applyAlignment="1" applyProtection="1">
      <alignment horizontal="center"/>
    </xf>
    <xf numFmtId="0" fontId="4" fillId="9" borderId="8" xfId="1" applyFont="1" applyFill="1" applyBorder="1" applyAlignment="1" applyProtection="1">
      <alignment vertical="top" readingOrder="1"/>
      <protection locked="0"/>
    </xf>
    <xf numFmtId="0" fontId="4" fillId="9" borderId="8" xfId="1" applyFont="1" applyFill="1" applyBorder="1" applyAlignment="1" applyProtection="1">
      <alignment horizontal="right" vertical="top" wrapText="1" readingOrder="1"/>
      <protection locked="0"/>
    </xf>
    <xf numFmtId="167" fontId="4" fillId="9" borderId="8" xfId="1" applyNumberFormat="1" applyFont="1" applyFill="1" applyBorder="1" applyAlignment="1" applyProtection="1">
      <alignment horizontal="right" vertical="top" readingOrder="1"/>
    </xf>
    <xf numFmtId="0" fontId="6" fillId="0" borderId="5" xfId="1" applyFont="1" applyBorder="1" applyAlignment="1" applyProtection="1">
      <alignment horizontal="center" vertical="center" wrapText="1" readingOrder="1"/>
    </xf>
    <xf numFmtId="0" fontId="6" fillId="3" borderId="3" xfId="1" applyFont="1" applyFill="1" applyBorder="1" applyAlignment="1" applyProtection="1">
      <alignment vertical="top" wrapText="1" readingOrder="1"/>
      <protection locked="0"/>
    </xf>
    <xf numFmtId="0" fontId="6" fillId="3" borderId="3" xfId="1" applyFont="1" applyFill="1" applyBorder="1" applyAlignment="1" applyProtection="1">
      <alignment horizontal="left" vertical="top" readingOrder="1"/>
      <protection locked="0"/>
    </xf>
    <xf numFmtId="0" fontId="11" fillId="0" borderId="3" xfId="1" applyFont="1" applyBorder="1" applyAlignment="1" applyProtection="1">
      <alignment horizontal="center" vertical="top" readingOrder="1"/>
      <protection locked="0"/>
    </xf>
    <xf numFmtId="0" fontId="11" fillId="0" borderId="8" xfId="1" applyFont="1" applyBorder="1" applyAlignment="1" applyProtection="1">
      <alignment horizontal="center" vertical="top" wrapText="1" readingOrder="1"/>
      <protection locked="0"/>
    </xf>
    <xf numFmtId="0" fontId="6" fillId="0" borderId="17" xfId="1" applyFont="1" applyBorder="1" applyAlignment="1" applyProtection="1">
      <alignment horizontal="left" vertical="top" readingOrder="1"/>
      <protection locked="0"/>
    </xf>
    <xf numFmtId="167" fontId="6" fillId="0" borderId="17" xfId="1" applyNumberFormat="1" applyFont="1" applyBorder="1" applyAlignment="1" applyProtection="1">
      <alignment horizontal="right" vertical="top" readingOrder="1"/>
      <protection locked="0"/>
    </xf>
    <xf numFmtId="167" fontId="6" fillId="0" borderId="18" xfId="1" applyNumberFormat="1" applyFont="1" applyBorder="1" applyAlignment="1" applyProtection="1">
      <alignment horizontal="right" vertical="top" readingOrder="1"/>
      <protection locked="0"/>
    </xf>
    <xf numFmtId="0" fontId="6" fillId="2" borderId="19" xfId="1" applyFont="1" applyFill="1" applyBorder="1" applyAlignment="1" applyProtection="1">
      <alignment horizontal="left" vertical="top" wrapText="1" readingOrder="1"/>
      <protection locked="0"/>
    </xf>
    <xf numFmtId="0" fontId="6" fillId="2" borderId="19" xfId="1" applyFont="1" applyFill="1" applyBorder="1" applyAlignment="1" applyProtection="1">
      <alignment horizontal="center" vertical="top" readingOrder="1"/>
      <protection locked="0"/>
    </xf>
    <xf numFmtId="0" fontId="6" fillId="8" borderId="19" xfId="1" applyFont="1" applyFill="1" applyBorder="1" applyAlignment="1" applyProtection="1">
      <alignment horizontal="center" vertical="top" readingOrder="1"/>
      <protection locked="0"/>
    </xf>
    <xf numFmtId="0" fontId="14" fillId="2" borderId="19" xfId="1" applyFont="1" applyFill="1" applyBorder="1" applyAlignment="1" applyProtection="1">
      <alignment horizontal="left" vertical="top" wrapText="1" readingOrder="1"/>
      <protection locked="0"/>
    </xf>
    <xf numFmtId="0" fontId="6" fillId="2" borderId="8" xfId="1" applyFont="1" applyFill="1" applyBorder="1" applyAlignment="1" applyProtection="1">
      <alignment horizontal="left" vertical="top" wrapText="1" readingOrder="1"/>
      <protection locked="0"/>
    </xf>
    <xf numFmtId="0" fontId="6" fillId="2" borderId="8" xfId="1" applyFont="1" applyFill="1" applyBorder="1" applyAlignment="1" applyProtection="1">
      <alignment horizontal="center" vertical="top" readingOrder="1"/>
      <protection locked="0"/>
    </xf>
    <xf numFmtId="0" fontId="6" fillId="2" borderId="7" xfId="1" applyFont="1" applyFill="1" applyBorder="1" applyAlignment="1" applyProtection="1">
      <alignment horizontal="center" vertical="center" wrapText="1" readingOrder="1"/>
      <protection locked="0"/>
    </xf>
    <xf numFmtId="0" fontId="15" fillId="0" borderId="7" xfId="1" applyFont="1" applyBorder="1" applyAlignment="1" applyProtection="1">
      <alignment horizontal="left" vertical="top" wrapText="1" readingOrder="1"/>
      <protection locked="0"/>
    </xf>
    <xf numFmtId="0" fontId="11" fillId="0" borderId="7" xfId="1" applyFont="1" applyBorder="1" applyAlignment="1" applyProtection="1">
      <alignment horizontal="left" vertical="top" wrapText="1" readingOrder="1"/>
      <protection locked="0"/>
    </xf>
    <xf numFmtId="0" fontId="6" fillId="0" borderId="2" xfId="1" applyFont="1" applyBorder="1" applyAlignment="1" applyProtection="1">
      <alignment horizontal="left" vertical="top" readingOrder="1"/>
      <protection locked="0"/>
    </xf>
    <xf numFmtId="0" fontId="6" fillId="2" borderId="10" xfId="1" applyFont="1" applyFill="1" applyBorder="1" applyAlignment="1" applyProtection="1">
      <alignment horizontal="center" vertical="top" wrapText="1" readingOrder="1"/>
      <protection locked="0"/>
    </xf>
    <xf numFmtId="0" fontId="15" fillId="0" borderId="10" xfId="1" applyFont="1" applyBorder="1" applyAlignment="1" applyProtection="1">
      <alignment horizontal="left" vertical="top" wrapText="1" readingOrder="1"/>
      <protection locked="0"/>
    </xf>
    <xf numFmtId="0" fontId="11" fillId="0" borderId="3" xfId="1" applyFont="1" applyBorder="1" applyAlignment="1" applyProtection="1">
      <alignment horizontal="left" vertical="top" wrapText="1" readingOrder="1"/>
      <protection locked="0"/>
    </xf>
    <xf numFmtId="0" fontId="14" fillId="0" borderId="7" xfId="1" applyFont="1" applyBorder="1" applyAlignment="1" applyProtection="1">
      <alignment horizontal="left" vertical="top" wrapText="1" readingOrder="1"/>
      <protection locked="0"/>
    </xf>
    <xf numFmtId="0" fontId="6" fillId="0" borderId="9" xfId="1" applyFont="1" applyBorder="1" applyAlignment="1" applyProtection="1">
      <alignment vertical="top" wrapText="1" readingOrder="1"/>
      <protection locked="0"/>
    </xf>
    <xf numFmtId="0" fontId="6" fillId="0" borderId="5" xfId="1" applyFont="1" applyBorder="1" applyAlignment="1" applyProtection="1">
      <alignment vertical="top" wrapText="1" readingOrder="1"/>
      <protection locked="0"/>
    </xf>
    <xf numFmtId="0" fontId="16" fillId="0" borderId="8" xfId="1" applyFont="1" applyBorder="1" applyAlignment="1" applyProtection="1">
      <alignment horizontal="center" vertical="center" wrapText="1" readingOrder="1"/>
    </xf>
    <xf numFmtId="0" fontId="16" fillId="0" borderId="8" xfId="1" applyFont="1" applyBorder="1" applyAlignment="1"/>
    <xf numFmtId="0" fontId="8" fillId="0" borderId="8" xfId="1" applyFont="1" applyBorder="1" applyAlignment="1">
      <alignment vertical="center" wrapText="1"/>
    </xf>
    <xf numFmtId="0" fontId="4" fillId="0" borderId="8" xfId="1" applyFont="1" applyBorder="1" applyAlignment="1" applyProtection="1">
      <alignment horizontal="center" vertical="center"/>
    </xf>
    <xf numFmtId="0" fontId="4" fillId="9" borderId="8" xfId="1" applyFont="1" applyFill="1" applyBorder="1" applyAlignment="1" applyProtection="1">
      <alignment vertical="top" wrapText="1" readingOrder="1"/>
      <protection locked="0"/>
    </xf>
    <xf numFmtId="0" fontId="4" fillId="9" borderId="8" xfId="1" applyFont="1" applyFill="1" applyBorder="1" applyAlignment="1" applyProtection="1">
      <alignment horizontal="right" vertical="top" readingOrder="1"/>
      <protection locked="0"/>
    </xf>
    <xf numFmtId="0" fontId="6" fillId="3" borderId="6" xfId="1" applyFont="1" applyFill="1" applyBorder="1" applyAlignment="1" applyProtection="1">
      <alignment vertical="top" readingOrder="1"/>
      <protection locked="0"/>
    </xf>
    <xf numFmtId="0" fontId="6" fillId="2" borderId="3" xfId="1" applyFont="1" applyFill="1" applyBorder="1" applyAlignment="1" applyProtection="1">
      <alignment horizontal="left" vertical="top" wrapText="1" readingOrder="1"/>
      <protection locked="0"/>
    </xf>
    <xf numFmtId="0" fontId="6" fillId="2" borderId="7" xfId="1" applyFont="1" applyFill="1" applyBorder="1" applyAlignment="1" applyProtection="1">
      <alignment horizontal="left" vertical="top" wrapText="1" readingOrder="1"/>
      <protection locked="0"/>
    </xf>
    <xf numFmtId="0" fontId="6" fillId="5" borderId="3" xfId="1" applyFont="1" applyFill="1" applyBorder="1" applyAlignment="1" applyProtection="1">
      <alignment horizontal="left" vertical="top" wrapText="1" readingOrder="1"/>
      <protection locked="0"/>
    </xf>
    <xf numFmtId="0" fontId="6" fillId="5" borderId="3" xfId="1" applyFont="1" applyFill="1" applyBorder="1" applyAlignment="1" applyProtection="1">
      <alignment horizontal="center" vertical="top" readingOrder="1"/>
      <protection locked="0"/>
    </xf>
    <xf numFmtId="0" fontId="6" fillId="5" borderId="7" xfId="1" applyFont="1" applyFill="1" applyBorder="1" applyAlignment="1" applyProtection="1">
      <alignment horizontal="left" vertical="top" wrapText="1" readingOrder="1"/>
      <protection locked="0"/>
    </xf>
    <xf numFmtId="0" fontId="11" fillId="0" borderId="2" xfId="1" applyFont="1" applyBorder="1" applyAlignment="1" applyProtection="1">
      <alignment horizontal="left" vertical="top" wrapText="1" readingOrder="1"/>
      <protection locked="0"/>
    </xf>
    <xf numFmtId="0" fontId="11" fillId="2" borderId="3" xfId="1" applyFont="1" applyFill="1" applyBorder="1" applyAlignment="1" applyProtection="1">
      <alignment horizontal="left" vertical="top" wrapText="1" readingOrder="1"/>
      <protection locked="0"/>
    </xf>
    <xf numFmtId="0" fontId="18" fillId="0" borderId="0" xfId="1" applyFont="1" applyBorder="1" applyAlignment="1" applyProtection="1">
      <alignment vertical="top" wrapText="1" readingOrder="1"/>
      <protection locked="0"/>
    </xf>
    <xf numFmtId="0" fontId="18" fillId="0" borderId="0" xfId="1" applyFont="1" applyBorder="1" applyAlignment="1" applyProtection="1">
      <alignment vertical="top" readingOrder="1"/>
      <protection locked="0"/>
    </xf>
    <xf numFmtId="0" fontId="18" fillId="0" borderId="0" xfId="1" applyFont="1" applyBorder="1" applyAlignment="1" applyProtection="1">
      <alignment horizontal="left" vertical="top" readingOrder="1"/>
      <protection locked="0"/>
    </xf>
    <xf numFmtId="167" fontId="18" fillId="0" borderId="0" xfId="1" applyNumberFormat="1" applyFont="1" applyBorder="1" applyAlignment="1" applyProtection="1">
      <alignment horizontal="right" vertical="top" readingOrder="1"/>
      <protection locked="0"/>
    </xf>
    <xf numFmtId="0" fontId="18" fillId="0" borderId="0" xfId="1" applyFont="1" applyBorder="1" applyAlignment="1" applyProtection="1">
      <alignment horizontal="center" vertical="top" readingOrder="1"/>
      <protection locked="0"/>
    </xf>
    <xf numFmtId="0" fontId="18" fillId="0" borderId="0" xfId="1" applyFont="1" applyBorder="1" applyAlignment="1" applyProtection="1">
      <alignment horizontal="right" vertical="top" readingOrder="1"/>
      <protection locked="0"/>
    </xf>
    <xf numFmtId="0" fontId="4" fillId="0" borderId="8" xfId="1" applyFont="1" applyBorder="1" applyAlignment="1" applyProtection="1">
      <alignment horizontal="center" vertical="center" wrapText="1" readingOrder="1"/>
    </xf>
    <xf numFmtId="0" fontId="16" fillId="0" borderId="8" xfId="1" applyFont="1" applyBorder="1"/>
    <xf numFmtId="0" fontId="6" fillId="0" borderId="8" xfId="1" applyFont="1" applyBorder="1"/>
    <xf numFmtId="0" fontId="4" fillId="0" borderId="8" xfId="1" applyFont="1" applyBorder="1"/>
    <xf numFmtId="0" fontId="4" fillId="0" borderId="8" xfId="1" applyFont="1" applyBorder="1" applyAlignment="1">
      <alignment horizontal="center" vertical="center"/>
    </xf>
    <xf numFmtId="0" fontId="5" fillId="0" borderId="0" xfId="1" applyFont="1" applyBorder="1" applyAlignment="1" applyProtection="1"/>
    <xf numFmtId="0" fontId="4" fillId="0" borderId="5" xfId="1" applyFont="1" applyBorder="1" applyAlignment="1" applyProtection="1">
      <alignment horizontal="center" vertical="center" readingOrder="1"/>
    </xf>
    <xf numFmtId="0" fontId="6" fillId="8" borderId="8" xfId="1" applyFont="1" applyFill="1" applyBorder="1" applyAlignment="1" applyProtection="1">
      <alignment horizontal="center" vertical="top" readingOrder="1"/>
      <protection locked="0"/>
    </xf>
    <xf numFmtId="0" fontId="4" fillId="0" borderId="8" xfId="1" applyFont="1" applyBorder="1" applyAlignment="1" applyProtection="1">
      <alignment horizontal="center" wrapText="1" readingOrder="1"/>
    </xf>
    <xf numFmtId="0" fontId="6" fillId="0" borderId="8" xfId="1" applyFont="1" applyBorder="1"/>
    <xf numFmtId="0" fontId="6" fillId="6" borderId="8" xfId="1" applyFont="1" applyFill="1" applyBorder="1"/>
    <xf numFmtId="0" fontId="6" fillId="7" borderId="8" xfId="1" applyFont="1" applyFill="1" applyBorder="1"/>
    <xf numFmtId="0" fontId="6" fillId="8" borderId="8" xfId="1" applyFont="1" applyFill="1" applyBorder="1"/>
    <xf numFmtId="0" fontId="6" fillId="0" borderId="0" xfId="1" applyFont="1" applyBorder="1" applyAlignment="1">
      <alignment wrapText="1"/>
    </xf>
    <xf numFmtId="0" fontId="23" fillId="0" borderId="0" xfId="1" applyBorder="1" applyAlignment="1" applyProtection="1">
      <alignment horizontal="center"/>
    </xf>
    <xf numFmtId="0" fontId="6" fillId="4" borderId="6" xfId="1" applyFont="1" applyFill="1" applyBorder="1" applyAlignment="1" applyProtection="1">
      <alignment vertical="top" readingOrder="1"/>
      <protection locked="0"/>
    </xf>
    <xf numFmtId="0" fontId="6" fillId="5" borderId="6" xfId="1" applyFont="1" applyFill="1" applyBorder="1" applyAlignment="1" applyProtection="1">
      <alignment vertical="top" readingOrder="1"/>
      <protection locked="0"/>
    </xf>
    <xf numFmtId="0" fontId="6" fillId="0" borderId="6" xfId="1" applyFont="1" applyBorder="1" applyAlignment="1" applyProtection="1">
      <alignment vertical="top" readingOrder="1"/>
      <protection locked="0"/>
    </xf>
    <xf numFmtId="0" fontId="6" fillId="0" borderId="12" xfId="1" applyFont="1" applyBorder="1" applyAlignment="1" applyProtection="1">
      <alignment vertical="top" readingOrder="1"/>
      <protection locked="0"/>
    </xf>
    <xf numFmtId="0" fontId="6" fillId="0" borderId="3" xfId="1" applyFont="1" applyBorder="1" applyAlignment="1" applyProtection="1">
      <alignment horizontal="right" vertical="top" readingOrder="1"/>
      <protection locked="0"/>
    </xf>
    <xf numFmtId="0" fontId="11" fillId="6" borderId="3" xfId="1" applyFont="1" applyFill="1" applyBorder="1" applyAlignment="1" applyProtection="1">
      <alignment horizontal="center" vertical="top" readingOrder="1"/>
      <protection locked="0"/>
    </xf>
    <xf numFmtId="0" fontId="14" fillId="2" borderId="3" xfId="1" applyFont="1" applyFill="1" applyBorder="1" applyAlignment="1" applyProtection="1">
      <alignment horizontal="left" vertical="top" wrapText="1" readingOrder="1"/>
      <protection locked="0"/>
    </xf>
    <xf numFmtId="0" fontId="6" fillId="5" borderId="3" xfId="1" applyFont="1" applyFill="1" applyBorder="1" applyAlignment="1" applyProtection="1">
      <alignment horizontal="right" vertical="top" readingOrder="1"/>
      <protection locked="0"/>
    </xf>
    <xf numFmtId="0" fontId="6" fillId="0" borderId="1" xfId="1" applyFont="1" applyBorder="1" applyAlignment="1" applyProtection="1">
      <alignment vertical="top" readingOrder="1"/>
      <protection locked="0"/>
    </xf>
    <xf numFmtId="0" fontId="6" fillId="0" borderId="2" xfId="1" applyFont="1" applyBorder="1" applyAlignment="1" applyProtection="1">
      <alignment vertical="top" wrapText="1" readingOrder="1"/>
      <protection locked="0"/>
    </xf>
    <xf numFmtId="167" fontId="6" fillId="0" borderId="2" xfId="1" applyNumberFormat="1" applyFont="1" applyBorder="1" applyAlignment="1" applyProtection="1">
      <alignment horizontal="right" vertical="top" readingOrder="1"/>
      <protection locked="0"/>
    </xf>
    <xf numFmtId="0" fontId="1" fillId="0" borderId="8" xfId="1" applyFont="1" applyBorder="1" applyAlignment="1" applyProtection="1">
      <alignment horizontal="center" vertical="center" wrapText="1" readingOrder="1"/>
    </xf>
    <xf numFmtId="0" fontId="6" fillId="0" borderId="8" xfId="1" applyFont="1" applyBorder="1" applyAlignment="1" applyProtection="1">
      <alignment horizontal="center" vertical="center"/>
    </xf>
    <xf numFmtId="0" fontId="1" fillId="0" borderId="8" xfId="1" applyFont="1" applyBorder="1" applyAlignment="1" applyProtection="1">
      <alignment vertical="top" readingOrder="1"/>
      <protection locked="0"/>
    </xf>
    <xf numFmtId="167" fontId="1" fillId="0" borderId="8" xfId="1" applyNumberFormat="1" applyFont="1" applyBorder="1" applyAlignment="1" applyProtection="1">
      <alignment horizontal="right" vertical="top" readingOrder="1"/>
    </xf>
    <xf numFmtId="0" fontId="6" fillId="6" borderId="8" xfId="1" applyFont="1" applyFill="1" applyBorder="1" applyAlignment="1" applyProtection="1"/>
    <xf numFmtId="0" fontId="7" fillId="0" borderId="8" xfId="1" applyFont="1" applyBorder="1" applyAlignment="1" applyProtection="1">
      <alignment wrapText="1"/>
    </xf>
    <xf numFmtId="0" fontId="7" fillId="0" borderId="8" xfId="1" applyFont="1" applyBorder="1" applyAlignment="1" applyProtection="1">
      <alignment horizontal="center" vertical="center"/>
    </xf>
    <xf numFmtId="167" fontId="1" fillId="0" borderId="8" xfId="1" applyNumberFormat="1" applyFont="1" applyBorder="1" applyAlignment="1" applyProtection="1">
      <alignment horizontal="right" vertical="top" readingOrder="1"/>
      <protection locked="0"/>
    </xf>
    <xf numFmtId="0" fontId="6" fillId="7" borderId="8" xfId="1" applyFont="1" applyFill="1" applyBorder="1" applyAlignment="1" applyProtection="1"/>
    <xf numFmtId="0" fontId="6" fillId="8" borderId="8" xfId="1" applyFont="1" applyFill="1" applyBorder="1" applyAlignment="1" applyProtection="1"/>
    <xf numFmtId="0" fontId="16" fillId="9" borderId="8" xfId="1" applyFont="1" applyFill="1" applyBorder="1" applyAlignment="1" applyProtection="1">
      <alignment vertical="top" readingOrder="1"/>
      <protection locked="0"/>
    </xf>
    <xf numFmtId="0" fontId="16" fillId="9" borderId="8" xfId="1" applyFont="1" applyFill="1" applyBorder="1" applyAlignment="1" applyProtection="1">
      <alignment horizontal="right" vertical="top" readingOrder="1"/>
      <protection locked="0"/>
    </xf>
    <xf numFmtId="167" fontId="16" fillId="9" borderId="8" xfId="1" applyNumberFormat="1" applyFont="1" applyFill="1" applyBorder="1" applyAlignment="1" applyProtection="1">
      <alignment horizontal="right" vertical="top" readingOrder="1"/>
    </xf>
    <xf numFmtId="0" fontId="6" fillId="0" borderId="5" xfId="1" applyFont="1" applyBorder="1" applyAlignment="1" applyProtection="1">
      <alignment horizontal="center" wrapText="1" readingOrder="1"/>
    </xf>
    <xf numFmtId="0" fontId="14" fillId="2" borderId="8" xfId="1" applyFont="1" applyFill="1" applyBorder="1" applyAlignment="1" applyProtection="1">
      <alignment horizontal="left" vertical="top" wrapText="1" readingOrder="1"/>
      <protection locked="0"/>
    </xf>
    <xf numFmtId="3" fontId="6" fillId="0" borderId="8" xfId="1" applyNumberFormat="1" applyFont="1" applyBorder="1" applyAlignment="1" applyProtection="1">
      <alignment horizontal="right" vertical="top" readingOrder="1"/>
      <protection locked="0"/>
    </xf>
    <xf numFmtId="3" fontId="6" fillId="6" borderId="8" xfId="1" applyNumberFormat="1" applyFont="1" applyFill="1" applyBorder="1" applyAlignment="1" applyProtection="1">
      <alignment horizontal="center" vertical="top" readingOrder="1"/>
      <protection locked="0"/>
    </xf>
    <xf numFmtId="0" fontId="11" fillId="2" borderId="8" xfId="1" applyFont="1" applyFill="1" applyBorder="1" applyAlignment="1" applyProtection="1">
      <alignment horizontal="left" vertical="top" wrapText="1" readingOrder="1"/>
      <protection locked="0"/>
    </xf>
    <xf numFmtId="3" fontId="6" fillId="0" borderId="3" xfId="1" applyNumberFormat="1" applyFont="1" applyBorder="1" applyAlignment="1" applyProtection="1">
      <alignment horizontal="center" vertical="top" readingOrder="1"/>
      <protection locked="0"/>
    </xf>
    <xf numFmtId="3" fontId="6" fillId="7" borderId="3" xfId="1" applyNumberFormat="1" applyFont="1" applyFill="1" applyBorder="1" applyAlignment="1" applyProtection="1">
      <alignment horizontal="center" vertical="top" readingOrder="1"/>
      <protection locked="0"/>
    </xf>
    <xf numFmtId="3" fontId="6" fillId="0" borderId="8" xfId="1" applyNumberFormat="1" applyFont="1" applyBorder="1" applyAlignment="1" applyProtection="1">
      <alignment horizontal="center" vertical="top" readingOrder="1"/>
      <protection locked="0"/>
    </xf>
    <xf numFmtId="3" fontId="6" fillId="7" borderId="8" xfId="1" applyNumberFormat="1" applyFont="1" applyFill="1" applyBorder="1" applyAlignment="1" applyProtection="1">
      <alignment horizontal="center" vertical="top" readingOrder="1"/>
      <protection locked="0"/>
    </xf>
    <xf numFmtId="0" fontId="6" fillId="0" borderId="8" xfId="1" applyFont="1" applyBorder="1" applyAlignment="1">
      <alignment horizontal="center" vertical="center"/>
    </xf>
    <xf numFmtId="0" fontId="19" fillId="0" borderId="8" xfId="1" applyFont="1" applyBorder="1" applyAlignment="1" applyProtection="1">
      <alignment vertical="top" readingOrder="1"/>
      <protection locked="0"/>
    </xf>
    <xf numFmtId="167" fontId="19" fillId="0" borderId="8" xfId="1" applyNumberFormat="1" applyFont="1" applyBorder="1" applyAlignment="1" applyProtection="1">
      <alignment horizontal="right" vertical="top" readingOrder="1"/>
    </xf>
    <xf numFmtId="0" fontId="7" fillId="0" borderId="8" xfId="1" applyFont="1" applyBorder="1" applyAlignment="1">
      <alignment wrapText="1"/>
    </xf>
    <xf numFmtId="0" fontId="7" fillId="0" borderId="8" xfId="1" applyFont="1" applyBorder="1" applyAlignment="1">
      <alignment horizontal="center" vertical="center"/>
    </xf>
    <xf numFmtId="167" fontId="19" fillId="0" borderId="8" xfId="1" applyNumberFormat="1" applyFont="1" applyBorder="1" applyAlignment="1" applyProtection="1">
      <alignment horizontal="right" vertical="top" readingOrder="1"/>
      <protection locked="0"/>
    </xf>
    <xf numFmtId="0" fontId="20" fillId="9" borderId="8" xfId="1" applyFont="1" applyFill="1" applyBorder="1" applyAlignment="1" applyProtection="1">
      <alignment vertical="top" readingOrder="1"/>
      <protection locked="0"/>
    </xf>
    <xf numFmtId="0" fontId="20" fillId="9" borderId="8" xfId="1" applyFont="1" applyFill="1" applyBorder="1" applyAlignment="1" applyProtection="1">
      <alignment horizontal="right" vertical="top" readingOrder="1"/>
      <protection locked="0"/>
    </xf>
    <xf numFmtId="167" fontId="20" fillId="9" borderId="8" xfId="1" applyNumberFormat="1" applyFont="1" applyFill="1" applyBorder="1" applyAlignment="1" applyProtection="1">
      <alignment horizontal="right" vertical="top" readingOrder="1"/>
    </xf>
    <xf numFmtId="3" fontId="6" fillId="6" borderId="3" xfId="1" applyNumberFormat="1" applyFont="1" applyFill="1" applyBorder="1" applyAlignment="1" applyProtection="1">
      <alignment horizontal="center" vertical="top" readingOrder="1"/>
      <protection locked="0"/>
    </xf>
    <xf numFmtId="0" fontId="6" fillId="0" borderId="8" xfId="1" applyFont="1" applyBorder="1" applyAlignment="1" applyProtection="1">
      <alignment horizontal="right" vertical="top" readingOrder="1"/>
      <protection locked="0"/>
    </xf>
    <xf numFmtId="0" fontId="6" fillId="6" borderId="8" xfId="1" applyFont="1" applyFill="1" applyBorder="1" applyAlignment="1" applyProtection="1">
      <alignment horizontal="right" vertical="top" readingOrder="1"/>
      <protection locked="0"/>
    </xf>
    <xf numFmtId="0" fontId="14" fillId="0" borderId="10" xfId="1" applyFont="1" applyBorder="1" applyAlignment="1" applyProtection="1">
      <alignment horizontal="left" vertical="top" wrapText="1" readingOrder="1"/>
      <protection locked="0"/>
    </xf>
    <xf numFmtId="0" fontId="6" fillId="2" borderId="10" xfId="1" applyFont="1" applyFill="1" applyBorder="1" applyAlignment="1" applyProtection="1">
      <alignment horizontal="left" vertical="top" wrapText="1" readingOrder="1"/>
      <protection locked="0"/>
    </xf>
    <xf numFmtId="0" fontId="11" fillId="2" borderId="10" xfId="1" applyFont="1" applyFill="1" applyBorder="1" applyAlignment="1" applyProtection="1">
      <alignment horizontal="left" vertical="top" wrapText="1" readingOrder="1"/>
      <protection locked="0"/>
    </xf>
    <xf numFmtId="0" fontId="15" fillId="2" borderId="10" xfId="1" applyFont="1" applyFill="1" applyBorder="1" applyAlignment="1" applyProtection="1">
      <alignment horizontal="left" vertical="top" wrapText="1" readingOrder="1"/>
      <protection locked="0"/>
    </xf>
    <xf numFmtId="0" fontId="11" fillId="2" borderId="7" xfId="1" applyFont="1" applyFill="1" applyBorder="1" applyAlignment="1" applyProtection="1">
      <alignment horizontal="left" vertical="top" wrapText="1" readingOrder="1"/>
      <protection locked="0"/>
    </xf>
    <xf numFmtId="0" fontId="6" fillId="0" borderId="6" xfId="0" applyFont="1" applyBorder="1" applyAlignment="1" applyProtection="1">
      <alignment vertical="top" wrapText="1" readingOrder="1"/>
      <protection locked="0"/>
    </xf>
    <xf numFmtId="0" fontId="6" fillId="0" borderId="3" xfId="0" applyFont="1" applyBorder="1" applyAlignment="1" applyProtection="1">
      <alignment vertical="top" wrapText="1" readingOrder="1"/>
      <protection locked="0"/>
    </xf>
    <xf numFmtId="0" fontId="6" fillId="0" borderId="3" xfId="0" applyFont="1" applyBorder="1" applyAlignment="1" applyProtection="1">
      <alignment horizontal="left" vertical="top" readingOrder="1"/>
      <protection locked="0"/>
    </xf>
    <xf numFmtId="0" fontId="6" fillId="0" borderId="3" xfId="0" applyFont="1" applyBorder="1" applyAlignment="1" applyProtection="1">
      <alignment horizontal="center" vertical="top" readingOrder="1"/>
      <protection locked="0"/>
    </xf>
    <xf numFmtId="0" fontId="6" fillId="0" borderId="3" xfId="0" applyFont="1" applyBorder="1" applyAlignment="1" applyProtection="1">
      <alignment horizontal="right" vertical="top" readingOrder="1"/>
      <protection locked="0"/>
    </xf>
    <xf numFmtId="0" fontId="6" fillId="0" borderId="3" xfId="0" applyFont="1" applyBorder="1" applyAlignment="1" applyProtection="1">
      <alignment horizontal="left" vertical="top" wrapText="1" readingOrder="1"/>
      <protection locked="0"/>
    </xf>
    <xf numFmtId="0" fontId="6" fillId="0" borderId="7" xfId="0" applyFont="1" applyBorder="1" applyAlignment="1" applyProtection="1">
      <alignment horizontal="left" vertical="top" wrapText="1" readingOrder="1"/>
      <protection locked="0"/>
    </xf>
    <xf numFmtId="0" fontId="0" fillId="0" borderId="0" xfId="0" applyBorder="1"/>
    <xf numFmtId="0" fontId="15" fillId="2" borderId="7" xfId="1" applyFont="1" applyFill="1" applyBorder="1" applyAlignment="1" applyProtection="1">
      <alignment horizontal="left" vertical="top" wrapText="1" readingOrder="1"/>
      <protection locked="0"/>
    </xf>
    <xf numFmtId="0" fontId="6" fillId="3" borderId="3" xfId="1" applyFont="1" applyFill="1" applyBorder="1" applyAlignment="1" applyProtection="1">
      <alignment horizontal="center" vertical="top" readingOrder="1"/>
      <protection locked="0"/>
    </xf>
    <xf numFmtId="0" fontId="6" fillId="3" borderId="3" xfId="1" applyFont="1" applyFill="1" applyBorder="1" applyAlignment="1" applyProtection="1">
      <alignment horizontal="right" vertical="top" readingOrder="1"/>
      <protection locked="0"/>
    </xf>
    <xf numFmtId="0" fontId="6" fillId="3" borderId="7" xfId="1" applyFont="1" applyFill="1" applyBorder="1" applyAlignment="1" applyProtection="1">
      <alignment horizontal="left" vertical="top" readingOrder="1"/>
      <protection locked="0"/>
    </xf>
    <xf numFmtId="0" fontId="11" fillId="6" borderId="8" xfId="1" applyFont="1" applyFill="1" applyBorder="1" applyAlignment="1" applyProtection="1">
      <alignment horizontal="center" vertical="top" readingOrder="1"/>
      <protection locked="0"/>
    </xf>
    <xf numFmtId="0" fontId="6" fillId="5" borderId="6" xfId="0" applyFont="1" applyFill="1" applyBorder="1" applyAlignment="1" applyProtection="1">
      <alignment vertical="top" wrapText="1" readingOrder="1"/>
      <protection locked="0"/>
    </xf>
    <xf numFmtId="0" fontId="6" fillId="5" borderId="3" xfId="0" applyFont="1" applyFill="1" applyBorder="1" applyAlignment="1" applyProtection="1">
      <alignment vertical="top" wrapText="1" readingOrder="1"/>
      <protection locked="0"/>
    </xf>
    <xf numFmtId="0" fontId="6" fillId="5" borderId="3" xfId="0" applyFont="1" applyFill="1" applyBorder="1" applyAlignment="1" applyProtection="1">
      <alignment horizontal="left" vertical="top" readingOrder="1"/>
      <protection locked="0"/>
    </xf>
    <xf numFmtId="167" fontId="6" fillId="5" borderId="3" xfId="0" applyNumberFormat="1" applyFont="1" applyFill="1" applyBorder="1" applyAlignment="1">
      <alignment horizontal="right" vertical="top" readingOrder="1"/>
    </xf>
    <xf numFmtId="0" fontId="21" fillId="0" borderId="8" xfId="1" applyFont="1" applyBorder="1" applyAlignment="1" applyProtection="1">
      <alignment vertical="top" readingOrder="1"/>
      <protection locked="0"/>
    </xf>
    <xf numFmtId="167" fontId="21" fillId="0" borderId="8" xfId="1" applyNumberFormat="1" applyFont="1" applyBorder="1" applyAlignment="1" applyProtection="1">
      <alignment horizontal="right" vertical="top" readingOrder="1"/>
    </xf>
    <xf numFmtId="167" fontId="21" fillId="0" borderId="8" xfId="1" applyNumberFormat="1" applyFont="1" applyBorder="1" applyAlignment="1" applyProtection="1">
      <alignment horizontal="right" vertical="top" readingOrder="1"/>
      <protection locked="0"/>
    </xf>
    <xf numFmtId="0" fontId="22" fillId="9" borderId="8" xfId="1" applyFont="1" applyFill="1" applyBorder="1" applyAlignment="1" applyProtection="1">
      <alignment vertical="top" readingOrder="1"/>
      <protection locked="0"/>
    </xf>
    <xf numFmtId="0" fontId="22" fillId="9" borderId="8" xfId="1" applyFont="1" applyFill="1" applyBorder="1" applyAlignment="1" applyProtection="1">
      <alignment horizontal="right" vertical="top" readingOrder="1"/>
      <protection locked="0"/>
    </xf>
    <xf numFmtId="167" fontId="22" fillId="9" borderId="8" xfId="1" applyNumberFormat="1" applyFont="1" applyFill="1" applyBorder="1" applyAlignment="1" applyProtection="1">
      <alignment horizontal="right" vertical="top" readingOrder="1"/>
    </xf>
    <xf numFmtId="0" fontId="11" fillId="7" borderId="8" xfId="1" applyFont="1" applyFill="1" applyBorder="1" applyAlignment="1" applyProtection="1">
      <alignment horizontal="center" vertical="top" readingOrder="1"/>
      <protection locked="0"/>
    </xf>
    <xf numFmtId="0" fontId="6" fillId="2" borderId="3" xfId="1" applyFont="1" applyFill="1" applyBorder="1" applyAlignment="1" applyProtection="1">
      <alignment horizontal="center" vertical="top" readingOrder="1"/>
      <protection locked="0"/>
    </xf>
    <xf numFmtId="3" fontId="11" fillId="0" borderId="3" xfId="1" applyNumberFormat="1" applyFont="1" applyBorder="1" applyAlignment="1" applyProtection="1">
      <alignment horizontal="center" vertical="top" readingOrder="1"/>
      <protection locked="0"/>
    </xf>
    <xf numFmtId="3" fontId="11" fillId="6" borderId="3" xfId="1" applyNumberFormat="1" applyFont="1" applyFill="1" applyBorder="1" applyAlignment="1" applyProtection="1">
      <alignment horizontal="center" vertical="top" readingOrder="1"/>
      <protection locked="0"/>
    </xf>
    <xf numFmtId="0" fontId="6" fillId="2" borderId="3" xfId="1" applyFont="1" applyFill="1" applyBorder="1" applyAlignment="1" applyProtection="1">
      <alignment vertical="top" wrapText="1" readingOrder="1"/>
      <protection locked="0"/>
    </xf>
    <xf numFmtId="167" fontId="6" fillId="2" borderId="3" xfId="1" applyNumberFormat="1" applyFont="1" applyFill="1" applyBorder="1" applyAlignment="1" applyProtection="1">
      <alignment horizontal="right" vertical="top" readingOrder="1"/>
      <protection locked="0"/>
    </xf>
    <xf numFmtId="0" fontId="6" fillId="2" borderId="3" xfId="1" applyFont="1" applyFill="1" applyBorder="1" applyAlignment="1" applyProtection="1">
      <alignment horizontal="left" vertical="top" readingOrder="1"/>
      <protection locked="0"/>
    </xf>
    <xf numFmtId="0" fontId="6" fillId="2" borderId="3" xfId="1" applyFont="1" applyFill="1" applyBorder="1" applyAlignment="1" applyProtection="1">
      <alignment horizontal="right" vertical="top" readingOrder="1"/>
      <protection locked="0"/>
    </xf>
    <xf numFmtId="0" fontId="6" fillId="6" borderId="3" xfId="1" applyFont="1" applyFill="1" applyBorder="1" applyAlignment="1" applyProtection="1">
      <alignment horizontal="right" vertical="top" readingOrder="1"/>
      <protection locked="0"/>
    </xf>
    <xf numFmtId="0" fontId="6" fillId="2" borderId="8" xfId="1" applyFont="1" applyFill="1" applyBorder="1" applyAlignment="1" applyProtection="1">
      <alignment horizontal="left" vertical="top" readingOrder="1"/>
      <protection locked="0"/>
    </xf>
    <xf numFmtId="0" fontId="11" fillId="2" borderId="3" xfId="1" applyFont="1" applyFill="1" applyBorder="1" applyAlignment="1" applyProtection="1">
      <alignment horizontal="center" vertical="top" readingOrder="1"/>
      <protection locked="0"/>
    </xf>
    <xf numFmtId="0" fontId="6" fillId="2" borderId="7" xfId="1" applyFont="1" applyFill="1" applyBorder="1" applyAlignment="1" applyProtection="1">
      <alignment horizontal="left" vertical="top" wrapText="1" readingOrder="1"/>
      <protection locked="0"/>
    </xf>
    <xf numFmtId="0" fontId="6" fillId="0" borderId="1" xfId="1" applyFont="1" applyBorder="1" applyAlignment="1" applyProtection="1">
      <alignment vertical="top" wrapText="1" readingOrder="1"/>
      <protection locked="0"/>
    </xf>
    <xf numFmtId="167" fontId="11" fillId="2" borderId="2" xfId="1" applyNumberFormat="1" applyFont="1" applyFill="1" applyBorder="1" applyAlignment="1" applyProtection="1">
      <alignment horizontal="right" vertical="top" readingOrder="1"/>
      <protection locked="0"/>
    </xf>
    <xf numFmtId="0" fontId="6" fillId="2" borderId="4" xfId="1" applyFont="1" applyFill="1" applyBorder="1" applyAlignment="1" applyProtection="1">
      <alignment horizontal="left" vertical="top" wrapText="1" readingOrder="1"/>
      <protection locked="0"/>
    </xf>
    <xf numFmtId="166" fontId="1" fillId="0" borderId="0" xfId="2" applyNumberFormat="1" applyFont="1" applyBorder="1" applyAlignment="1">
      <alignment horizontal="left" vertical="top" wrapText="1"/>
    </xf>
    <xf numFmtId="0" fontId="4" fillId="0" borderId="0" xfId="0" applyFont="1" applyBorder="1" applyAlignment="1" applyProtection="1">
      <alignment horizontal="center"/>
    </xf>
    <xf numFmtId="0" fontId="6" fillId="0" borderId="1" xfId="0" applyFont="1" applyBorder="1" applyAlignment="1" applyProtection="1">
      <alignment horizontal="center" vertical="center" wrapText="1" readingOrder="1"/>
    </xf>
    <xf numFmtId="0" fontId="6" fillId="0" borderId="2" xfId="0" applyFont="1" applyBorder="1" applyAlignment="1" applyProtection="1">
      <alignment horizontal="center" vertical="center" wrapText="1" readingOrder="1"/>
    </xf>
    <xf numFmtId="0" fontId="6" fillId="0" borderId="2" xfId="0" applyFont="1" applyBorder="1" applyAlignment="1" applyProtection="1">
      <alignment horizontal="center" vertical="center" textRotation="90" wrapText="1" readingOrder="1"/>
    </xf>
    <xf numFmtId="0" fontId="6" fillId="0" borderId="3" xfId="0" applyFont="1" applyBorder="1" applyAlignment="1" applyProtection="1">
      <alignment horizontal="center" vertical="center" wrapText="1" readingOrder="1"/>
    </xf>
    <xf numFmtId="0" fontId="6" fillId="0" borderId="4" xfId="0" applyFont="1" applyBorder="1" applyAlignment="1" applyProtection="1">
      <alignment horizontal="center" vertical="center" wrapText="1" readingOrder="1"/>
    </xf>
    <xf numFmtId="0" fontId="6" fillId="0" borderId="5" xfId="0" applyFont="1" applyBorder="1" applyAlignment="1" applyProtection="1">
      <alignment horizontal="center" vertical="center" wrapText="1" readingOrder="1"/>
    </xf>
    <xf numFmtId="0" fontId="6" fillId="3" borderId="2" xfId="0" applyFont="1" applyFill="1" applyBorder="1" applyAlignment="1" applyProtection="1">
      <alignment horizontal="left" vertical="top" wrapText="1" readingOrder="1"/>
      <protection locked="0"/>
    </xf>
    <xf numFmtId="0" fontId="6" fillId="3" borderId="4" xfId="0" applyFont="1" applyFill="1" applyBorder="1" applyAlignment="1" applyProtection="1">
      <alignment horizontal="center" vertical="top" readingOrder="1"/>
      <protection locked="0"/>
    </xf>
    <xf numFmtId="0" fontId="6" fillId="4" borderId="2" xfId="0" applyFont="1" applyFill="1" applyBorder="1" applyAlignment="1" applyProtection="1">
      <alignment horizontal="left" vertical="top" wrapText="1" readingOrder="1"/>
      <protection locked="0"/>
    </xf>
    <xf numFmtId="0" fontId="6" fillId="4" borderId="4" xfId="0" applyFont="1" applyFill="1" applyBorder="1" applyAlignment="1" applyProtection="1">
      <alignment horizontal="center" vertical="top" wrapText="1" readingOrder="1"/>
      <protection locked="0"/>
    </xf>
    <xf numFmtId="0" fontId="6" fillId="5" borderId="2" xfId="0" applyFont="1" applyFill="1" applyBorder="1" applyAlignment="1" applyProtection="1">
      <alignment horizontal="left" vertical="top" wrapText="1" readingOrder="1"/>
      <protection locked="0"/>
    </xf>
    <xf numFmtId="0" fontId="6" fillId="5" borderId="4" xfId="0" applyFont="1" applyFill="1" applyBorder="1" applyAlignment="1" applyProtection="1">
      <alignment horizontal="center" vertical="top" wrapText="1" readingOrder="1"/>
      <protection locked="0"/>
    </xf>
    <xf numFmtId="0" fontId="6" fillId="0" borderId="1" xfId="0" applyFont="1" applyBorder="1" applyAlignment="1" applyProtection="1">
      <alignment horizontal="left" vertical="top" wrapText="1" readingOrder="1"/>
      <protection locked="0"/>
    </xf>
    <xf numFmtId="0" fontId="6" fillId="0" borderId="2" xfId="0" applyFont="1" applyBorder="1" applyAlignment="1" applyProtection="1">
      <alignment horizontal="left" vertical="top" wrapText="1" readingOrder="1"/>
      <protection locked="0"/>
    </xf>
    <xf numFmtId="0" fontId="6" fillId="0" borderId="2" xfId="0" applyFont="1" applyBorder="1" applyAlignment="1" applyProtection="1">
      <alignment horizontal="center" vertical="top" readingOrder="1"/>
      <protection locked="0"/>
    </xf>
    <xf numFmtId="0" fontId="6" fillId="7" borderId="2" xfId="0" applyFont="1" applyFill="1" applyBorder="1" applyAlignment="1" applyProtection="1">
      <alignment horizontal="center" vertical="top" readingOrder="1"/>
      <protection locked="0"/>
    </xf>
    <xf numFmtId="0" fontId="6" fillId="2" borderId="2" xfId="0" applyFont="1" applyFill="1" applyBorder="1" applyAlignment="1" applyProtection="1">
      <alignment horizontal="left" vertical="top" wrapText="1" readingOrder="1"/>
      <protection locked="0"/>
    </xf>
    <xf numFmtId="0" fontId="6" fillId="2" borderId="4" xfId="0" applyFont="1" applyFill="1" applyBorder="1" applyAlignment="1" applyProtection="1">
      <alignment horizontal="left" vertical="top" wrapText="1" readingOrder="1"/>
      <protection locked="0"/>
    </xf>
    <xf numFmtId="0" fontId="6" fillId="6" borderId="2" xfId="0" applyFont="1" applyFill="1" applyBorder="1" applyAlignment="1" applyProtection="1">
      <alignment horizontal="center" vertical="top" readingOrder="1"/>
      <protection locked="0"/>
    </xf>
    <xf numFmtId="0" fontId="6" fillId="0" borderId="4" xfId="0" applyFont="1" applyBorder="1" applyAlignment="1" applyProtection="1">
      <alignment horizontal="left" vertical="top" wrapText="1" readingOrder="1"/>
      <protection locked="0"/>
    </xf>
    <xf numFmtId="0" fontId="6" fillId="0" borderId="9" xfId="0" applyFont="1" applyBorder="1" applyAlignment="1" applyProtection="1">
      <alignment horizontal="center" vertical="top" wrapText="1" readingOrder="1"/>
      <protection locked="0"/>
    </xf>
    <xf numFmtId="0" fontId="6" fillId="0" borderId="5" xfId="0" applyFont="1" applyBorder="1" applyAlignment="1" applyProtection="1">
      <alignment horizontal="center" vertical="top" wrapText="1" readingOrder="1"/>
      <protection locked="0"/>
    </xf>
    <xf numFmtId="0" fontId="6" fillId="0" borderId="5" xfId="0" applyFont="1" applyBorder="1" applyAlignment="1" applyProtection="1">
      <alignment horizontal="left" vertical="top" wrapText="1" readingOrder="1"/>
      <protection locked="0"/>
    </xf>
    <xf numFmtId="0" fontId="6" fillId="0" borderId="5" xfId="0" applyFont="1" applyBorder="1" applyAlignment="1" applyProtection="1">
      <alignment horizontal="center" vertical="top" readingOrder="1"/>
      <protection locked="0"/>
    </xf>
    <xf numFmtId="0" fontId="6" fillId="6" borderId="5" xfId="0" applyFont="1" applyFill="1" applyBorder="1" applyAlignment="1" applyProtection="1">
      <alignment horizontal="center" vertical="top" readingOrder="1"/>
      <protection locked="0"/>
    </xf>
    <xf numFmtId="0" fontId="6" fillId="0" borderId="11" xfId="0" applyFont="1" applyBorder="1" applyAlignment="1" applyProtection="1">
      <alignment horizontal="center" vertical="top" wrapText="1" readingOrder="1"/>
      <protection locked="0"/>
    </xf>
    <xf numFmtId="0" fontId="6" fillId="5" borderId="2" xfId="0" applyFont="1" applyFill="1" applyBorder="1" applyAlignment="1" applyProtection="1">
      <alignment horizontal="center" vertical="top" wrapText="1" readingOrder="1"/>
      <protection locked="0"/>
    </xf>
    <xf numFmtId="0" fontId="4" fillId="0" borderId="0" xfId="0" applyFont="1" applyBorder="1" applyAlignment="1" applyProtection="1">
      <alignment horizontal="center" vertical="top" wrapText="1" readingOrder="1"/>
      <protection locked="0"/>
    </xf>
    <xf numFmtId="0" fontId="1" fillId="0" borderId="0" xfId="1" applyFont="1" applyBorder="1" applyAlignment="1" applyProtection="1">
      <alignment horizontal="left" wrapText="1"/>
    </xf>
    <xf numFmtId="0" fontId="4" fillId="0" borderId="0" xfId="1" applyFont="1" applyBorder="1" applyAlignment="1" applyProtection="1">
      <alignment horizontal="center"/>
    </xf>
    <xf numFmtId="0" fontId="12" fillId="0" borderId="1" xfId="1" applyFont="1" applyBorder="1" applyAlignment="1" applyProtection="1">
      <alignment horizontal="center" vertical="center" wrapText="1" readingOrder="1"/>
    </xf>
    <xf numFmtId="0" fontId="12" fillId="0" borderId="2" xfId="1" applyFont="1" applyBorder="1" applyAlignment="1" applyProtection="1">
      <alignment horizontal="center" vertical="center" wrapText="1" readingOrder="1"/>
    </xf>
    <xf numFmtId="0" fontId="12" fillId="0" borderId="2" xfId="1" applyFont="1" applyBorder="1" applyAlignment="1" applyProtection="1">
      <alignment horizontal="center" textRotation="90" wrapText="1" readingOrder="1"/>
    </xf>
    <xf numFmtId="0" fontId="12" fillId="0" borderId="3" xfId="1" applyFont="1" applyBorder="1" applyAlignment="1" applyProtection="1">
      <alignment horizontal="center" wrapText="1" readingOrder="1"/>
    </xf>
    <xf numFmtId="0" fontId="12" fillId="0" borderId="2" xfId="1" applyFont="1" applyBorder="1" applyAlignment="1" applyProtection="1">
      <alignment horizontal="center" wrapText="1" readingOrder="1"/>
    </xf>
    <xf numFmtId="0" fontId="12" fillId="0" borderId="4" xfId="1" applyFont="1" applyBorder="1" applyAlignment="1" applyProtection="1">
      <alignment horizontal="center" vertical="center" wrapText="1" readingOrder="1"/>
    </xf>
    <xf numFmtId="0" fontId="12" fillId="0" borderId="5" xfId="1" applyFont="1" applyBorder="1" applyAlignment="1" applyProtection="1">
      <alignment horizontal="center" vertical="center" wrapText="1" readingOrder="1"/>
    </xf>
    <xf numFmtId="0" fontId="12" fillId="0" borderId="5" xfId="1" applyFont="1" applyBorder="1" applyAlignment="1" applyProtection="1">
      <alignment horizontal="center" textRotation="90" wrapText="1" readingOrder="1"/>
    </xf>
    <xf numFmtId="0" fontId="13" fillId="0" borderId="5" xfId="1" applyFont="1" applyBorder="1" applyAlignment="1" applyProtection="1">
      <alignment horizontal="center" textRotation="90" wrapText="1" readingOrder="1"/>
    </xf>
    <xf numFmtId="0" fontId="6" fillId="3" borderId="2" xfId="1" applyFont="1" applyFill="1" applyBorder="1" applyAlignment="1" applyProtection="1">
      <alignment horizontal="left" vertical="top" wrapText="1" readingOrder="1"/>
      <protection locked="0"/>
    </xf>
    <xf numFmtId="0" fontId="6" fillId="3" borderId="4" xfId="1" applyFont="1" applyFill="1" applyBorder="1" applyAlignment="1" applyProtection="1">
      <alignment horizontal="center" vertical="top" readingOrder="1"/>
      <protection locked="0"/>
    </xf>
    <xf numFmtId="0" fontId="6" fillId="4" borderId="2" xfId="1" applyFont="1" applyFill="1" applyBorder="1" applyAlignment="1" applyProtection="1">
      <alignment horizontal="left" vertical="top" wrapText="1" readingOrder="1"/>
      <protection locked="0"/>
    </xf>
    <xf numFmtId="0" fontId="6" fillId="4" borderId="4" xfId="1" applyFont="1" applyFill="1" applyBorder="1" applyAlignment="1" applyProtection="1">
      <alignment horizontal="center" vertical="top" readingOrder="1"/>
      <protection locked="0"/>
    </xf>
    <xf numFmtId="0" fontId="6" fillId="5" borderId="2" xfId="1" applyFont="1" applyFill="1" applyBorder="1" applyAlignment="1" applyProtection="1">
      <alignment horizontal="left" vertical="top" wrapText="1" readingOrder="1"/>
      <protection locked="0"/>
    </xf>
    <xf numFmtId="0" fontId="6" fillId="5" borderId="4" xfId="1" applyFont="1" applyFill="1" applyBorder="1" applyAlignment="1" applyProtection="1">
      <alignment horizontal="center" vertical="top" readingOrder="1"/>
      <protection locked="0"/>
    </xf>
    <xf numFmtId="0" fontId="6" fillId="6" borderId="2" xfId="1" applyFont="1" applyFill="1" applyBorder="1" applyAlignment="1" applyProtection="1">
      <alignment horizontal="center" vertical="top" readingOrder="1"/>
      <protection locked="0"/>
    </xf>
    <xf numFmtId="0" fontId="6" fillId="0" borderId="2" xfId="1" applyFont="1" applyBorder="1" applyAlignment="1" applyProtection="1">
      <alignment horizontal="left" vertical="top" wrapText="1" readingOrder="1"/>
      <protection locked="0"/>
    </xf>
    <xf numFmtId="0" fontId="6" fillId="0" borderId="4" xfId="1" applyFont="1" applyBorder="1" applyAlignment="1" applyProtection="1">
      <alignment horizontal="left" vertical="top" wrapText="1" readingOrder="1"/>
      <protection locked="0"/>
    </xf>
    <xf numFmtId="0" fontId="6" fillId="0" borderId="1" xfId="1" applyFont="1" applyBorder="1" applyAlignment="1" applyProtection="1">
      <alignment horizontal="left" vertical="top" wrapText="1" readingOrder="1"/>
      <protection locked="0"/>
    </xf>
    <xf numFmtId="0" fontId="6" fillId="0" borderId="2" xfId="1" applyFont="1" applyBorder="1" applyAlignment="1" applyProtection="1">
      <alignment horizontal="center" vertical="top" readingOrder="1"/>
      <protection locked="0"/>
    </xf>
    <xf numFmtId="0" fontId="1" fillId="0" borderId="2" xfId="1" applyFont="1" applyBorder="1" applyAlignment="1" applyProtection="1">
      <alignment horizontal="left" vertical="top" wrapText="1" readingOrder="1"/>
      <protection locked="0"/>
    </xf>
    <xf numFmtId="0" fontId="6" fillId="5" borderId="4" xfId="1" applyFont="1" applyFill="1" applyBorder="1" applyAlignment="1" applyProtection="1">
      <alignment horizontal="center" vertical="top" wrapText="1" readingOrder="1"/>
      <protection locked="0"/>
    </xf>
    <xf numFmtId="0" fontId="6" fillId="0" borderId="5" xfId="1" applyFont="1" applyBorder="1" applyAlignment="1" applyProtection="1">
      <alignment horizontal="left" vertical="top" wrapText="1" readingOrder="1"/>
      <protection locked="0"/>
    </xf>
    <xf numFmtId="0" fontId="6" fillId="0" borderId="5" xfId="1" applyFont="1" applyBorder="1" applyAlignment="1" applyProtection="1">
      <alignment horizontal="left" vertical="top" readingOrder="1"/>
      <protection locked="0"/>
    </xf>
    <xf numFmtId="0" fontId="1" fillId="0" borderId="5" xfId="1" applyFont="1" applyBorder="1" applyAlignment="1" applyProtection="1">
      <alignment horizontal="center" vertical="top" readingOrder="1"/>
      <protection locked="0"/>
    </xf>
    <xf numFmtId="0" fontId="1" fillId="6" borderId="5" xfId="1" applyFont="1" applyFill="1" applyBorder="1" applyAlignment="1" applyProtection="1">
      <alignment horizontal="center" vertical="top" readingOrder="1"/>
      <protection locked="0"/>
    </xf>
    <xf numFmtId="0" fontId="6" fillId="0" borderId="11" xfId="1" applyFont="1" applyBorder="1" applyAlignment="1" applyProtection="1">
      <alignment horizontal="left" vertical="top" wrapText="1" readingOrder="1"/>
      <protection locked="0"/>
    </xf>
    <xf numFmtId="0" fontId="6" fillId="2" borderId="2" xfId="1" applyFont="1" applyFill="1" applyBorder="1" applyAlignment="1" applyProtection="1">
      <alignment horizontal="left" vertical="top" wrapText="1" readingOrder="1"/>
      <protection locked="0"/>
    </xf>
    <xf numFmtId="0" fontId="6" fillId="0" borderId="5" xfId="1" applyFont="1" applyBorder="1" applyAlignment="1" applyProtection="1">
      <alignment horizontal="center" vertical="top" readingOrder="1"/>
      <protection locked="0"/>
    </xf>
    <xf numFmtId="0" fontId="6" fillId="6" borderId="5" xfId="1" applyFont="1" applyFill="1" applyBorder="1" applyAlignment="1" applyProtection="1">
      <alignment horizontal="center" vertical="top" readingOrder="1"/>
      <protection locked="0"/>
    </xf>
    <xf numFmtId="0" fontId="6" fillId="4" borderId="4" xfId="1" applyFont="1" applyFill="1" applyBorder="1" applyAlignment="1" applyProtection="1">
      <alignment horizontal="center" vertical="top" wrapText="1" readingOrder="1"/>
      <protection locked="0"/>
    </xf>
    <xf numFmtId="0" fontId="6" fillId="7" borderId="5" xfId="1" applyFont="1" applyFill="1" applyBorder="1" applyAlignment="1" applyProtection="1">
      <alignment horizontal="center" vertical="top" readingOrder="1"/>
      <protection locked="0"/>
    </xf>
    <xf numFmtId="0" fontId="6" fillId="8" borderId="5" xfId="1" applyFont="1" applyFill="1" applyBorder="1" applyAlignment="1" applyProtection="1">
      <alignment horizontal="center" vertical="top" readingOrder="1"/>
      <protection locked="0"/>
    </xf>
    <xf numFmtId="0" fontId="6" fillId="8" borderId="2" xfId="1" applyFont="1" applyFill="1" applyBorder="1" applyAlignment="1" applyProtection="1">
      <alignment horizontal="center" vertical="top" readingOrder="1"/>
      <protection locked="0"/>
    </xf>
    <xf numFmtId="0" fontId="6" fillId="7" borderId="2" xfId="1" applyFont="1" applyFill="1" applyBorder="1" applyAlignment="1" applyProtection="1">
      <alignment horizontal="center" vertical="top" readingOrder="1"/>
      <protection locked="0"/>
    </xf>
    <xf numFmtId="0" fontId="4" fillId="0" borderId="0" xfId="1" applyFont="1" applyBorder="1" applyAlignment="1" applyProtection="1">
      <alignment horizontal="center" vertical="top" wrapText="1" readingOrder="1"/>
      <protection locked="0"/>
    </xf>
    <xf numFmtId="0" fontId="5" fillId="0" borderId="0" xfId="1" applyFont="1" applyBorder="1" applyAlignment="1" applyProtection="1">
      <alignment horizontal="center"/>
    </xf>
    <xf numFmtId="0" fontId="6" fillId="0" borderId="1" xfId="1" applyFont="1" applyBorder="1" applyAlignment="1" applyProtection="1">
      <alignment horizontal="center" vertical="center" wrapText="1" readingOrder="1"/>
    </xf>
    <xf numFmtId="0" fontId="6" fillId="0" borderId="2" xfId="1" applyFont="1" applyBorder="1" applyAlignment="1" applyProtection="1">
      <alignment horizontal="center" vertical="center" wrapText="1" readingOrder="1"/>
    </xf>
    <xf numFmtId="0" fontId="6" fillId="0" borderId="3" xfId="1" applyFont="1" applyBorder="1" applyAlignment="1" applyProtection="1">
      <alignment horizontal="center" vertical="center" wrapText="1" readingOrder="1"/>
    </xf>
    <xf numFmtId="0" fontId="6" fillId="0" borderId="2"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readingOrder="1"/>
    </xf>
    <xf numFmtId="0" fontId="6" fillId="2" borderId="4" xfId="1" applyFont="1" applyFill="1" applyBorder="1" applyAlignment="1" applyProtection="1">
      <alignment horizontal="left" vertical="top" wrapText="1" readingOrder="1"/>
      <protection locked="0"/>
    </xf>
    <xf numFmtId="0" fontId="6" fillId="2" borderId="15" xfId="1" applyFont="1" applyFill="1" applyBorder="1" applyAlignment="1" applyProtection="1">
      <alignment horizontal="left" vertical="top" wrapText="1" readingOrder="1"/>
      <protection locked="0"/>
    </xf>
    <xf numFmtId="0" fontId="6" fillId="2" borderId="15" xfId="1" applyFont="1" applyFill="1" applyBorder="1" applyAlignment="1" applyProtection="1">
      <alignment horizontal="center" vertical="top" readingOrder="1"/>
      <protection locked="0"/>
    </xf>
    <xf numFmtId="0" fontId="6" fillId="7" borderId="15" xfId="1" applyFont="1" applyFill="1" applyBorder="1" applyAlignment="1" applyProtection="1">
      <alignment horizontal="center" vertical="top" readingOrder="1"/>
      <protection locked="0"/>
    </xf>
    <xf numFmtId="0" fontId="6" fillId="2" borderId="16" xfId="1" applyFont="1" applyFill="1" applyBorder="1" applyAlignment="1" applyProtection="1">
      <alignment horizontal="left" vertical="top" wrapText="1" readingOrder="1"/>
      <protection locked="0"/>
    </xf>
    <xf numFmtId="0" fontId="6" fillId="5" borderId="20" xfId="1" applyFont="1" applyFill="1" applyBorder="1" applyAlignment="1" applyProtection="1">
      <alignment horizontal="center" vertical="top" wrapText="1" readingOrder="1"/>
      <protection locked="0"/>
    </xf>
    <xf numFmtId="0" fontId="6" fillId="0" borderId="11" xfId="1" applyFont="1" applyBorder="1" applyAlignment="1" applyProtection="1">
      <alignment horizontal="center" vertical="top" wrapText="1" readingOrder="1"/>
      <protection locked="0"/>
    </xf>
    <xf numFmtId="0" fontId="6" fillId="0" borderId="2" xfId="1" applyFont="1" applyBorder="1" applyAlignment="1" applyProtection="1">
      <alignment horizontal="left" vertical="top" readingOrder="1"/>
      <protection locked="0"/>
    </xf>
    <xf numFmtId="167" fontId="6" fillId="0" borderId="2" xfId="1" applyNumberFormat="1" applyFont="1" applyBorder="1" applyAlignment="1" applyProtection="1">
      <alignment horizontal="center" vertical="top" readingOrder="1"/>
    </xf>
    <xf numFmtId="0" fontId="23" fillId="0" borderId="21" xfId="1" applyBorder="1" applyAlignment="1" applyProtection="1">
      <alignment horizontal="center" wrapText="1"/>
    </xf>
    <xf numFmtId="0" fontId="6" fillId="0" borderId="2" xfId="1" applyFont="1" applyBorder="1" applyAlignment="1" applyProtection="1">
      <alignment horizontal="center" vertical="center" textRotation="90" wrapText="1" readingOrder="1"/>
    </xf>
    <xf numFmtId="0" fontId="6" fillId="0" borderId="5" xfId="1" applyFont="1" applyBorder="1" applyAlignment="1" applyProtection="1">
      <alignment horizontal="center" vertical="center" textRotation="90" wrapText="1" readingOrder="1"/>
    </xf>
    <xf numFmtId="0" fontId="6" fillId="0" borderId="5" xfId="1" applyFont="1" applyBorder="1" applyAlignment="1" applyProtection="1">
      <alignment horizontal="center" vertical="center" textRotation="90" wrapText="1"/>
    </xf>
    <xf numFmtId="0" fontId="6" fillId="3" borderId="4" xfId="1" applyFont="1" applyFill="1" applyBorder="1" applyAlignment="1" applyProtection="1">
      <alignment horizontal="center" vertical="top" wrapText="1" readingOrder="1"/>
      <protection locked="0"/>
    </xf>
    <xf numFmtId="0" fontId="6" fillId="2" borderId="5" xfId="1" applyFont="1" applyFill="1" applyBorder="1" applyAlignment="1" applyProtection="1">
      <alignment horizontal="left" vertical="top" wrapText="1" readingOrder="1"/>
      <protection locked="0"/>
    </xf>
    <xf numFmtId="0" fontId="15" fillId="0" borderId="11" xfId="1" applyFont="1" applyBorder="1" applyAlignment="1" applyProtection="1">
      <alignment horizontal="left" vertical="top" wrapText="1" readingOrder="1"/>
      <protection locked="0"/>
    </xf>
    <xf numFmtId="0" fontId="14" fillId="2" borderId="4" xfId="1" applyFont="1" applyFill="1" applyBorder="1" applyAlignment="1" applyProtection="1">
      <alignment horizontal="left" vertical="top" wrapText="1" readingOrder="1"/>
      <protection locked="0"/>
    </xf>
    <xf numFmtId="0" fontId="11" fillId="2" borderId="2" xfId="1" applyFont="1" applyFill="1" applyBorder="1" applyAlignment="1" applyProtection="1">
      <alignment horizontal="left" vertical="top" wrapText="1" readingOrder="1"/>
      <protection locked="0"/>
    </xf>
    <xf numFmtId="0" fontId="11" fillId="2" borderId="4" xfId="1" applyFont="1" applyFill="1" applyBorder="1" applyAlignment="1" applyProtection="1">
      <alignment horizontal="left" vertical="top" wrapText="1" readingOrder="1"/>
      <protection locked="0"/>
    </xf>
    <xf numFmtId="0" fontId="6" fillId="2" borderId="2" xfId="1" applyFont="1" applyFill="1" applyBorder="1" applyAlignment="1" applyProtection="1">
      <alignment horizontal="center" vertical="top" readingOrder="1"/>
      <protection locked="0"/>
    </xf>
    <xf numFmtId="0" fontId="11" fillId="0" borderId="2" xfId="1" applyFont="1" applyBorder="1" applyAlignment="1" applyProtection="1">
      <alignment horizontal="left" vertical="top" wrapText="1" readingOrder="1"/>
      <protection locked="0"/>
    </xf>
    <xf numFmtId="0" fontId="14" fillId="2" borderId="4" xfId="1" applyFont="1" applyFill="1" applyBorder="1" applyAlignment="1" applyProtection="1">
      <alignment horizontal="center" vertical="top" wrapText="1" readingOrder="1"/>
      <protection locked="0"/>
    </xf>
    <xf numFmtId="0" fontId="17" fillId="0" borderId="21" xfId="1" applyFont="1" applyBorder="1" applyAlignment="1" applyProtection="1">
      <alignment horizontal="center" vertical="center" wrapText="1"/>
    </xf>
    <xf numFmtId="0" fontId="6" fillId="0" borderId="2" xfId="1" applyFont="1" applyBorder="1" applyAlignment="1" applyProtection="1">
      <alignment horizontal="center" vertical="top" wrapText="1" readingOrder="1"/>
      <protection locked="0"/>
    </xf>
    <xf numFmtId="0" fontId="15" fillId="0" borderId="4" xfId="1" applyFont="1" applyBorder="1" applyAlignment="1" applyProtection="1">
      <alignment horizontal="left" vertical="top" wrapText="1" readingOrder="1"/>
      <protection locked="0"/>
    </xf>
    <xf numFmtId="0" fontId="4" fillId="0" borderId="1" xfId="1" applyFont="1" applyBorder="1" applyAlignment="1" applyProtection="1">
      <alignment horizontal="center" vertical="center" readingOrder="1"/>
    </xf>
    <xf numFmtId="0" fontId="4" fillId="0" borderId="2" xfId="1" applyFont="1" applyBorder="1" applyAlignment="1" applyProtection="1">
      <alignment horizontal="center" vertical="center" readingOrder="1"/>
    </xf>
    <xf numFmtId="0" fontId="4" fillId="0" borderId="2" xfId="1" applyFont="1" applyBorder="1" applyAlignment="1" applyProtection="1">
      <alignment horizontal="center" vertical="center" wrapText="1" readingOrder="1"/>
    </xf>
    <xf numFmtId="0" fontId="4" fillId="0" borderId="7" xfId="1" applyFont="1" applyBorder="1" applyAlignment="1" applyProtection="1">
      <alignment horizontal="center" vertical="center" readingOrder="1"/>
    </xf>
    <xf numFmtId="0" fontId="4" fillId="0" borderId="5" xfId="1" applyFont="1" applyBorder="1" applyAlignment="1" applyProtection="1">
      <alignment horizontal="center" vertical="center" readingOrder="1"/>
    </xf>
    <xf numFmtId="0" fontId="4" fillId="0" borderId="5" xfId="1" applyFont="1" applyBorder="1" applyAlignment="1" applyProtection="1">
      <alignment horizontal="center" vertical="center" wrapText="1" readingOrder="1"/>
    </xf>
    <xf numFmtId="0" fontId="4" fillId="0" borderId="8" xfId="1" applyFont="1" applyBorder="1" applyAlignment="1" applyProtection="1">
      <alignment horizontal="center" vertical="center" readingOrder="1"/>
    </xf>
    <xf numFmtId="0" fontId="4" fillId="0" borderId="11" xfId="1" applyFont="1" applyBorder="1" applyAlignment="1" applyProtection="1">
      <alignment horizontal="center" vertical="center" wrapText="1" readingOrder="1"/>
    </xf>
    <xf numFmtId="0" fontId="15" fillId="0" borderId="4" xfId="1" applyFont="1" applyBorder="1" applyAlignment="1" applyProtection="1">
      <alignment horizontal="center" vertical="top" wrapText="1" readingOrder="1"/>
      <protection locked="0"/>
    </xf>
    <xf numFmtId="0" fontId="6" fillId="0" borderId="5" xfId="1" applyFont="1" applyBorder="1" applyAlignment="1" applyProtection="1">
      <alignment horizontal="center" vertical="top" wrapText="1" readingOrder="1"/>
      <protection locked="0"/>
    </xf>
    <xf numFmtId="0" fontId="6" fillId="0" borderId="7" xfId="1" applyFont="1" applyBorder="1" applyAlignment="1" applyProtection="1">
      <alignment horizontal="center" vertical="center" wrapText="1" readingOrder="1"/>
    </xf>
    <xf numFmtId="0" fontId="6" fillId="0" borderId="8" xfId="1" applyFont="1" applyBorder="1" applyAlignment="1" applyProtection="1">
      <alignment horizontal="center" vertical="center" wrapText="1" readingOrder="1"/>
    </xf>
    <xf numFmtId="0" fontId="6" fillId="0" borderId="11" xfId="1" applyFont="1" applyBorder="1" applyAlignment="1" applyProtection="1">
      <alignment horizontal="center" vertical="center" wrapText="1" readingOrder="1"/>
    </xf>
    <xf numFmtId="0" fontId="11" fillId="0" borderId="2" xfId="1" applyFont="1" applyBorder="1" applyAlignment="1" applyProtection="1">
      <alignment horizontal="center" vertical="top" wrapText="1" readingOrder="1"/>
      <protection locked="0"/>
    </xf>
    <xf numFmtId="0" fontId="11" fillId="0" borderId="5" xfId="1" applyFont="1" applyBorder="1" applyAlignment="1" applyProtection="1">
      <alignment horizontal="left" vertical="top" wrapText="1" readingOrder="1"/>
      <protection locked="0"/>
    </xf>
    <xf numFmtId="0" fontId="15" fillId="0" borderId="11" xfId="1" applyFont="1" applyBorder="1" applyAlignment="1" applyProtection="1">
      <alignment horizontal="center" vertical="top" wrapText="1" readingOrder="1"/>
      <protection locked="0"/>
    </xf>
    <xf numFmtId="0" fontId="6" fillId="0" borderId="2" xfId="1" applyFont="1" applyBorder="1" applyAlignment="1" applyProtection="1">
      <alignment horizontal="center" wrapText="1" readingOrder="1"/>
    </xf>
    <xf numFmtId="0" fontId="6" fillId="0" borderId="7" xfId="1" applyFont="1" applyBorder="1" applyAlignment="1" applyProtection="1">
      <alignment horizontal="center" wrapText="1" readingOrder="1"/>
    </xf>
    <xf numFmtId="0" fontId="6" fillId="0" borderId="5" xfId="1" applyFont="1" applyBorder="1" applyAlignment="1" applyProtection="1">
      <alignment horizontal="center" wrapText="1" readingOrder="1"/>
    </xf>
    <xf numFmtId="0" fontId="6" fillId="0" borderId="8" xfId="1" applyFont="1" applyBorder="1" applyAlignment="1" applyProtection="1">
      <alignment horizontal="center" wrapText="1" readingOrder="1"/>
    </xf>
    <xf numFmtId="0" fontId="6" fillId="0" borderId="3" xfId="1" applyFont="1" applyBorder="1" applyAlignment="1" applyProtection="1">
      <alignment horizontal="center" vertical="top" readingOrder="1"/>
      <protection locked="0"/>
    </xf>
    <xf numFmtId="167" fontId="6" fillId="0" borderId="3" xfId="1" applyNumberFormat="1" applyFont="1" applyBorder="1" applyAlignment="1" applyProtection="1">
      <alignment horizontal="center" vertical="top" readingOrder="1"/>
    </xf>
    <xf numFmtId="3" fontId="6" fillId="0" borderId="5" xfId="1" applyNumberFormat="1" applyFont="1" applyBorder="1" applyAlignment="1" applyProtection="1">
      <alignment horizontal="center" vertical="top" readingOrder="1"/>
      <protection locked="0"/>
    </xf>
    <xf numFmtId="3" fontId="6" fillId="7" borderId="5" xfId="1" applyNumberFormat="1" applyFont="1" applyFill="1" applyBorder="1" applyAlignment="1" applyProtection="1">
      <alignment horizontal="center" vertical="top" readingOrder="1"/>
      <protection locked="0"/>
    </xf>
    <xf numFmtId="0" fontId="14" fillId="2" borderId="5" xfId="1" applyFont="1" applyFill="1" applyBorder="1" applyAlignment="1" applyProtection="1">
      <alignment horizontal="center" vertical="top" wrapText="1" readingOrder="1"/>
      <protection locked="0"/>
    </xf>
    <xf numFmtId="0" fontId="11" fillId="0" borderId="11" xfId="1" applyFont="1" applyBorder="1" applyAlignment="1" applyProtection="1">
      <alignment horizontal="left" vertical="top" wrapText="1" readingOrder="1"/>
      <protection locked="0"/>
    </xf>
    <xf numFmtId="0" fontId="11" fillId="2" borderId="5" xfId="1" applyFont="1" applyFill="1" applyBorder="1" applyAlignment="1" applyProtection="1">
      <alignment horizontal="left" vertical="top" wrapText="1" readingOrder="1"/>
      <protection locked="0"/>
    </xf>
    <xf numFmtId="0" fontId="6" fillId="0" borderId="1" xfId="1" applyFont="1" applyBorder="1" applyAlignment="1" applyProtection="1">
      <alignment horizontal="center" vertical="top" wrapText="1" readingOrder="1"/>
      <protection locked="0"/>
    </xf>
    <xf numFmtId="0" fontId="11" fillId="7" borderId="2" xfId="1" applyFont="1" applyFill="1" applyBorder="1" applyAlignment="1" applyProtection="1">
      <alignment horizontal="center" vertical="top" readingOrder="1"/>
      <protection locked="0"/>
    </xf>
    <xf numFmtId="0" fontId="14" fillId="2" borderId="2" xfId="1" applyFont="1" applyFill="1" applyBorder="1" applyAlignment="1" applyProtection="1">
      <alignment horizontal="center" vertical="top" wrapText="1" readingOrder="1"/>
      <protection locked="0"/>
    </xf>
    <xf numFmtId="0" fontId="6" fillId="0" borderId="4" xfId="1" applyFont="1" applyBorder="1" applyAlignment="1" applyProtection="1">
      <alignment horizontal="center" vertical="top" wrapText="1" readingOrder="1"/>
      <protection locked="0"/>
    </xf>
    <xf numFmtId="0" fontId="4" fillId="0" borderId="1" xfId="1" applyFont="1" applyBorder="1" applyAlignment="1" applyProtection="1">
      <alignment horizontal="center" vertical="center" wrapText="1" readingOrder="1"/>
    </xf>
    <xf numFmtId="3" fontId="6" fillId="6" borderId="5" xfId="1" applyNumberFormat="1" applyFont="1" applyFill="1" applyBorder="1" applyAlignment="1" applyProtection="1">
      <alignment horizontal="center" vertical="top" readingOrder="1"/>
      <protection locked="0"/>
    </xf>
    <xf numFmtId="0" fontId="15" fillId="2" borderId="4" xfId="1" applyFont="1" applyFill="1" applyBorder="1" applyAlignment="1" applyProtection="1">
      <alignment horizontal="center" vertical="top" wrapText="1" readingOrder="1"/>
      <protection locked="0"/>
    </xf>
    <xf numFmtId="0" fontId="14" fillId="0" borderId="2" xfId="1" applyFont="1" applyBorder="1" applyAlignment="1" applyProtection="1">
      <alignment horizontal="left" vertical="top" wrapText="1" readingOrder="1"/>
      <protection locked="0"/>
    </xf>
    <xf numFmtId="0" fontId="11" fillId="6" borderId="2" xfId="1" applyFont="1" applyFill="1" applyBorder="1" applyAlignment="1" applyProtection="1">
      <alignment horizontal="center" vertical="top" readingOrder="1"/>
      <protection locked="0"/>
    </xf>
    <xf numFmtId="0" fontId="6" fillId="0" borderId="16" xfId="1" applyFont="1" applyBorder="1" applyAlignment="1" applyProtection="1">
      <alignment horizontal="left" vertical="top" wrapText="1" readingOrder="1"/>
      <protection locked="0"/>
    </xf>
    <xf numFmtId="0" fontId="6" fillId="0" borderId="20" xfId="1" applyFont="1" applyBorder="1" applyAlignment="1" applyProtection="1">
      <alignment horizontal="left" vertical="top" wrapText="1" readingOrder="1"/>
      <protection locked="0"/>
    </xf>
    <xf numFmtId="0" fontId="6" fillId="2" borderId="5" xfId="1" applyFont="1" applyFill="1" applyBorder="1" applyAlignment="1" applyProtection="1">
      <alignment horizontal="center" vertical="top" readingOrder="1"/>
      <protection locked="0"/>
    </xf>
    <xf numFmtId="0" fontId="6" fillId="2" borderId="5" xfId="1" applyFont="1" applyFill="1" applyBorder="1" applyAlignment="1" applyProtection="1">
      <alignment horizontal="center" vertical="top" wrapText="1" readingOrder="1"/>
      <protection locked="0"/>
    </xf>
    <xf numFmtId="0" fontId="6" fillId="2" borderId="11" xfId="1" applyFont="1" applyFill="1" applyBorder="1" applyAlignment="1" applyProtection="1">
      <alignment horizontal="center" vertical="top" wrapText="1" readingOrder="1"/>
      <protection locked="0"/>
    </xf>
    <xf numFmtId="3" fontId="6" fillId="6" borderId="2" xfId="1" applyNumberFormat="1" applyFont="1" applyFill="1" applyBorder="1" applyAlignment="1" applyProtection="1">
      <alignment horizontal="center" vertical="top" readingOrder="1"/>
      <protection locked="0"/>
    </xf>
    <xf numFmtId="0" fontId="11" fillId="6" borderId="5" xfId="1" applyFont="1" applyFill="1" applyBorder="1" applyAlignment="1" applyProtection="1">
      <alignment horizontal="center" vertical="top" readingOrder="1"/>
      <protection locked="0"/>
    </xf>
    <xf numFmtId="0" fontId="6" fillId="2" borderId="11" xfId="1" applyFont="1" applyFill="1" applyBorder="1" applyAlignment="1" applyProtection="1">
      <alignment horizontal="left" vertical="top" wrapText="1" readingOrder="1"/>
      <protection locked="0"/>
    </xf>
    <xf numFmtId="167" fontId="6" fillId="0" borderId="2" xfId="1" applyNumberFormat="1" applyFont="1" applyBorder="1" applyAlignment="1" applyProtection="1">
      <alignment horizontal="center" vertical="top" readingOrder="1"/>
      <protection locked="0"/>
    </xf>
    <xf numFmtId="0" fontId="11" fillId="2" borderId="2" xfId="1" applyFont="1" applyFill="1" applyBorder="1" applyAlignment="1" applyProtection="1">
      <alignment horizontal="center" vertical="top" readingOrder="1"/>
      <protection locked="0"/>
    </xf>
    <xf numFmtId="0" fontId="6" fillId="0" borderId="9" xfId="1" applyFont="1" applyBorder="1" applyAlignment="1" applyProtection="1">
      <alignment horizontal="center" vertical="top" wrapText="1" readingOrder="1"/>
      <protection locked="0"/>
    </xf>
    <xf numFmtId="3" fontId="11" fillId="0" borderId="5" xfId="1" applyNumberFormat="1" applyFont="1" applyBorder="1" applyAlignment="1" applyProtection="1">
      <alignment horizontal="center" vertical="top" readingOrder="1"/>
      <protection locked="0"/>
    </xf>
    <xf numFmtId="3" fontId="11" fillId="6" borderId="5" xfId="1" applyNumberFormat="1" applyFont="1" applyFill="1" applyBorder="1" applyAlignment="1" applyProtection="1">
      <alignment horizontal="center" vertical="top" readingOrder="1"/>
      <protection locked="0"/>
    </xf>
    <xf numFmtId="3" fontId="6" fillId="0" borderId="2" xfId="1" applyNumberFormat="1" applyFont="1" applyBorder="1" applyAlignment="1" applyProtection="1">
      <alignment horizontal="center" vertical="top" readingOrder="1"/>
      <protection locked="0"/>
    </xf>
    <xf numFmtId="3" fontId="11" fillId="6" borderId="2" xfId="1" applyNumberFormat="1" applyFont="1" applyFill="1" applyBorder="1" applyAlignment="1" applyProtection="1">
      <alignment horizontal="center" vertical="top" readingOrder="1"/>
      <protection locked="0"/>
    </xf>
    <xf numFmtId="3" fontId="6" fillId="7" borderId="2" xfId="1" applyNumberFormat="1" applyFont="1" applyFill="1" applyBorder="1" applyAlignment="1" applyProtection="1">
      <alignment horizontal="center" vertical="top" readingOrder="1"/>
      <protection locked="0"/>
    </xf>
    <xf numFmtId="0" fontId="6" fillId="0" borderId="1" xfId="1" applyFont="1" applyBorder="1" applyAlignment="1" applyProtection="1">
      <alignment horizontal="center" vertical="top" readingOrder="1"/>
      <protection locked="0"/>
    </xf>
    <xf numFmtId="0" fontId="6" fillId="0" borderId="1" xfId="1" applyFont="1" applyBorder="1" applyAlignment="1" applyProtection="1">
      <alignment horizontal="left" vertical="top" readingOrder="1"/>
      <protection locked="0"/>
    </xf>
  </cellXfs>
  <cellStyles count="3">
    <cellStyle name="Excel Built-in Normal 1" xfId="2" xr:uid="{00000000-0005-0000-0000-000007000000}"/>
    <cellStyle name="Įprastas" xfId="0" builtinId="0"/>
    <cellStyle name="Įprastas 2"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AEE80"/>
      <rgbColor rgb="FFFF00FF"/>
      <rgbColor rgb="FF00FFFF"/>
      <rgbColor rgb="FF800000"/>
      <rgbColor rgb="FF008000"/>
      <rgbColor rgb="FF000080"/>
      <rgbColor rgb="FF4F6228"/>
      <rgbColor rgb="FF800080"/>
      <rgbColor rgb="FF008080"/>
      <rgbColor rgb="FFBFBFBF"/>
      <rgbColor rgb="FF4F81BD"/>
      <rgbColor rgb="FFF2F2F2"/>
      <rgbColor rgb="FF993366"/>
      <rgbColor rgb="FFFFFFCC"/>
      <rgbColor rgb="FFD8FAD4"/>
      <rgbColor rgb="FF660066"/>
      <rgbColor rgb="FFFF8080"/>
      <rgbColor rgb="FF0066CC"/>
      <rgbColor rgb="FFD9D9D9"/>
      <rgbColor rgb="FF000080"/>
      <rgbColor rgb="FFFF00FF"/>
      <rgbColor rgb="FFECEF81"/>
      <rgbColor rgb="FF00FFFF"/>
      <rgbColor rgb="FF800080"/>
      <rgbColor rgb="FF800000"/>
      <rgbColor rgb="FF008080"/>
      <rgbColor rgb="FF0000FF"/>
      <rgbColor rgb="FF00CCFF"/>
      <rgbColor rgb="FFC0E4F6"/>
      <rgbColor rgb="FFCCFFCC"/>
      <rgbColor rgb="FFF3F193"/>
      <rgbColor rgb="FFEBEBEB"/>
      <rgbColor rgb="FFDB9B99"/>
      <rgbColor rgb="FFE6B9B8"/>
      <rgbColor rgb="FFFFCCCC"/>
      <rgbColor rgb="FF3366FF"/>
      <rgbColor rgb="FF33CCCC"/>
      <rgbColor rgb="FF99CC00"/>
      <rgbColor rgb="FFFFCC00"/>
      <rgbColor rgb="FFFF9900"/>
      <rgbColor rgb="FFFF6600"/>
      <rgbColor rgb="FF595959"/>
      <rgbColor rgb="FF969696"/>
      <rgbColor rgb="FF003366"/>
      <rgbColor rgb="FF339966"/>
      <rgbColor rgb="FF003300"/>
      <rgbColor rgb="FF333300"/>
      <rgbColor rgb="FF984807"/>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01 programos vykdymas</a:t>
            </a:r>
          </a:p>
        </c:rich>
      </c:tx>
      <c:layout>
        <c:manualLayout>
          <c:xMode val="edge"/>
          <c:yMode val="edge"/>
          <c:x val="0.319129809421072"/>
          <c:y val="2.3392486748098601E-2"/>
        </c:manualLayout>
      </c:layout>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solidFill>
                <a:srgbClr val="984807"/>
              </a:solidFill>
            </a:ln>
          </c:spPr>
          <c:explosion val="6"/>
          <c:dPt>
            <c:idx val="0"/>
            <c:bubble3D val="0"/>
            <c:spPr>
              <a:solidFill>
                <a:srgbClr val="CCFFCC"/>
              </a:solidFill>
              <a:ln w="25560">
                <a:solidFill>
                  <a:srgbClr val="4F6228"/>
                </a:solidFill>
                <a:round/>
              </a:ln>
            </c:spPr>
            <c:extLst>
              <c:ext xmlns:c16="http://schemas.microsoft.com/office/drawing/2014/chart" uri="{C3380CC4-5D6E-409C-BE32-E72D297353CC}">
                <c16:uniqueId val="{00000001-1430-40BC-97BD-AC995686BD6C}"/>
              </c:ext>
            </c:extLst>
          </c:dPt>
          <c:dPt>
            <c:idx val="1"/>
            <c:bubble3D val="0"/>
            <c:explosion val="3"/>
            <c:spPr>
              <a:solidFill>
                <a:srgbClr val="FFFFCC"/>
              </a:solidFill>
              <a:ln w="25560">
                <a:solidFill>
                  <a:srgbClr val="ECEF81"/>
                </a:solidFill>
                <a:round/>
              </a:ln>
            </c:spPr>
            <c:extLst>
              <c:ext xmlns:c16="http://schemas.microsoft.com/office/drawing/2014/chart" uri="{C3380CC4-5D6E-409C-BE32-E72D297353CC}">
                <c16:uniqueId val="{00000003-1430-40BC-97BD-AC995686BD6C}"/>
              </c:ext>
            </c:extLst>
          </c:dPt>
          <c:dPt>
            <c:idx val="2"/>
            <c:bubble3D val="0"/>
            <c:spPr>
              <a:solidFill>
                <a:srgbClr val="FFCCCC"/>
              </a:solidFill>
              <a:ln w="25560">
                <a:solidFill>
                  <a:srgbClr val="DB9B99"/>
                </a:solidFill>
                <a:round/>
              </a:ln>
            </c:spPr>
            <c:extLst>
              <c:ext xmlns:c16="http://schemas.microsoft.com/office/drawing/2014/chart" uri="{C3380CC4-5D6E-409C-BE32-E72D297353CC}">
                <c16:uniqueId val="{00000005-1430-40BC-97BD-AC995686BD6C}"/>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1430-40BC-97BD-AC995686BD6C}"/>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1430-40BC-97BD-AC995686BD6C}"/>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1430-40BC-97BD-AC995686BD6C}"/>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'01_programa_ataskaita'!$L$47:$L$49</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'01_programa_ataskaita'!$M$47:$M$49</c:f>
              <c:numCache>
                <c:formatCode>General</c:formatCode>
                <c:ptCount val="3"/>
                <c:pt idx="0">
                  <c:v>5</c:v>
                </c:pt>
                <c:pt idx="1">
                  <c:v>3</c:v>
                </c:pt>
                <c:pt idx="2">
                  <c:v>3</c:v>
                </c:pt>
              </c:numCache>
            </c:numRef>
          </c:val>
          <c:extLst>
            <c:ext xmlns:c16="http://schemas.microsoft.com/office/drawing/2014/chart" uri="{C3380CC4-5D6E-409C-BE32-E72D297353CC}">
              <c16:uniqueId val="{00000006-1430-40BC-97BD-AC995686BD6C}"/>
            </c:ext>
          </c:extLst>
        </c:ser>
        <c:dLbls>
          <c:showLegendKey val="0"/>
          <c:showVal val="0"/>
          <c:showCatName val="0"/>
          <c:showSerName val="0"/>
          <c:showPercent val="0"/>
          <c:showBubbleSize val="0"/>
          <c:showLeaderLines val="0"/>
        </c:dLbls>
      </c:pie3DChart>
    </c:plotArea>
    <c:legend>
      <c:legendPos val="r"/>
      <c:overlay val="0"/>
      <c:spPr>
        <a:solidFill>
          <a:srgbClr val="F2F2F2"/>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10 programos vydymas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dPt>
            <c:idx val="0"/>
            <c:bubble3D val="0"/>
            <c:explosion val="4"/>
            <c:spPr>
              <a:solidFill>
                <a:srgbClr val="CCFFCC"/>
              </a:solidFill>
              <a:ln w="25560">
                <a:solidFill>
                  <a:srgbClr val="4F6228"/>
                </a:solidFill>
                <a:round/>
              </a:ln>
            </c:spPr>
            <c:extLst>
              <c:ext xmlns:c16="http://schemas.microsoft.com/office/drawing/2014/chart" uri="{C3380CC4-5D6E-409C-BE32-E72D297353CC}">
                <c16:uniqueId val="{00000001-A43C-4E0A-B54A-6ED2BE63A0EA}"/>
              </c:ext>
            </c:extLst>
          </c:dPt>
          <c:dPt>
            <c:idx val="1"/>
            <c:bubble3D val="0"/>
            <c:explosion val="8"/>
            <c:spPr>
              <a:solidFill>
                <a:srgbClr val="FFFFCC"/>
              </a:solidFill>
              <a:ln w="25560">
                <a:solidFill>
                  <a:srgbClr val="ECEF81"/>
                </a:solidFill>
                <a:round/>
              </a:ln>
            </c:spPr>
            <c:extLst>
              <c:ext xmlns:c16="http://schemas.microsoft.com/office/drawing/2014/chart" uri="{C3380CC4-5D6E-409C-BE32-E72D297353CC}">
                <c16:uniqueId val="{00000003-A43C-4E0A-B54A-6ED2BE63A0EA}"/>
              </c:ext>
            </c:extLst>
          </c:dPt>
          <c:dPt>
            <c:idx val="2"/>
            <c:bubble3D val="0"/>
            <c:explosion val="16"/>
            <c:spPr>
              <a:solidFill>
                <a:srgbClr val="FFCCCC"/>
              </a:solidFill>
              <a:ln w="25560">
                <a:solidFill>
                  <a:srgbClr val="DB9B99"/>
                </a:solidFill>
                <a:round/>
              </a:ln>
            </c:spPr>
            <c:extLst>
              <c:ext xmlns:c16="http://schemas.microsoft.com/office/drawing/2014/chart" uri="{C3380CC4-5D6E-409C-BE32-E72D297353CC}">
                <c16:uniqueId val="{00000005-A43C-4E0A-B54A-6ED2BE63A0EA}"/>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A43C-4E0A-B54A-6ED2BE63A0EA}"/>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A43C-4E0A-B54A-6ED2BE63A0EA}"/>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A43C-4E0A-B54A-6ED2BE63A0EA}"/>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'10_programa_ataskaita'!$L$139:$L$141</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'10_programa_ataskaita'!$M$139:$M$141</c:f>
              <c:numCache>
                <c:formatCode>General</c:formatCode>
                <c:ptCount val="3"/>
                <c:pt idx="0">
                  <c:v>34</c:v>
                </c:pt>
                <c:pt idx="1">
                  <c:v>5</c:v>
                </c:pt>
                <c:pt idx="2">
                  <c:v>2</c:v>
                </c:pt>
              </c:numCache>
            </c:numRef>
          </c:val>
          <c:extLst>
            <c:ext xmlns:c16="http://schemas.microsoft.com/office/drawing/2014/chart" uri="{C3380CC4-5D6E-409C-BE32-E72D297353CC}">
              <c16:uniqueId val="{00000006-A43C-4E0A-B54A-6ED2BE63A0EA}"/>
            </c:ext>
          </c:extLst>
        </c:ser>
        <c:dLbls>
          <c:showLegendKey val="0"/>
          <c:showVal val="0"/>
          <c:showCatName val="0"/>
          <c:showSerName val="0"/>
          <c:showPercent val="0"/>
          <c:showBubbleSize val="0"/>
          <c:showLeaderLines val="0"/>
        </c:dLbls>
      </c:pie3DChart>
    </c:plotArea>
    <c:legend>
      <c:legendPos val="r"/>
      <c:overlay val="0"/>
      <c:spPr>
        <a:solidFill>
          <a:srgbClr val="F2F2F2">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11 programos vykdymas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explosion val="5"/>
          <c:dPt>
            <c:idx val="0"/>
            <c:bubble3D val="0"/>
            <c:spPr>
              <a:solidFill>
                <a:srgbClr val="CCFFCC"/>
              </a:solidFill>
              <a:ln w="25560">
                <a:solidFill>
                  <a:srgbClr val="4F6228"/>
                </a:solidFill>
                <a:round/>
              </a:ln>
            </c:spPr>
            <c:extLst>
              <c:ext xmlns:c16="http://schemas.microsoft.com/office/drawing/2014/chart" uri="{C3380CC4-5D6E-409C-BE32-E72D297353CC}">
                <c16:uniqueId val="{00000001-D620-4358-A5D2-ED168F0FAECD}"/>
              </c:ext>
            </c:extLst>
          </c:dPt>
          <c:dPt>
            <c:idx val="1"/>
            <c:bubble3D val="0"/>
            <c:spPr>
              <a:solidFill>
                <a:srgbClr val="FFFFCC"/>
              </a:solidFill>
              <a:ln w="25560">
                <a:solidFill>
                  <a:srgbClr val="ECEF81"/>
                </a:solidFill>
                <a:round/>
              </a:ln>
            </c:spPr>
            <c:extLst>
              <c:ext xmlns:c16="http://schemas.microsoft.com/office/drawing/2014/chart" uri="{C3380CC4-5D6E-409C-BE32-E72D297353CC}">
                <c16:uniqueId val="{00000003-D620-4358-A5D2-ED168F0FAECD}"/>
              </c:ext>
            </c:extLst>
          </c:dPt>
          <c:dPt>
            <c:idx val="2"/>
            <c:bubble3D val="0"/>
            <c:explosion val="10"/>
            <c:spPr>
              <a:solidFill>
                <a:srgbClr val="FFCCCC"/>
              </a:solidFill>
              <a:ln w="25560">
                <a:solidFill>
                  <a:srgbClr val="DB9B99"/>
                </a:solidFill>
                <a:round/>
              </a:ln>
            </c:spPr>
            <c:extLst>
              <c:ext xmlns:c16="http://schemas.microsoft.com/office/drawing/2014/chart" uri="{C3380CC4-5D6E-409C-BE32-E72D297353CC}">
                <c16:uniqueId val="{00000005-D620-4358-A5D2-ED168F0FAECD}"/>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D620-4358-A5D2-ED168F0FAECD}"/>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D620-4358-A5D2-ED168F0FAECD}"/>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D620-4358-A5D2-ED168F0FAECD}"/>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'11_programa_ataskaita'!$L$104:$L$106</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'11_programa_ataskaita'!$M$104:$M$106</c:f>
              <c:numCache>
                <c:formatCode>General</c:formatCode>
                <c:ptCount val="3"/>
                <c:pt idx="0">
                  <c:v>28</c:v>
                </c:pt>
                <c:pt idx="1">
                  <c:v>8</c:v>
                </c:pt>
                <c:pt idx="2">
                  <c:v>2</c:v>
                </c:pt>
              </c:numCache>
            </c:numRef>
          </c:val>
          <c:extLst>
            <c:ext xmlns:c16="http://schemas.microsoft.com/office/drawing/2014/chart" uri="{C3380CC4-5D6E-409C-BE32-E72D297353CC}">
              <c16:uniqueId val="{00000006-D620-4358-A5D2-ED168F0FAECD}"/>
            </c:ext>
          </c:extLst>
        </c:ser>
        <c:dLbls>
          <c:showLegendKey val="0"/>
          <c:showVal val="0"/>
          <c:showCatName val="0"/>
          <c:showSerName val="0"/>
          <c:showPercent val="0"/>
          <c:showBubbleSize val="0"/>
          <c:showLeaderLines val="0"/>
        </c:dLbls>
      </c:pie3DChart>
    </c:plotArea>
    <c:legend>
      <c:legendPos val="r"/>
      <c:overlay val="0"/>
      <c:spPr>
        <a:solidFill>
          <a:srgbClr val="FFFFFF">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02 programos vykdymas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w="25560">
              <a:noFill/>
            </a:ln>
          </c:spPr>
          <c:dPt>
            <c:idx val="0"/>
            <c:bubble3D val="0"/>
            <c:explosion val="2"/>
            <c:spPr>
              <a:solidFill>
                <a:srgbClr val="CCFFCC"/>
              </a:solidFill>
              <a:ln w="25560">
                <a:solidFill>
                  <a:srgbClr val="4F6228"/>
                </a:solidFill>
                <a:round/>
              </a:ln>
            </c:spPr>
            <c:extLst>
              <c:ext xmlns:c16="http://schemas.microsoft.com/office/drawing/2014/chart" uri="{C3380CC4-5D6E-409C-BE32-E72D297353CC}">
                <c16:uniqueId val="{00000001-028D-4C70-BA13-C69377C8F391}"/>
              </c:ext>
            </c:extLst>
          </c:dPt>
          <c:dPt>
            <c:idx val="1"/>
            <c:bubble3D val="0"/>
            <c:explosion val="5"/>
            <c:spPr>
              <a:solidFill>
                <a:srgbClr val="FFFFCC"/>
              </a:solidFill>
              <a:ln w="25560">
                <a:solidFill>
                  <a:srgbClr val="F3F193"/>
                </a:solidFill>
                <a:round/>
              </a:ln>
            </c:spPr>
            <c:extLst>
              <c:ext xmlns:c16="http://schemas.microsoft.com/office/drawing/2014/chart" uri="{C3380CC4-5D6E-409C-BE32-E72D297353CC}">
                <c16:uniqueId val="{00000003-028D-4C70-BA13-C69377C8F391}"/>
              </c:ext>
            </c:extLst>
          </c:dPt>
          <c:dPt>
            <c:idx val="2"/>
            <c:bubble3D val="0"/>
            <c:explosion val="7"/>
            <c:spPr>
              <a:solidFill>
                <a:srgbClr val="FFCCCC"/>
              </a:solidFill>
              <a:ln w="25560">
                <a:solidFill>
                  <a:srgbClr val="E6B9B8"/>
                </a:solidFill>
                <a:round/>
              </a:ln>
            </c:spPr>
            <c:extLst>
              <c:ext xmlns:c16="http://schemas.microsoft.com/office/drawing/2014/chart" uri="{C3380CC4-5D6E-409C-BE32-E72D297353CC}">
                <c16:uniqueId val="{00000005-028D-4C70-BA13-C69377C8F391}"/>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028D-4C70-BA13-C69377C8F391}"/>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028D-4C70-BA13-C69377C8F391}"/>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028D-4C70-BA13-C69377C8F391}"/>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'02_programa_ataskaita'!$L$60:$L$62</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'02_programa_ataskaita'!$M$60:$M$62</c:f>
              <c:numCache>
                <c:formatCode>General</c:formatCode>
                <c:ptCount val="3"/>
                <c:pt idx="0">
                  <c:v>4</c:v>
                </c:pt>
                <c:pt idx="1">
                  <c:v>5</c:v>
                </c:pt>
                <c:pt idx="2">
                  <c:v>2</c:v>
                </c:pt>
              </c:numCache>
            </c:numRef>
          </c:val>
          <c:extLst>
            <c:ext xmlns:c16="http://schemas.microsoft.com/office/drawing/2014/chart" uri="{C3380CC4-5D6E-409C-BE32-E72D297353CC}">
              <c16:uniqueId val="{00000006-028D-4C70-BA13-C69377C8F391}"/>
            </c:ext>
          </c:extLst>
        </c:ser>
        <c:dLbls>
          <c:showLegendKey val="0"/>
          <c:showVal val="0"/>
          <c:showCatName val="0"/>
          <c:showSerName val="0"/>
          <c:showPercent val="0"/>
          <c:showBubbleSize val="0"/>
          <c:showLeaderLines val="0"/>
        </c:dLbls>
      </c:pie3DChart>
    </c:plotArea>
    <c:legend>
      <c:legendPos val="r"/>
      <c:layout>
        <c:manualLayout>
          <c:xMode val="edge"/>
          <c:yMode val="edge"/>
          <c:x val="0.65674190039820102"/>
          <c:y val="0.20390312883901701"/>
          <c:w val="0.32786731609579001"/>
          <c:h val="0.71853708463361199"/>
        </c:manualLayout>
      </c:layout>
      <c:overlay val="0"/>
      <c:spPr>
        <a:solidFill>
          <a:srgbClr val="F2F2F2"/>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BFBFBF"/>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03 programos vydymas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explosion val="10"/>
          <c:dPt>
            <c:idx val="0"/>
            <c:bubble3D val="0"/>
            <c:explosion val="1"/>
            <c:spPr>
              <a:solidFill>
                <a:srgbClr val="CCFFCC"/>
              </a:solidFill>
              <a:ln w="25560">
                <a:solidFill>
                  <a:srgbClr val="4F6228"/>
                </a:solidFill>
                <a:round/>
              </a:ln>
            </c:spPr>
            <c:extLst>
              <c:ext xmlns:c16="http://schemas.microsoft.com/office/drawing/2014/chart" uri="{C3380CC4-5D6E-409C-BE32-E72D297353CC}">
                <c16:uniqueId val="{00000001-1E67-4B05-946C-2B2D35A35BF3}"/>
              </c:ext>
            </c:extLst>
          </c:dPt>
          <c:dPt>
            <c:idx val="1"/>
            <c:bubble3D val="0"/>
            <c:spPr>
              <a:solidFill>
                <a:srgbClr val="FFFFCC"/>
              </a:solidFill>
              <a:ln w="25560">
                <a:solidFill>
                  <a:srgbClr val="ECEF81"/>
                </a:solidFill>
                <a:round/>
              </a:ln>
            </c:spPr>
            <c:extLst>
              <c:ext xmlns:c16="http://schemas.microsoft.com/office/drawing/2014/chart" uri="{C3380CC4-5D6E-409C-BE32-E72D297353CC}">
                <c16:uniqueId val="{00000003-1E67-4B05-946C-2B2D35A35BF3}"/>
              </c:ext>
            </c:extLst>
          </c:dPt>
          <c:dPt>
            <c:idx val="2"/>
            <c:bubble3D val="0"/>
            <c:spPr>
              <a:solidFill>
                <a:srgbClr val="FFCCCC"/>
              </a:solidFill>
              <a:ln w="25560">
                <a:solidFill>
                  <a:srgbClr val="DB9B99"/>
                </a:solidFill>
                <a:round/>
              </a:ln>
            </c:spPr>
            <c:extLst>
              <c:ext xmlns:c16="http://schemas.microsoft.com/office/drawing/2014/chart" uri="{C3380CC4-5D6E-409C-BE32-E72D297353CC}">
                <c16:uniqueId val="{00000005-1E67-4B05-946C-2B2D35A35BF3}"/>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1E67-4B05-946C-2B2D35A35BF3}"/>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1E67-4B05-946C-2B2D35A35BF3}"/>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1E67-4B05-946C-2B2D35A35BF3}"/>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'03_programa_ataskaita'!$L$79:$L$81</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'03_programa_ataskaita'!$M$79:$M$81</c:f>
              <c:numCache>
                <c:formatCode>General</c:formatCode>
                <c:ptCount val="3"/>
                <c:pt idx="0">
                  <c:v>13</c:v>
                </c:pt>
                <c:pt idx="1">
                  <c:v>6</c:v>
                </c:pt>
                <c:pt idx="2">
                  <c:v>2</c:v>
                </c:pt>
              </c:numCache>
            </c:numRef>
          </c:val>
          <c:extLst>
            <c:ext xmlns:c16="http://schemas.microsoft.com/office/drawing/2014/chart" uri="{C3380CC4-5D6E-409C-BE32-E72D297353CC}">
              <c16:uniqueId val="{00000006-1E67-4B05-946C-2B2D35A35BF3}"/>
            </c:ext>
          </c:extLst>
        </c:ser>
        <c:dLbls>
          <c:showLegendKey val="0"/>
          <c:showVal val="0"/>
          <c:showCatName val="0"/>
          <c:showSerName val="0"/>
          <c:showPercent val="0"/>
          <c:showBubbleSize val="0"/>
          <c:showLeaderLines val="0"/>
        </c:dLbls>
      </c:pie3DChart>
    </c:plotArea>
    <c:legend>
      <c:legendPos val="r"/>
      <c:overlay val="0"/>
      <c:spPr>
        <a:solidFill>
          <a:srgbClr val="FFFFFF">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04 programos vydymas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explosion val="8"/>
          <c:dPt>
            <c:idx val="0"/>
            <c:bubble3D val="0"/>
            <c:explosion val="6"/>
            <c:spPr>
              <a:solidFill>
                <a:srgbClr val="CCFFCC"/>
              </a:solidFill>
              <a:ln w="25560">
                <a:solidFill>
                  <a:srgbClr val="4F6228"/>
                </a:solidFill>
                <a:round/>
              </a:ln>
            </c:spPr>
            <c:extLst>
              <c:ext xmlns:c16="http://schemas.microsoft.com/office/drawing/2014/chart" uri="{C3380CC4-5D6E-409C-BE32-E72D297353CC}">
                <c16:uniqueId val="{00000001-0267-4E65-974A-5E03C7CFBC0A}"/>
              </c:ext>
            </c:extLst>
          </c:dPt>
          <c:dPt>
            <c:idx val="1"/>
            <c:bubble3D val="0"/>
            <c:spPr>
              <a:solidFill>
                <a:srgbClr val="FFFFCC"/>
              </a:solidFill>
              <a:ln w="25560">
                <a:solidFill>
                  <a:srgbClr val="ECEF81"/>
                </a:solidFill>
                <a:round/>
              </a:ln>
            </c:spPr>
            <c:extLst>
              <c:ext xmlns:c16="http://schemas.microsoft.com/office/drawing/2014/chart" uri="{C3380CC4-5D6E-409C-BE32-E72D297353CC}">
                <c16:uniqueId val="{00000003-0267-4E65-974A-5E03C7CFBC0A}"/>
              </c:ext>
            </c:extLst>
          </c:dPt>
          <c:dPt>
            <c:idx val="2"/>
            <c:bubble3D val="0"/>
            <c:explosion val="4"/>
            <c:spPr>
              <a:solidFill>
                <a:srgbClr val="FFCCCC"/>
              </a:solidFill>
              <a:ln w="25560">
                <a:solidFill>
                  <a:srgbClr val="DB9B99"/>
                </a:solidFill>
                <a:round/>
              </a:ln>
            </c:spPr>
            <c:extLst>
              <c:ext xmlns:c16="http://schemas.microsoft.com/office/drawing/2014/chart" uri="{C3380CC4-5D6E-409C-BE32-E72D297353CC}">
                <c16:uniqueId val="{00000005-0267-4E65-974A-5E03C7CFBC0A}"/>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0267-4E65-974A-5E03C7CFBC0A}"/>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0267-4E65-974A-5E03C7CFBC0A}"/>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0267-4E65-974A-5E03C7CFBC0A}"/>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'04_programa_ataskaita'!$L$110:$L$112</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'04_programa_ataskaita'!$M$110:$M$112</c:f>
              <c:numCache>
                <c:formatCode>General</c:formatCode>
                <c:ptCount val="3"/>
                <c:pt idx="0">
                  <c:v>12</c:v>
                </c:pt>
                <c:pt idx="1">
                  <c:v>7</c:v>
                </c:pt>
                <c:pt idx="2">
                  <c:v>4</c:v>
                </c:pt>
              </c:numCache>
            </c:numRef>
          </c:val>
          <c:extLst>
            <c:ext xmlns:c16="http://schemas.microsoft.com/office/drawing/2014/chart" uri="{C3380CC4-5D6E-409C-BE32-E72D297353CC}">
              <c16:uniqueId val="{00000006-0267-4E65-974A-5E03C7CFBC0A}"/>
            </c:ext>
          </c:extLst>
        </c:ser>
        <c:dLbls>
          <c:showLegendKey val="0"/>
          <c:showVal val="0"/>
          <c:showCatName val="0"/>
          <c:showSerName val="0"/>
          <c:showPercent val="0"/>
          <c:showBubbleSize val="0"/>
          <c:showLeaderLines val="0"/>
        </c:dLbls>
      </c:pie3DChart>
    </c:plotArea>
    <c:legend>
      <c:legendPos val="r"/>
      <c:layout>
        <c:manualLayout>
          <c:xMode val="edge"/>
          <c:yMode val="edge"/>
          <c:x val="0.64457634030805899"/>
          <c:y val="0.26291902465724198"/>
          <c:w val="0.33948740471186101"/>
          <c:h val="0.53879507482038502"/>
        </c:manualLayout>
      </c:layout>
      <c:overlay val="0"/>
      <c:spPr>
        <a:solidFill>
          <a:srgbClr val="FFFFFF">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en-US" sz="1400" b="1" strike="noStrike" spc="-1">
                <a:solidFill>
                  <a:srgbClr val="000000"/>
                </a:solidFill>
                <a:latin typeface="Times New Roman"/>
              </a:defRPr>
            </a:pPr>
            <a:r>
              <a:rPr lang="en-US" sz="1400" b="1" strike="noStrike" spc="-1">
                <a:solidFill>
                  <a:srgbClr val="000000"/>
                </a:solidFill>
                <a:latin typeface="Times New Roman"/>
              </a:rPr>
              <a:t>05 programos vykdymas </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dPt>
            <c:idx val="0"/>
            <c:bubble3D val="0"/>
            <c:explosion val="7"/>
            <c:spPr>
              <a:solidFill>
                <a:srgbClr val="CCFFCC"/>
              </a:solidFill>
              <a:ln w="25560">
                <a:solidFill>
                  <a:srgbClr val="4F6228"/>
                </a:solidFill>
                <a:round/>
              </a:ln>
            </c:spPr>
            <c:extLst>
              <c:ext xmlns:c16="http://schemas.microsoft.com/office/drawing/2014/chart" uri="{C3380CC4-5D6E-409C-BE32-E72D297353CC}">
                <c16:uniqueId val="{00000001-FB93-4362-ABAD-9C61D9EB9595}"/>
              </c:ext>
            </c:extLst>
          </c:dPt>
          <c:dPt>
            <c:idx val="1"/>
            <c:bubble3D val="0"/>
            <c:explosion val="7"/>
            <c:spPr>
              <a:solidFill>
                <a:srgbClr val="FFFFCC"/>
              </a:solidFill>
              <a:ln w="25560">
                <a:solidFill>
                  <a:srgbClr val="ECEF81"/>
                </a:solidFill>
                <a:round/>
              </a:ln>
            </c:spPr>
            <c:extLst>
              <c:ext xmlns:c16="http://schemas.microsoft.com/office/drawing/2014/chart" uri="{C3380CC4-5D6E-409C-BE32-E72D297353CC}">
                <c16:uniqueId val="{00000003-FB93-4362-ABAD-9C61D9EB9595}"/>
              </c:ext>
            </c:extLst>
          </c:dPt>
          <c:dPt>
            <c:idx val="2"/>
            <c:bubble3D val="0"/>
            <c:explosion val="10"/>
            <c:spPr>
              <a:solidFill>
                <a:srgbClr val="FFCCCC"/>
              </a:solidFill>
              <a:ln w="25560">
                <a:solidFill>
                  <a:srgbClr val="DB9B99"/>
                </a:solidFill>
                <a:round/>
              </a:ln>
            </c:spPr>
            <c:extLst>
              <c:ext xmlns:c16="http://schemas.microsoft.com/office/drawing/2014/chart" uri="{C3380CC4-5D6E-409C-BE32-E72D297353CC}">
                <c16:uniqueId val="{00000005-FB93-4362-ABAD-9C61D9EB9595}"/>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FB93-4362-ABAD-9C61D9EB9595}"/>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FB93-4362-ABAD-9C61D9EB9595}"/>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FB93-4362-ABAD-9C61D9EB9595}"/>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'05_programa_ataskaita'!$L$63:$L$65</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'05_programa_ataskaita'!$M$63:$M$65</c:f>
              <c:numCache>
                <c:formatCode>General</c:formatCode>
                <c:ptCount val="3"/>
                <c:pt idx="0">
                  <c:v>7</c:v>
                </c:pt>
                <c:pt idx="1">
                  <c:v>2</c:v>
                </c:pt>
              </c:numCache>
            </c:numRef>
          </c:val>
          <c:extLst>
            <c:ext xmlns:c16="http://schemas.microsoft.com/office/drawing/2014/chart" uri="{C3380CC4-5D6E-409C-BE32-E72D297353CC}">
              <c16:uniqueId val="{00000006-FB93-4362-ABAD-9C61D9EB9595}"/>
            </c:ext>
          </c:extLst>
        </c:ser>
        <c:dLbls>
          <c:showLegendKey val="0"/>
          <c:showVal val="0"/>
          <c:showCatName val="0"/>
          <c:showSerName val="0"/>
          <c:showPercent val="0"/>
          <c:showBubbleSize val="0"/>
          <c:showLeaderLines val="0"/>
        </c:dLbls>
      </c:pie3DChart>
    </c:plotArea>
    <c:legend>
      <c:legendPos val="r"/>
      <c:layout>
        <c:manualLayout>
          <c:xMode val="edge"/>
          <c:yMode val="edge"/>
          <c:x val="0.64190119116953703"/>
          <c:y val="0.19038955586791101"/>
          <c:w val="0.341588491832376"/>
          <c:h val="0.74095781339775302"/>
        </c:manualLayout>
      </c:layout>
      <c:overlay val="0"/>
      <c:spPr>
        <a:solidFill>
          <a:srgbClr val="F2F2F2">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en-US" sz="1400" b="1" strike="noStrike" spc="-1">
                <a:solidFill>
                  <a:srgbClr val="000000"/>
                </a:solidFill>
                <a:latin typeface="Times New Roman"/>
              </a:defRPr>
            </a:pPr>
            <a:r>
              <a:rPr lang="en-US" sz="1400" b="1" strike="noStrike" spc="-1">
                <a:solidFill>
                  <a:srgbClr val="000000"/>
                </a:solidFill>
                <a:latin typeface="Times New Roman"/>
              </a:rPr>
              <a:t>06 programos vykdymas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explosion val="11"/>
          <c:dPt>
            <c:idx val="0"/>
            <c:bubble3D val="0"/>
            <c:spPr>
              <a:solidFill>
                <a:srgbClr val="CCFFCC"/>
              </a:solidFill>
              <a:ln w="25560">
                <a:solidFill>
                  <a:srgbClr val="4F6228"/>
                </a:solidFill>
                <a:round/>
              </a:ln>
            </c:spPr>
            <c:extLst>
              <c:ext xmlns:c16="http://schemas.microsoft.com/office/drawing/2014/chart" uri="{C3380CC4-5D6E-409C-BE32-E72D297353CC}">
                <c16:uniqueId val="{00000001-B783-403D-92B5-9FCB91E84830}"/>
              </c:ext>
            </c:extLst>
          </c:dPt>
          <c:dPt>
            <c:idx val="1"/>
            <c:bubble3D val="0"/>
            <c:explosion val="9"/>
            <c:spPr>
              <a:solidFill>
                <a:srgbClr val="FFFFCC"/>
              </a:solidFill>
              <a:ln w="25560">
                <a:solidFill>
                  <a:srgbClr val="ECEF81"/>
                </a:solidFill>
                <a:round/>
              </a:ln>
            </c:spPr>
            <c:extLst>
              <c:ext xmlns:c16="http://schemas.microsoft.com/office/drawing/2014/chart" uri="{C3380CC4-5D6E-409C-BE32-E72D297353CC}">
                <c16:uniqueId val="{00000003-B783-403D-92B5-9FCB91E84830}"/>
              </c:ext>
            </c:extLst>
          </c:dPt>
          <c:dPt>
            <c:idx val="2"/>
            <c:bubble3D val="0"/>
            <c:explosion val="13"/>
            <c:spPr>
              <a:solidFill>
                <a:srgbClr val="FFCCCC"/>
              </a:solidFill>
              <a:ln w="25560">
                <a:solidFill>
                  <a:srgbClr val="DB9B99"/>
                </a:solidFill>
                <a:round/>
              </a:ln>
            </c:spPr>
            <c:extLst>
              <c:ext xmlns:c16="http://schemas.microsoft.com/office/drawing/2014/chart" uri="{C3380CC4-5D6E-409C-BE32-E72D297353CC}">
                <c16:uniqueId val="{00000005-B783-403D-92B5-9FCB91E84830}"/>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B783-403D-92B5-9FCB91E84830}"/>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B783-403D-92B5-9FCB91E84830}"/>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B783-403D-92B5-9FCB91E84830}"/>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'06_programa_ataskaita'!$L$33:$L$35</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'06_programa_ataskaita'!$M$33:$M$35</c:f>
              <c:numCache>
                <c:formatCode>General</c:formatCode>
                <c:ptCount val="3"/>
                <c:pt idx="0">
                  <c:v>4</c:v>
                </c:pt>
                <c:pt idx="1">
                  <c:v>5</c:v>
                </c:pt>
              </c:numCache>
            </c:numRef>
          </c:val>
          <c:extLst>
            <c:ext xmlns:c16="http://schemas.microsoft.com/office/drawing/2014/chart" uri="{C3380CC4-5D6E-409C-BE32-E72D297353CC}">
              <c16:uniqueId val="{00000006-B783-403D-92B5-9FCB91E84830}"/>
            </c:ext>
          </c:extLst>
        </c:ser>
        <c:dLbls>
          <c:showLegendKey val="0"/>
          <c:showVal val="0"/>
          <c:showCatName val="0"/>
          <c:showSerName val="0"/>
          <c:showPercent val="0"/>
          <c:showBubbleSize val="0"/>
          <c:showLeaderLines val="0"/>
        </c:dLbls>
      </c:pie3DChart>
    </c:plotArea>
    <c:legend>
      <c:legendPos val="r"/>
      <c:overlay val="0"/>
      <c:spPr>
        <a:solidFill>
          <a:srgbClr val="F2F2F2">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07 programos vykdymas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explosion val="7"/>
          <c:dPt>
            <c:idx val="0"/>
            <c:bubble3D val="0"/>
            <c:explosion val="11"/>
            <c:spPr>
              <a:solidFill>
                <a:srgbClr val="CCFFCC"/>
              </a:solidFill>
              <a:ln w="25560">
                <a:solidFill>
                  <a:srgbClr val="4F6228"/>
                </a:solidFill>
                <a:round/>
              </a:ln>
            </c:spPr>
            <c:extLst>
              <c:ext xmlns:c16="http://schemas.microsoft.com/office/drawing/2014/chart" uri="{C3380CC4-5D6E-409C-BE32-E72D297353CC}">
                <c16:uniqueId val="{00000001-EC7A-416C-AE8E-6F14DF5B5C9D}"/>
              </c:ext>
            </c:extLst>
          </c:dPt>
          <c:dPt>
            <c:idx val="1"/>
            <c:bubble3D val="0"/>
            <c:spPr>
              <a:solidFill>
                <a:srgbClr val="FFFFCC"/>
              </a:solidFill>
              <a:ln w="25560">
                <a:solidFill>
                  <a:srgbClr val="ECEF81"/>
                </a:solidFill>
                <a:round/>
              </a:ln>
            </c:spPr>
            <c:extLst>
              <c:ext xmlns:c16="http://schemas.microsoft.com/office/drawing/2014/chart" uri="{C3380CC4-5D6E-409C-BE32-E72D297353CC}">
                <c16:uniqueId val="{00000003-EC7A-416C-AE8E-6F14DF5B5C9D}"/>
              </c:ext>
            </c:extLst>
          </c:dPt>
          <c:dPt>
            <c:idx val="2"/>
            <c:bubble3D val="0"/>
            <c:spPr>
              <a:solidFill>
                <a:srgbClr val="FFCCCC"/>
              </a:solidFill>
              <a:ln w="25560">
                <a:solidFill>
                  <a:srgbClr val="DB9B99"/>
                </a:solidFill>
                <a:round/>
              </a:ln>
            </c:spPr>
            <c:extLst>
              <c:ext xmlns:c16="http://schemas.microsoft.com/office/drawing/2014/chart" uri="{C3380CC4-5D6E-409C-BE32-E72D297353CC}">
                <c16:uniqueId val="{00000005-EC7A-416C-AE8E-6F14DF5B5C9D}"/>
              </c:ext>
            </c:extLst>
          </c:dPt>
          <c:dLbls>
            <c:dLbl>
              <c:idx val="0"/>
              <c:spPr/>
              <c:txPr>
                <a:bodyPr/>
                <a:lstStyle/>
                <a:p>
                  <a:pPr>
                    <a:defRPr sz="1000" b="0" strike="noStrike" spc="-1">
                      <a:solidFill>
                        <a:srgbClr val="000000"/>
                      </a:solidFill>
                      <a:latin typeface="Calibri"/>
                    </a:defRPr>
                  </a:pPr>
                  <a:endParaRPr lang="lt-LT"/>
                </a:p>
              </c:txPr>
              <c:dLblPos val="ctr"/>
              <c:showLegendKey val="0"/>
              <c:showVal val="1"/>
              <c:showCatName val="0"/>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1-EC7A-416C-AE8E-6F14DF5B5C9D}"/>
                </c:ext>
              </c:extLst>
            </c:dLbl>
            <c:dLbl>
              <c:idx val="1"/>
              <c:spPr/>
              <c:txPr>
                <a:bodyPr/>
                <a:lstStyle/>
                <a:p>
                  <a:pPr>
                    <a:defRPr sz="1000" b="0" strike="noStrike" spc="-1">
                      <a:solidFill>
                        <a:srgbClr val="000000"/>
                      </a:solidFill>
                      <a:latin typeface="Calibri"/>
                    </a:defRPr>
                  </a:pPr>
                  <a:endParaRPr lang="lt-LT"/>
                </a:p>
              </c:txPr>
              <c:dLblPos val="ctr"/>
              <c:showLegendKey val="0"/>
              <c:showVal val="1"/>
              <c:showCatName val="0"/>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3-EC7A-416C-AE8E-6F14DF5B5C9D}"/>
                </c:ext>
              </c:extLst>
            </c:dLbl>
            <c:dLbl>
              <c:idx val="2"/>
              <c:spPr/>
              <c:txPr>
                <a:bodyPr/>
                <a:lstStyle/>
                <a:p>
                  <a:pPr>
                    <a:defRPr sz="900" b="0" strike="noStrike" spc="-1">
                      <a:solidFill>
                        <a:srgbClr val="404040"/>
                      </a:solidFill>
                      <a:latin typeface="Calibri"/>
                    </a:defRPr>
                  </a:pPr>
                  <a:endParaRPr lang="lt-LT"/>
                </a:p>
              </c:txPr>
              <c:dLblPos val="ctr"/>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EC7A-416C-AE8E-6F14DF5B5C9D}"/>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0"/>
            <c:showCatName val="0"/>
            <c:showSerName val="0"/>
            <c:showPercent val="1"/>
            <c:showBubbleSize val="1"/>
            <c:separator>
</c:separator>
            <c:showLeaderLines val="0"/>
            <c:extLst>
              <c:ext xmlns:c15="http://schemas.microsoft.com/office/drawing/2012/chart" uri="{CE6537A1-D6FC-4f65-9D91-7224C49458BB}"/>
            </c:extLst>
          </c:dLbls>
          <c:cat>
            <c:strRef>
              <c:f>'07_programa_ataskaita'!$L$75:$L$77</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'07_programa_ataskaita'!$M$75:$M$77</c:f>
              <c:numCache>
                <c:formatCode>General</c:formatCode>
                <c:ptCount val="3"/>
                <c:pt idx="0">
                  <c:v>7</c:v>
                </c:pt>
                <c:pt idx="1">
                  <c:v>6</c:v>
                </c:pt>
              </c:numCache>
            </c:numRef>
          </c:val>
          <c:extLst>
            <c:ext xmlns:c16="http://schemas.microsoft.com/office/drawing/2014/chart" uri="{C3380CC4-5D6E-409C-BE32-E72D297353CC}">
              <c16:uniqueId val="{00000006-EC7A-416C-AE8E-6F14DF5B5C9D}"/>
            </c:ext>
          </c:extLst>
        </c:ser>
        <c:dLbls>
          <c:showLegendKey val="0"/>
          <c:showVal val="0"/>
          <c:showCatName val="0"/>
          <c:showSerName val="0"/>
          <c:showPercent val="0"/>
          <c:showBubbleSize val="0"/>
          <c:showLeaderLines val="0"/>
        </c:dLbls>
      </c:pie3DChart>
    </c:plotArea>
    <c:legend>
      <c:legendPos val="r"/>
      <c:overlay val="0"/>
      <c:spPr>
        <a:solidFill>
          <a:srgbClr val="F2F2F2">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08 programos vykdymas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explosion val="9"/>
          <c:dPt>
            <c:idx val="0"/>
            <c:bubble3D val="0"/>
            <c:explosion val="26"/>
            <c:spPr>
              <a:solidFill>
                <a:srgbClr val="CCFFCC"/>
              </a:solidFill>
              <a:ln w="25560">
                <a:solidFill>
                  <a:srgbClr val="4F6228"/>
                </a:solidFill>
                <a:round/>
              </a:ln>
            </c:spPr>
            <c:extLst>
              <c:ext xmlns:c16="http://schemas.microsoft.com/office/drawing/2014/chart" uri="{C3380CC4-5D6E-409C-BE32-E72D297353CC}">
                <c16:uniqueId val="{00000001-3000-48AE-AE2A-584FEFFDE3DC}"/>
              </c:ext>
            </c:extLst>
          </c:dPt>
          <c:dPt>
            <c:idx val="1"/>
            <c:bubble3D val="0"/>
            <c:spPr>
              <a:solidFill>
                <a:srgbClr val="FFFFCC"/>
              </a:solidFill>
              <a:ln w="25560">
                <a:solidFill>
                  <a:srgbClr val="ECEF81"/>
                </a:solidFill>
                <a:round/>
              </a:ln>
            </c:spPr>
            <c:extLst>
              <c:ext xmlns:c16="http://schemas.microsoft.com/office/drawing/2014/chart" uri="{C3380CC4-5D6E-409C-BE32-E72D297353CC}">
                <c16:uniqueId val="{00000003-3000-48AE-AE2A-584FEFFDE3DC}"/>
              </c:ext>
            </c:extLst>
          </c:dPt>
          <c:dPt>
            <c:idx val="2"/>
            <c:bubble3D val="0"/>
            <c:spPr>
              <a:solidFill>
                <a:srgbClr val="FFCCCC"/>
              </a:solidFill>
              <a:ln w="25560">
                <a:solidFill>
                  <a:srgbClr val="DB9B99"/>
                </a:solidFill>
                <a:round/>
              </a:ln>
            </c:spPr>
            <c:extLst>
              <c:ext xmlns:c16="http://schemas.microsoft.com/office/drawing/2014/chart" uri="{C3380CC4-5D6E-409C-BE32-E72D297353CC}">
                <c16:uniqueId val="{00000005-3000-48AE-AE2A-584FEFFDE3DC}"/>
              </c:ext>
            </c:extLst>
          </c:dPt>
          <c:dLbls>
            <c:dLbl>
              <c:idx val="0"/>
              <c:spPr/>
              <c:txPr>
                <a:bodyPr/>
                <a:lstStyle/>
                <a:p>
                  <a:pPr>
                    <a:defRPr sz="1000" b="0" strike="noStrike" spc="-1">
                      <a:solidFill>
                        <a:srgbClr val="000000"/>
                      </a:solidFill>
                      <a:latin typeface="Calibri"/>
                    </a:defRPr>
                  </a:pPr>
                  <a:endParaRPr lang="lt-LT"/>
                </a:p>
              </c:txPr>
              <c:dLblPos val="ctr"/>
              <c:showLegendKey val="0"/>
              <c:showVal val="1"/>
              <c:showCatName val="0"/>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1-3000-48AE-AE2A-584FEFFDE3DC}"/>
                </c:ext>
              </c:extLst>
            </c:dLbl>
            <c:dLbl>
              <c:idx val="1"/>
              <c:spPr/>
              <c:txPr>
                <a:bodyPr/>
                <a:lstStyle/>
                <a:p>
                  <a:pPr>
                    <a:defRPr sz="900" b="0" strike="noStrike" spc="-1">
                      <a:solidFill>
                        <a:srgbClr val="404040"/>
                      </a:solidFill>
                      <a:latin typeface="Calibri"/>
                    </a:defRPr>
                  </a:pPr>
                  <a:endParaRPr lang="lt-LT"/>
                </a:p>
              </c:txPr>
              <c:dLblPos val="ctr"/>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3000-48AE-AE2A-584FEFFDE3DC}"/>
                </c:ext>
              </c:extLst>
            </c:dLbl>
            <c:dLbl>
              <c:idx val="2"/>
              <c:spPr/>
              <c:txPr>
                <a:bodyPr/>
                <a:lstStyle/>
                <a:p>
                  <a:pPr>
                    <a:defRPr sz="1000" b="0" strike="noStrike" spc="-1">
                      <a:solidFill>
                        <a:srgbClr val="000000"/>
                      </a:solidFill>
                      <a:latin typeface="Calibri"/>
                    </a:defRPr>
                  </a:pPr>
                  <a:endParaRPr lang="lt-LT"/>
                </a:p>
              </c:txPr>
              <c:dLblPos val="ctr"/>
              <c:showLegendKey val="0"/>
              <c:showVal val="1"/>
              <c:showCatName val="0"/>
              <c:showSerName val="0"/>
              <c:showPercent val="1"/>
              <c:showBubbleSize val="1"/>
              <c:separator>
</c:separator>
              <c:extLst>
                <c:ext xmlns:c15="http://schemas.microsoft.com/office/drawing/2012/chart" uri="{CE6537A1-D6FC-4f65-9D91-7224C49458BB}"/>
                <c:ext xmlns:c16="http://schemas.microsoft.com/office/drawing/2014/chart" uri="{C3380CC4-5D6E-409C-BE32-E72D297353CC}">
                  <c16:uniqueId val="{00000005-3000-48AE-AE2A-584FEFFDE3DC}"/>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0"/>
            <c:showCatName val="0"/>
            <c:showSerName val="0"/>
            <c:showPercent val="1"/>
            <c:showBubbleSize val="1"/>
            <c:separator>
</c:separator>
            <c:showLeaderLines val="0"/>
            <c:extLst>
              <c:ext xmlns:c15="http://schemas.microsoft.com/office/drawing/2012/chart" uri="{CE6537A1-D6FC-4f65-9D91-7224C49458BB}"/>
            </c:extLst>
          </c:dLbls>
          <c:cat>
            <c:strRef>
              <c:f>'08_programa_ataskaita'!$L$153:$L$155</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'08_programa_ataskaita'!$M$153:$M$155</c:f>
              <c:numCache>
                <c:formatCode>General</c:formatCode>
                <c:ptCount val="3"/>
                <c:pt idx="0">
                  <c:v>22</c:v>
                </c:pt>
                <c:pt idx="1">
                  <c:v>8</c:v>
                </c:pt>
              </c:numCache>
            </c:numRef>
          </c:val>
          <c:extLst>
            <c:ext xmlns:c16="http://schemas.microsoft.com/office/drawing/2014/chart" uri="{C3380CC4-5D6E-409C-BE32-E72D297353CC}">
              <c16:uniqueId val="{00000006-3000-48AE-AE2A-584FEFFDE3DC}"/>
            </c:ext>
          </c:extLst>
        </c:ser>
        <c:dLbls>
          <c:showLegendKey val="0"/>
          <c:showVal val="0"/>
          <c:showCatName val="0"/>
          <c:showSerName val="0"/>
          <c:showPercent val="0"/>
          <c:showBubbleSize val="0"/>
          <c:showLeaderLines val="0"/>
        </c:dLbls>
      </c:pie3DChart>
    </c:plotArea>
    <c:legend>
      <c:legendPos val="r"/>
      <c:overlay val="0"/>
      <c:spPr>
        <a:solidFill>
          <a:srgbClr val="FFFFFF">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c:style val="2"/>
  <c:chart>
    <c:title>
      <c:tx>
        <c:rich>
          <a:bodyPr rot="0"/>
          <a:lstStyle/>
          <a:p>
            <a:pPr>
              <a:defRPr lang="lt-LT" sz="1400" b="1" strike="noStrike" spc="-1">
                <a:solidFill>
                  <a:srgbClr val="000000"/>
                </a:solidFill>
                <a:latin typeface="Times New Roman"/>
              </a:defRPr>
            </a:pPr>
            <a:r>
              <a:rPr lang="lt-LT" sz="1400" b="1" strike="noStrike" spc="-1">
                <a:solidFill>
                  <a:srgbClr val="000000"/>
                </a:solidFill>
                <a:latin typeface="Times New Roman"/>
              </a:rPr>
              <a:t>09 programos vykdymas</a:t>
            </a:r>
          </a:p>
        </c:rich>
      </c:tx>
      <c:overlay val="0"/>
      <c:spPr>
        <a:noFill/>
        <a:ln>
          <a:noFill/>
        </a:ln>
      </c:spPr>
    </c:title>
    <c:autoTitleDeleted val="0"/>
    <c:view3D>
      <c:rotX val="30"/>
      <c:rotY val="0"/>
      <c:rAngAx val="0"/>
      <c:perspective val="5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spPr>
            <a:solidFill>
              <a:srgbClr val="4F81BD"/>
            </a:solidFill>
            <a:ln>
              <a:noFill/>
            </a:ln>
          </c:spPr>
          <c:dPt>
            <c:idx val="0"/>
            <c:bubble3D val="0"/>
            <c:explosion val="5"/>
            <c:spPr>
              <a:solidFill>
                <a:srgbClr val="CCFFCC"/>
              </a:solidFill>
              <a:ln w="25560">
                <a:solidFill>
                  <a:srgbClr val="4F6228"/>
                </a:solidFill>
                <a:round/>
              </a:ln>
            </c:spPr>
            <c:extLst>
              <c:ext xmlns:c16="http://schemas.microsoft.com/office/drawing/2014/chart" uri="{C3380CC4-5D6E-409C-BE32-E72D297353CC}">
                <c16:uniqueId val="{00000001-F59C-45FF-B350-DDBA6AE8AE33}"/>
              </c:ext>
            </c:extLst>
          </c:dPt>
          <c:dPt>
            <c:idx val="1"/>
            <c:bubble3D val="0"/>
            <c:explosion val="14"/>
            <c:spPr>
              <a:solidFill>
                <a:srgbClr val="FFFFCC"/>
              </a:solidFill>
              <a:ln w="25560">
                <a:solidFill>
                  <a:srgbClr val="ECEF81"/>
                </a:solidFill>
                <a:round/>
              </a:ln>
            </c:spPr>
            <c:extLst>
              <c:ext xmlns:c16="http://schemas.microsoft.com/office/drawing/2014/chart" uri="{C3380CC4-5D6E-409C-BE32-E72D297353CC}">
                <c16:uniqueId val="{00000003-F59C-45FF-B350-DDBA6AE8AE33}"/>
              </c:ext>
            </c:extLst>
          </c:dPt>
          <c:dPt>
            <c:idx val="2"/>
            <c:bubble3D val="0"/>
            <c:explosion val="18"/>
            <c:spPr>
              <a:solidFill>
                <a:srgbClr val="FFCCCC"/>
              </a:solidFill>
              <a:ln w="25560">
                <a:solidFill>
                  <a:srgbClr val="DB9B99"/>
                </a:solidFill>
                <a:round/>
              </a:ln>
            </c:spPr>
            <c:extLst>
              <c:ext xmlns:c16="http://schemas.microsoft.com/office/drawing/2014/chart" uri="{C3380CC4-5D6E-409C-BE32-E72D297353CC}">
                <c16:uniqueId val="{00000005-F59C-45FF-B350-DDBA6AE8AE33}"/>
              </c:ext>
            </c:extLst>
          </c:dPt>
          <c:dLbls>
            <c:dLbl>
              <c:idx val="0"/>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F59C-45FF-B350-DDBA6AE8AE33}"/>
                </c:ext>
              </c:extLst>
            </c:dLbl>
            <c:dLbl>
              <c:idx val="1"/>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F59C-45FF-B350-DDBA6AE8AE33}"/>
                </c:ext>
              </c:extLst>
            </c:dLbl>
            <c:dLbl>
              <c:idx val="2"/>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F59C-45FF-B350-DDBA6AE8AE33}"/>
                </c:ext>
              </c:extLst>
            </c:dLbl>
            <c:spPr>
              <a:noFill/>
              <a:ln>
                <a:noFill/>
              </a:ln>
              <a:effectLst/>
            </c:spPr>
            <c:txPr>
              <a:bodyPr/>
              <a:lstStyle/>
              <a:p>
                <a:pPr>
                  <a:defRPr sz="900" b="0" strike="noStrike" spc="-1">
                    <a:solidFill>
                      <a:srgbClr val="404040"/>
                    </a:solidFill>
                    <a:latin typeface="Calibri"/>
                  </a:defRPr>
                </a:pPr>
                <a:endParaRPr lang="lt-LT"/>
              </a:p>
            </c:txPr>
            <c:dLblPos val="ctr"/>
            <c:showLegendKey val="0"/>
            <c:showVal val="1"/>
            <c:showCatName val="0"/>
            <c:showSerName val="0"/>
            <c:showPercent val="1"/>
            <c:showBubbleSize val="1"/>
            <c:separator>; </c:separator>
            <c:showLeaderLines val="0"/>
            <c:extLst>
              <c:ext xmlns:c15="http://schemas.microsoft.com/office/drawing/2012/chart" uri="{CE6537A1-D6FC-4f65-9D91-7224C49458BB}"/>
            </c:extLst>
          </c:dLbls>
          <c:cat>
            <c:strRef>
              <c:f>'09_programa_ataskaita'!$L$88:$L$90</c:f>
              <c:strCache>
                <c:ptCount val="3"/>
                <c:pt idx="0">
                  <c:v>Priemonė buvo įvykdyta pagal planą</c:v>
                </c:pt>
                <c:pt idx="1">
                  <c:v>Vykdant priemonę buvo pasiekta vertinimo kriterijų reikšmių mažiau, nei planuota</c:v>
                </c:pt>
                <c:pt idx="2">
                  <c:v>Priemonė neįvykdyta, t.y. nepasiekta planuota vertinimo kriterijų reikšmė</c:v>
                </c:pt>
              </c:strCache>
            </c:strRef>
          </c:cat>
          <c:val>
            <c:numRef>
              <c:f>'09_programa_ataskaita'!$M$88:$M$90</c:f>
              <c:numCache>
                <c:formatCode>General</c:formatCode>
                <c:ptCount val="3"/>
                <c:pt idx="0">
                  <c:v>15</c:v>
                </c:pt>
                <c:pt idx="1">
                  <c:v>3</c:v>
                </c:pt>
                <c:pt idx="2">
                  <c:v>1</c:v>
                </c:pt>
              </c:numCache>
            </c:numRef>
          </c:val>
          <c:extLst>
            <c:ext xmlns:c16="http://schemas.microsoft.com/office/drawing/2014/chart" uri="{C3380CC4-5D6E-409C-BE32-E72D297353CC}">
              <c16:uniqueId val="{00000006-F59C-45FF-B350-DDBA6AE8AE33}"/>
            </c:ext>
          </c:extLst>
        </c:ser>
        <c:dLbls>
          <c:showLegendKey val="0"/>
          <c:showVal val="0"/>
          <c:showCatName val="0"/>
          <c:showSerName val="0"/>
          <c:showPercent val="0"/>
          <c:showBubbleSize val="0"/>
          <c:showLeaderLines val="0"/>
        </c:dLbls>
      </c:pie3DChart>
    </c:plotArea>
    <c:legend>
      <c:legendPos val="r"/>
      <c:overlay val="0"/>
      <c:spPr>
        <a:solidFill>
          <a:srgbClr val="F2F2F2">
            <a:alpha val="50000"/>
          </a:srgbClr>
        </a:solidFill>
        <a:ln>
          <a:noFill/>
        </a:ln>
      </c:spPr>
      <c:txPr>
        <a:bodyPr/>
        <a:lstStyle/>
        <a:p>
          <a:pPr>
            <a:defRPr sz="900" b="0" strike="noStrike" spc="-1">
              <a:solidFill>
                <a:srgbClr val="595959"/>
              </a:solidFill>
              <a:latin typeface="Calibri"/>
            </a:defRPr>
          </a:pPr>
          <a:endParaRPr lang="lt-LT"/>
        </a:p>
      </c:txPr>
    </c:legend>
    <c:plotVisOnly val="1"/>
    <c:dispBlanksAs val="gap"/>
    <c:showDLblsOverMax val="1"/>
  </c:chart>
  <c:spPr>
    <a:solidFill>
      <a:srgbClr val="D9D9D9"/>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11</xdr:col>
      <xdr:colOff>351360</xdr:colOff>
      <xdr:row>51</xdr:row>
      <xdr:rowOff>116280</xdr:rowOff>
    </xdr:from>
    <xdr:to>
      <xdr:col>12</xdr:col>
      <xdr:colOff>2073960</xdr:colOff>
      <xdr:row>68</xdr:row>
      <xdr:rowOff>115920</xdr:rowOff>
    </xdr:to>
    <xdr:graphicFrame macro="">
      <xdr:nvGraphicFramePr>
        <xdr:cNvPr id="2" name="Diagrama 3">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209520</xdr:colOff>
      <xdr:row>143</xdr:row>
      <xdr:rowOff>52560</xdr:rowOff>
    </xdr:from>
    <xdr:to>
      <xdr:col>12</xdr:col>
      <xdr:colOff>2037960</xdr:colOff>
      <xdr:row>157</xdr:row>
      <xdr:rowOff>128520</xdr:rowOff>
    </xdr:to>
    <xdr:graphicFrame macro="">
      <xdr:nvGraphicFramePr>
        <xdr:cNvPr id="9" name="Chart 1">
          <a:extLst>
            <a:ext uri="{FF2B5EF4-FFF2-40B4-BE49-F238E27FC236}">
              <a16:creationId xmlns:a16="http://schemas.microsoft.com/office/drawing/2014/main" id="{00000000-0008-0000-09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152280</xdr:colOff>
      <xdr:row>108</xdr:row>
      <xdr:rowOff>100080</xdr:rowOff>
    </xdr:from>
    <xdr:to>
      <xdr:col>12</xdr:col>
      <xdr:colOff>2209320</xdr:colOff>
      <xdr:row>124</xdr:row>
      <xdr:rowOff>95040</xdr:rowOff>
    </xdr:to>
    <xdr:graphicFrame macro="">
      <xdr:nvGraphicFramePr>
        <xdr:cNvPr id="10" name="Chart 1">
          <a:extLst>
            <a:ext uri="{FF2B5EF4-FFF2-40B4-BE49-F238E27FC236}">
              <a16:creationId xmlns:a16="http://schemas.microsoft.com/office/drawing/2014/main" id="{00000000-0008-0000-0A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409680</xdr:colOff>
      <xdr:row>64</xdr:row>
      <xdr:rowOff>219240</xdr:rowOff>
    </xdr:from>
    <xdr:to>
      <xdr:col>13</xdr:col>
      <xdr:colOff>3240</xdr:colOff>
      <xdr:row>78</xdr:row>
      <xdr:rowOff>142560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403920</xdr:colOff>
      <xdr:row>83</xdr:row>
      <xdr:rowOff>75600</xdr:rowOff>
    </xdr:from>
    <xdr:to>
      <xdr:col>12</xdr:col>
      <xdr:colOff>2320560</xdr:colOff>
      <xdr:row>97</xdr:row>
      <xdr:rowOff>164160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190440</xdr:colOff>
      <xdr:row>114</xdr:row>
      <xdr:rowOff>81000</xdr:rowOff>
    </xdr:from>
    <xdr:to>
      <xdr:col>12</xdr:col>
      <xdr:colOff>2256840</xdr:colOff>
      <xdr:row>129</xdr:row>
      <xdr:rowOff>151920</xdr:rowOff>
    </xdr:to>
    <xdr:graphicFrame macro="">
      <xdr:nvGraphicFramePr>
        <xdr:cNvPr id="3" name="Chart 1">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86760</xdr:colOff>
      <xdr:row>67</xdr:row>
      <xdr:rowOff>74520</xdr:rowOff>
    </xdr:from>
    <xdr:to>
      <xdr:col>12</xdr:col>
      <xdr:colOff>2268360</xdr:colOff>
      <xdr:row>81</xdr:row>
      <xdr:rowOff>172800</xdr:rowOff>
    </xdr:to>
    <xdr:graphicFrame macro="">
      <xdr:nvGraphicFramePr>
        <xdr:cNvPr id="4" name="Diagrama 1">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117000</xdr:colOff>
      <xdr:row>37</xdr:row>
      <xdr:rowOff>48600</xdr:rowOff>
    </xdr:from>
    <xdr:to>
      <xdr:col>12</xdr:col>
      <xdr:colOff>1424160</xdr:colOff>
      <xdr:row>51</xdr:row>
      <xdr:rowOff>124560</xdr:rowOff>
    </xdr:to>
    <xdr:graphicFrame macro="">
      <xdr:nvGraphicFramePr>
        <xdr:cNvPr id="5" name="Diagrama 1">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150480</xdr:colOff>
      <xdr:row>79</xdr:row>
      <xdr:rowOff>74160</xdr:rowOff>
    </xdr:from>
    <xdr:to>
      <xdr:col>12</xdr:col>
      <xdr:colOff>2000520</xdr:colOff>
      <xdr:row>94</xdr:row>
      <xdr:rowOff>10440</xdr:rowOff>
    </xdr:to>
    <xdr:graphicFrame macro="">
      <xdr:nvGraphicFramePr>
        <xdr:cNvPr id="6" name="Chart 1">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134640</xdr:colOff>
      <xdr:row>157</xdr:row>
      <xdr:rowOff>66240</xdr:rowOff>
    </xdr:from>
    <xdr:to>
      <xdr:col>12</xdr:col>
      <xdr:colOff>1848960</xdr:colOff>
      <xdr:row>171</xdr:row>
      <xdr:rowOff>142199</xdr:rowOff>
    </xdr:to>
    <xdr:graphicFrame macro="">
      <xdr:nvGraphicFramePr>
        <xdr:cNvPr id="7" name="Chart 1">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73440</xdr:colOff>
      <xdr:row>92</xdr:row>
      <xdr:rowOff>65880</xdr:rowOff>
    </xdr:from>
    <xdr:to>
      <xdr:col>12</xdr:col>
      <xdr:colOff>2311560</xdr:colOff>
      <xdr:row>105</xdr:row>
      <xdr:rowOff>138240</xdr:rowOff>
    </xdr:to>
    <xdr:graphicFrame macro="">
      <xdr:nvGraphicFramePr>
        <xdr:cNvPr id="8" name="Chart 1">
          <a:extLst>
            <a:ext uri="{FF2B5EF4-FFF2-40B4-BE49-F238E27FC236}">
              <a16:creationId xmlns:a16="http://schemas.microsoft.com/office/drawing/2014/main" id="{00000000-0008-0000-08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tabSelected="1" topLeftCell="A25" zoomScale="92" zoomScaleNormal="92" workbookViewId="0">
      <selection activeCell="N47" sqref="N47"/>
    </sheetView>
  </sheetViews>
  <sheetFormatPr defaultColWidth="8.6640625" defaultRowHeight="14.4" x14ac:dyDescent="0.3"/>
  <cols>
    <col min="1" max="1" width="8.44140625" customWidth="1"/>
    <col min="2" max="2" width="22.109375" customWidth="1"/>
    <col min="3" max="3" width="9.88671875" customWidth="1"/>
    <col min="4" max="4" width="11.109375" customWidth="1"/>
    <col min="5" max="6" width="10.5546875" customWidth="1"/>
    <col min="7" max="7" width="0.109375" customWidth="1"/>
    <col min="8" max="8" width="15.5546875" customWidth="1"/>
    <col min="9" max="9" width="5.6640625" customWidth="1"/>
    <col min="10" max="10" width="6.33203125" customWidth="1"/>
    <col min="11" max="11" width="6.5546875" customWidth="1"/>
    <col min="12" max="12" width="32.33203125" customWidth="1"/>
    <col min="13" max="13" width="31" customWidth="1"/>
  </cols>
  <sheetData>
    <row r="1" spans="1:16" s="1" customFormat="1" ht="14.4" customHeight="1" x14ac:dyDescent="0.3">
      <c r="F1" s="2"/>
      <c r="G1" s="3"/>
      <c r="H1" s="4"/>
      <c r="I1" s="3"/>
      <c r="L1" s="313" t="s">
        <v>0</v>
      </c>
      <c r="M1" s="313"/>
      <c r="N1" s="5"/>
      <c r="O1" s="6"/>
      <c r="P1" s="7"/>
    </row>
    <row r="2" spans="1:16" s="1" customFormat="1" ht="14.4" customHeight="1" x14ac:dyDescent="0.3">
      <c r="F2" s="2"/>
      <c r="G2" s="3"/>
      <c r="H2" s="4"/>
      <c r="I2" s="3"/>
      <c r="L2" s="313" t="s">
        <v>1</v>
      </c>
      <c r="M2" s="313"/>
      <c r="N2" s="5"/>
      <c r="O2" s="6"/>
      <c r="P2" s="7"/>
    </row>
    <row r="3" spans="1:16" s="1" customFormat="1" ht="14.4" customHeight="1" x14ac:dyDescent="0.3">
      <c r="F3" s="2"/>
      <c r="G3" s="3"/>
      <c r="H3" s="4"/>
      <c r="I3" s="3"/>
      <c r="L3" s="313" t="s">
        <v>2</v>
      </c>
      <c r="M3" s="313"/>
      <c r="N3" s="8"/>
      <c r="O3" s="6"/>
      <c r="P3" s="7"/>
    </row>
    <row r="4" spans="1:16" s="1" customFormat="1" ht="12" customHeight="1" x14ac:dyDescent="0.3">
      <c r="F4" s="2"/>
      <c r="G4" s="3"/>
      <c r="H4" s="4"/>
      <c r="I4" s="3"/>
      <c r="M4" s="6"/>
      <c r="N4" s="8"/>
      <c r="O4" s="6"/>
      <c r="P4" s="7"/>
    </row>
    <row r="5" spans="1:16" s="9" customFormat="1" ht="15.6" x14ac:dyDescent="0.3">
      <c r="A5" s="314" t="s">
        <v>3</v>
      </c>
      <c r="B5" s="314"/>
      <c r="C5" s="314"/>
      <c r="D5" s="314"/>
      <c r="E5" s="314"/>
      <c r="F5" s="314"/>
      <c r="G5" s="314"/>
      <c r="H5" s="314"/>
      <c r="I5" s="314"/>
      <c r="J5" s="314"/>
      <c r="K5" s="314"/>
      <c r="L5" s="314"/>
      <c r="M5" s="314"/>
    </row>
    <row r="6" spans="1:16" ht="15.6" x14ac:dyDescent="0.3">
      <c r="A6" s="10"/>
      <c r="B6" s="314" t="s">
        <v>4</v>
      </c>
      <c r="C6" s="314"/>
      <c r="D6" s="314"/>
      <c r="E6" s="314"/>
      <c r="F6" s="314"/>
      <c r="G6" s="314"/>
      <c r="H6" s="314"/>
      <c r="I6" s="314"/>
      <c r="J6" s="314"/>
      <c r="K6" s="314"/>
      <c r="L6" s="314"/>
      <c r="M6" s="314"/>
    </row>
    <row r="8" spans="1:16" ht="15.75" customHeight="1" x14ac:dyDescent="0.3">
      <c r="A8" s="315" t="s">
        <v>5</v>
      </c>
      <c r="B8" s="316" t="s">
        <v>6</v>
      </c>
      <c r="C8" s="317" t="s">
        <v>7</v>
      </c>
      <c r="D8" s="318" t="s">
        <v>8</v>
      </c>
      <c r="E8" s="318"/>
      <c r="F8" s="318"/>
      <c r="G8" s="316" t="s">
        <v>9</v>
      </c>
      <c r="H8" s="318" t="s">
        <v>10</v>
      </c>
      <c r="I8" s="318"/>
      <c r="J8" s="318"/>
      <c r="K8" s="318"/>
      <c r="L8" s="316" t="s">
        <v>11</v>
      </c>
      <c r="M8" s="319" t="s">
        <v>12</v>
      </c>
    </row>
    <row r="9" spans="1:16" ht="15.75" customHeight="1" x14ac:dyDescent="0.3">
      <c r="A9" s="315"/>
      <c r="B9" s="316"/>
      <c r="C9" s="317"/>
      <c r="D9" s="318"/>
      <c r="E9" s="318"/>
      <c r="F9" s="318"/>
      <c r="G9" s="316"/>
      <c r="H9" s="318"/>
      <c r="I9" s="318"/>
      <c r="J9" s="318"/>
      <c r="K9" s="318"/>
      <c r="L9" s="316"/>
      <c r="M9" s="319"/>
    </row>
    <row r="10" spans="1:16" ht="98.25" customHeight="1" x14ac:dyDescent="0.3">
      <c r="A10" s="315"/>
      <c r="B10" s="316"/>
      <c r="C10" s="317"/>
      <c r="D10" s="11" t="s">
        <v>13</v>
      </c>
      <c r="E10" s="11" t="s">
        <v>14</v>
      </c>
      <c r="F10" s="11" t="s">
        <v>15</v>
      </c>
      <c r="G10" s="316"/>
      <c r="H10" s="320" t="s">
        <v>16</v>
      </c>
      <c r="I10" s="320"/>
      <c r="J10" s="12" t="s">
        <v>17</v>
      </c>
      <c r="K10" s="12" t="s">
        <v>18</v>
      </c>
      <c r="L10" s="316"/>
      <c r="M10" s="319"/>
    </row>
    <row r="11" spans="1:16" ht="17.25" customHeight="1" x14ac:dyDescent="0.3">
      <c r="A11" s="13" t="s">
        <v>19</v>
      </c>
      <c r="B11" s="321" t="s">
        <v>20</v>
      </c>
      <c r="C11" s="321"/>
      <c r="D11" s="14">
        <f>D12+D22+D29+D33+D38</f>
        <v>1191.3999999999999</v>
      </c>
      <c r="E11" s="14">
        <f>E12+E22+E29+E33+E38</f>
        <v>1174.5</v>
      </c>
      <c r="F11" s="14">
        <f>F12+F22+F29+F33+F38-0.1</f>
        <v>577.6</v>
      </c>
      <c r="G11" s="15">
        <f>G12+G22+G29+G33+G38+0.1</f>
        <v>596.9</v>
      </c>
      <c r="H11" s="322"/>
      <c r="I11" s="322"/>
      <c r="J11" s="322"/>
      <c r="K11" s="322"/>
      <c r="L11" s="322"/>
      <c r="M11" s="322"/>
    </row>
    <row r="12" spans="1:16" ht="32.25" customHeight="1" x14ac:dyDescent="0.3">
      <c r="A12" s="16" t="s">
        <v>21</v>
      </c>
      <c r="B12" s="323" t="s">
        <v>22</v>
      </c>
      <c r="C12" s="323"/>
      <c r="D12" s="17">
        <f>SUM(D13:D13)</f>
        <v>189.2</v>
      </c>
      <c r="E12" s="17">
        <f>SUM(E13:E13)</f>
        <v>211</v>
      </c>
      <c r="F12" s="17">
        <f>SUM(F13:F13)</f>
        <v>125.7</v>
      </c>
      <c r="G12" s="18">
        <f>SUM(G13:G13)</f>
        <v>85.300000000000011</v>
      </c>
      <c r="H12" s="324"/>
      <c r="I12" s="324"/>
      <c r="J12" s="324"/>
      <c r="K12" s="324"/>
      <c r="L12" s="324"/>
      <c r="M12" s="324"/>
    </row>
    <row r="13" spans="1:16" ht="48" customHeight="1" x14ac:dyDescent="0.3">
      <c r="A13" s="19" t="s">
        <v>23</v>
      </c>
      <c r="B13" s="325" t="s">
        <v>24</v>
      </c>
      <c r="C13" s="325"/>
      <c r="D13" s="20">
        <f>D14+D15+D18+D19</f>
        <v>189.2</v>
      </c>
      <c r="E13" s="20">
        <f>E14+E15+E18+E19</f>
        <v>211</v>
      </c>
      <c r="F13" s="20">
        <f>F14+F15+F18+F19</f>
        <v>125.7</v>
      </c>
      <c r="G13" s="21">
        <f>G14+G15+G18+G19</f>
        <v>85.300000000000011</v>
      </c>
      <c r="H13" s="326"/>
      <c r="I13" s="326"/>
      <c r="J13" s="326"/>
      <c r="K13" s="326"/>
      <c r="L13" s="326"/>
      <c r="M13" s="326"/>
    </row>
    <row r="14" spans="1:16" ht="62.4" x14ac:dyDescent="0.3">
      <c r="A14" s="22" t="s">
        <v>25</v>
      </c>
      <c r="B14" s="23" t="s">
        <v>26</v>
      </c>
      <c r="C14" s="24" t="s">
        <v>27</v>
      </c>
      <c r="D14" s="25">
        <v>6</v>
      </c>
      <c r="E14" s="25">
        <v>6</v>
      </c>
      <c r="F14" s="25">
        <v>5.9</v>
      </c>
      <c r="G14" s="26">
        <v>0.1</v>
      </c>
      <c r="H14" s="27" t="s">
        <v>28</v>
      </c>
      <c r="I14" s="28" t="s">
        <v>29</v>
      </c>
      <c r="J14" s="28">
        <v>1</v>
      </c>
      <c r="K14" s="29">
        <v>1</v>
      </c>
      <c r="L14" s="27" t="s">
        <v>30</v>
      </c>
      <c r="M14" s="30"/>
    </row>
    <row r="15" spans="1:16" ht="94.5" customHeight="1" x14ac:dyDescent="0.3">
      <c r="A15" s="327" t="s">
        <v>31</v>
      </c>
      <c r="B15" s="328" t="s">
        <v>32</v>
      </c>
      <c r="C15" s="24"/>
      <c r="D15" s="31">
        <f>SUM(D16:D17)</f>
        <v>100</v>
      </c>
      <c r="E15" s="31">
        <f>SUM(E16:E17)</f>
        <v>70.599999999999994</v>
      </c>
      <c r="F15" s="31">
        <f>SUM(F16:F17)</f>
        <v>21.8</v>
      </c>
      <c r="G15" s="32">
        <f>SUM(G16:G17)</f>
        <v>48.8</v>
      </c>
      <c r="H15" s="328" t="s">
        <v>33</v>
      </c>
      <c r="I15" s="329" t="s">
        <v>29</v>
      </c>
      <c r="J15" s="329">
        <v>2</v>
      </c>
      <c r="K15" s="330">
        <v>1</v>
      </c>
      <c r="L15" s="331" t="s">
        <v>34</v>
      </c>
      <c r="M15" s="332" t="s">
        <v>35</v>
      </c>
    </row>
    <row r="16" spans="1:16" ht="24.75" customHeight="1" x14ac:dyDescent="0.3">
      <c r="A16" s="327"/>
      <c r="B16" s="328"/>
      <c r="C16" s="33" t="s">
        <v>27</v>
      </c>
      <c r="D16" s="34">
        <v>0</v>
      </c>
      <c r="E16" s="34">
        <v>21.8</v>
      </c>
      <c r="F16" s="34">
        <v>0</v>
      </c>
      <c r="G16" s="35">
        <v>21.8</v>
      </c>
      <c r="H16" s="328"/>
      <c r="I16" s="329"/>
      <c r="J16" s="329"/>
      <c r="K16" s="330"/>
      <c r="L16" s="331"/>
      <c r="M16" s="332"/>
    </row>
    <row r="17" spans="1:13" ht="37.5" customHeight="1" x14ac:dyDescent="0.3">
      <c r="A17" s="327"/>
      <c r="B17" s="328"/>
      <c r="C17" s="33" t="s">
        <v>36</v>
      </c>
      <c r="D17" s="34">
        <v>100</v>
      </c>
      <c r="E17" s="34">
        <v>48.8</v>
      </c>
      <c r="F17" s="34">
        <v>21.8</v>
      </c>
      <c r="G17" s="35">
        <v>27</v>
      </c>
      <c r="H17" s="328"/>
      <c r="I17" s="329"/>
      <c r="J17" s="329"/>
      <c r="K17" s="330"/>
      <c r="L17" s="331"/>
      <c r="M17" s="332"/>
    </row>
    <row r="18" spans="1:13" ht="174" customHeight="1" x14ac:dyDescent="0.3">
      <c r="A18" s="22" t="s">
        <v>37</v>
      </c>
      <c r="B18" s="23" t="s">
        <v>38</v>
      </c>
      <c r="C18" s="24" t="s">
        <v>27</v>
      </c>
      <c r="D18" s="25">
        <v>27</v>
      </c>
      <c r="E18" s="25">
        <v>27</v>
      </c>
      <c r="F18" s="25">
        <v>0</v>
      </c>
      <c r="G18" s="26">
        <v>27</v>
      </c>
      <c r="H18" s="27" t="s">
        <v>39</v>
      </c>
      <c r="I18" s="28" t="s">
        <v>29</v>
      </c>
      <c r="J18" s="28">
        <v>1</v>
      </c>
      <c r="K18" s="36">
        <v>0</v>
      </c>
      <c r="L18" s="27"/>
      <c r="M18" s="30" t="s">
        <v>40</v>
      </c>
    </row>
    <row r="19" spans="1:13" ht="224.25" customHeight="1" x14ac:dyDescent="0.3">
      <c r="A19" s="327" t="s">
        <v>41</v>
      </c>
      <c r="B19" s="328" t="s">
        <v>42</v>
      </c>
      <c r="C19" s="24"/>
      <c r="D19" s="31">
        <f>SUM(D20:D21)</f>
        <v>56.2</v>
      </c>
      <c r="E19" s="31">
        <f>SUM(E20:E21)</f>
        <v>107.4</v>
      </c>
      <c r="F19" s="31">
        <f>SUM(F20:F21)</f>
        <v>98</v>
      </c>
      <c r="G19" s="32">
        <f>SUM(G20:G21)</f>
        <v>9.4</v>
      </c>
      <c r="H19" s="328" t="s">
        <v>43</v>
      </c>
      <c r="I19" s="329" t="s">
        <v>29</v>
      </c>
      <c r="J19" s="329">
        <v>150</v>
      </c>
      <c r="K19" s="333">
        <v>404</v>
      </c>
      <c r="L19" s="328" t="s">
        <v>44</v>
      </c>
      <c r="M19" s="334" t="s">
        <v>45</v>
      </c>
    </row>
    <row r="20" spans="1:13" ht="20.25" customHeight="1" x14ac:dyDescent="0.3">
      <c r="A20" s="327"/>
      <c r="B20" s="328"/>
      <c r="C20" s="33" t="s">
        <v>27</v>
      </c>
      <c r="D20" s="34">
        <v>3.7</v>
      </c>
      <c r="E20" s="34">
        <v>3.7</v>
      </c>
      <c r="F20" s="34">
        <v>3.7</v>
      </c>
      <c r="G20" s="35">
        <v>0</v>
      </c>
      <c r="H20" s="328"/>
      <c r="I20" s="329"/>
      <c r="J20" s="329"/>
      <c r="K20" s="333"/>
      <c r="L20" s="328"/>
      <c r="M20" s="334"/>
    </row>
    <row r="21" spans="1:13" ht="20.25" customHeight="1" x14ac:dyDescent="0.3">
      <c r="A21" s="327"/>
      <c r="B21" s="328"/>
      <c r="C21" s="33" t="s">
        <v>36</v>
      </c>
      <c r="D21" s="34">
        <v>52.5</v>
      </c>
      <c r="E21" s="34">
        <v>103.7</v>
      </c>
      <c r="F21" s="34">
        <v>94.3</v>
      </c>
      <c r="G21" s="35">
        <v>9.4</v>
      </c>
      <c r="H21" s="328"/>
      <c r="I21" s="329"/>
      <c r="J21" s="329"/>
      <c r="K21" s="333"/>
      <c r="L21" s="328"/>
      <c r="M21" s="334"/>
    </row>
    <row r="22" spans="1:13" ht="47.25" customHeight="1" x14ac:dyDescent="0.3">
      <c r="A22" s="16" t="s">
        <v>46</v>
      </c>
      <c r="B22" s="323" t="s">
        <v>47</v>
      </c>
      <c r="C22" s="323"/>
      <c r="D22" s="17">
        <f>SUM(D23:D23)</f>
        <v>104.4</v>
      </c>
      <c r="E22" s="17">
        <f>SUM(E23:E23)</f>
        <v>110.7</v>
      </c>
      <c r="F22" s="17">
        <f>SUM(F23:F23)</f>
        <v>36.299999999999997</v>
      </c>
      <c r="G22" s="18">
        <f>SUM(G23:G23)</f>
        <v>74.400000000000006</v>
      </c>
      <c r="H22" s="324"/>
      <c r="I22" s="324"/>
      <c r="J22" s="324"/>
      <c r="K22" s="324"/>
      <c r="L22" s="324"/>
      <c r="M22" s="324"/>
    </row>
    <row r="23" spans="1:13" ht="48" customHeight="1" x14ac:dyDescent="0.3">
      <c r="A23" s="19" t="s">
        <v>48</v>
      </c>
      <c r="B23" s="325" t="s">
        <v>49</v>
      </c>
      <c r="C23" s="325"/>
      <c r="D23" s="20">
        <f>D24+D28</f>
        <v>104.4</v>
      </c>
      <c r="E23" s="20">
        <f>E24+E28</f>
        <v>110.7</v>
      </c>
      <c r="F23" s="20">
        <f>F24+F28</f>
        <v>36.299999999999997</v>
      </c>
      <c r="G23" s="21">
        <f>G24+G28</f>
        <v>74.400000000000006</v>
      </c>
      <c r="H23" s="326"/>
      <c r="I23" s="326"/>
      <c r="J23" s="326"/>
      <c r="K23" s="326"/>
      <c r="L23" s="326"/>
      <c r="M23" s="326"/>
    </row>
    <row r="24" spans="1:13" ht="165" customHeight="1" x14ac:dyDescent="0.3">
      <c r="A24" s="22" t="s">
        <v>50</v>
      </c>
      <c r="B24" s="23" t="s">
        <v>51</v>
      </c>
      <c r="C24" s="24"/>
      <c r="D24" s="31">
        <f>SUM(D25:D27)</f>
        <v>93.5</v>
      </c>
      <c r="E24" s="31">
        <f>SUM(E25:E27)</f>
        <v>103.2</v>
      </c>
      <c r="F24" s="31">
        <f>SUM(F25:F27)</f>
        <v>36.299999999999997</v>
      </c>
      <c r="G24" s="32">
        <f>SUM(G25:G27)</f>
        <v>66.900000000000006</v>
      </c>
      <c r="H24" s="27" t="s">
        <v>52</v>
      </c>
      <c r="I24" s="28" t="s">
        <v>29</v>
      </c>
      <c r="J24" s="28">
        <v>4</v>
      </c>
      <c r="K24" s="29">
        <v>4</v>
      </c>
      <c r="L24" s="37" t="s">
        <v>53</v>
      </c>
      <c r="M24" s="38" t="s">
        <v>54</v>
      </c>
    </row>
    <row r="25" spans="1:13" ht="62.4" x14ac:dyDescent="0.3">
      <c r="A25" s="335"/>
      <c r="B25" s="336"/>
      <c r="C25" s="33"/>
      <c r="D25" s="35">
        <v>0</v>
      </c>
      <c r="E25" s="35">
        <v>0</v>
      </c>
      <c r="F25" s="35">
        <v>0</v>
      </c>
      <c r="G25" s="35">
        <v>0</v>
      </c>
      <c r="H25" s="39" t="s">
        <v>55</v>
      </c>
      <c r="I25" s="40" t="s">
        <v>56</v>
      </c>
      <c r="J25" s="40">
        <v>100</v>
      </c>
      <c r="K25" s="41">
        <v>100</v>
      </c>
      <c r="L25" s="42" t="s">
        <v>57</v>
      </c>
      <c r="M25" s="43"/>
    </row>
    <row r="26" spans="1:13" ht="20.25" customHeight="1" x14ac:dyDescent="0.3">
      <c r="A26" s="335"/>
      <c r="B26" s="336"/>
      <c r="C26" s="33"/>
      <c r="D26" s="35">
        <v>0</v>
      </c>
      <c r="E26" s="35">
        <v>0</v>
      </c>
      <c r="F26" s="35">
        <v>0</v>
      </c>
      <c r="G26" s="35">
        <v>0</v>
      </c>
      <c r="H26" s="337" t="s">
        <v>58</v>
      </c>
      <c r="I26" s="338" t="s">
        <v>29</v>
      </c>
      <c r="J26" s="338">
        <v>1</v>
      </c>
      <c r="K26" s="339">
        <v>1</v>
      </c>
      <c r="L26" s="337" t="s">
        <v>59</v>
      </c>
      <c r="M26" s="340"/>
    </row>
    <row r="27" spans="1:13" ht="35.25" customHeight="1" x14ac:dyDescent="0.3">
      <c r="A27" s="335"/>
      <c r="B27" s="336"/>
      <c r="C27" s="33" t="s">
        <v>27</v>
      </c>
      <c r="D27" s="34">
        <v>93.5</v>
      </c>
      <c r="E27" s="34">
        <v>103.2</v>
      </c>
      <c r="F27" s="34">
        <v>36.299999999999997</v>
      </c>
      <c r="G27" s="35">
        <v>66.900000000000006</v>
      </c>
      <c r="H27" s="337"/>
      <c r="I27" s="338"/>
      <c r="J27" s="338"/>
      <c r="K27" s="339"/>
      <c r="L27" s="337"/>
      <c r="M27" s="340"/>
    </row>
    <row r="28" spans="1:13" ht="161.25" customHeight="1" x14ac:dyDescent="0.3">
      <c r="A28" s="22" t="s">
        <v>60</v>
      </c>
      <c r="B28" s="23" t="s">
        <v>61</v>
      </c>
      <c r="C28" s="24" t="s">
        <v>27</v>
      </c>
      <c r="D28" s="25">
        <v>10.9</v>
      </c>
      <c r="E28" s="25">
        <v>7.5</v>
      </c>
      <c r="F28" s="25">
        <v>0</v>
      </c>
      <c r="G28" s="26">
        <v>7.5</v>
      </c>
      <c r="H28" s="27" t="s">
        <v>62</v>
      </c>
      <c r="I28" s="28" t="s">
        <v>29</v>
      </c>
      <c r="J28" s="28">
        <v>1</v>
      </c>
      <c r="K28" s="36">
        <v>0</v>
      </c>
      <c r="L28" s="27"/>
      <c r="M28" s="30" t="s">
        <v>63</v>
      </c>
    </row>
    <row r="29" spans="1:13" ht="32.25" customHeight="1" x14ac:dyDescent="0.3">
      <c r="A29" s="16" t="s">
        <v>64</v>
      </c>
      <c r="B29" s="323" t="s">
        <v>65</v>
      </c>
      <c r="C29" s="323"/>
      <c r="D29" s="17">
        <f>SUM(D30:D30)</f>
        <v>8.6999999999999993</v>
      </c>
      <c r="E29" s="17">
        <f>SUM(E30:E30)</f>
        <v>8.6999999999999993</v>
      </c>
      <c r="F29" s="17">
        <f>SUM(F30:F30)</f>
        <v>1.5</v>
      </c>
      <c r="G29" s="18">
        <f>SUM(G30:G30)</f>
        <v>7.2</v>
      </c>
      <c r="H29" s="324"/>
      <c r="I29" s="324"/>
      <c r="J29" s="324"/>
      <c r="K29" s="324"/>
      <c r="L29" s="324"/>
      <c r="M29" s="324"/>
    </row>
    <row r="30" spans="1:13" ht="31.8" customHeight="1" x14ac:dyDescent="0.3">
      <c r="A30" s="19" t="s">
        <v>66</v>
      </c>
      <c r="B30" s="341" t="s">
        <v>67</v>
      </c>
      <c r="C30" s="341"/>
      <c r="D30" s="20">
        <f>SUM(D31:D32)</f>
        <v>8.6999999999999993</v>
      </c>
      <c r="E30" s="20">
        <f>SUM(E31:E32)</f>
        <v>8.6999999999999993</v>
      </c>
      <c r="F30" s="20">
        <f>SUM(F31:F32)</f>
        <v>1.5</v>
      </c>
      <c r="G30" s="21">
        <f>SUM(G31:G32)</f>
        <v>7.2</v>
      </c>
      <c r="H30" s="326"/>
      <c r="I30" s="326"/>
      <c r="J30" s="326"/>
      <c r="K30" s="326"/>
      <c r="L30" s="326"/>
      <c r="M30" s="326"/>
    </row>
    <row r="31" spans="1:13" ht="156" customHeight="1" x14ac:dyDescent="0.3">
      <c r="A31" s="22" t="s">
        <v>68</v>
      </c>
      <c r="B31" s="23" t="s">
        <v>69</v>
      </c>
      <c r="C31" s="24" t="s">
        <v>27</v>
      </c>
      <c r="D31" s="25">
        <v>1.5</v>
      </c>
      <c r="E31" s="25">
        <v>1.5</v>
      </c>
      <c r="F31" s="25">
        <v>1.5</v>
      </c>
      <c r="G31" s="26">
        <v>0</v>
      </c>
      <c r="H31" s="27" t="s">
        <v>70</v>
      </c>
      <c r="I31" s="28" t="s">
        <v>29</v>
      </c>
      <c r="J31" s="28">
        <v>1</v>
      </c>
      <c r="K31" s="29">
        <v>1</v>
      </c>
      <c r="L31" s="37" t="s">
        <v>71</v>
      </c>
      <c r="M31" s="30"/>
    </row>
    <row r="32" spans="1:13" ht="78" x14ac:dyDescent="0.3">
      <c r="A32" s="22" t="s">
        <v>72</v>
      </c>
      <c r="B32" s="23" t="s">
        <v>73</v>
      </c>
      <c r="C32" s="24" t="s">
        <v>27</v>
      </c>
      <c r="D32" s="26">
        <v>7.2</v>
      </c>
      <c r="E32" s="26">
        <v>7.2</v>
      </c>
      <c r="F32" s="26">
        <v>0</v>
      </c>
      <c r="G32" s="26">
        <v>7.2</v>
      </c>
      <c r="H32" s="27" t="s">
        <v>74</v>
      </c>
      <c r="I32" s="28" t="s">
        <v>29</v>
      </c>
      <c r="J32" s="28">
        <v>1</v>
      </c>
      <c r="K32" s="36">
        <v>0</v>
      </c>
      <c r="L32" s="27"/>
      <c r="M32" s="30" t="s">
        <v>75</v>
      </c>
    </row>
    <row r="33" spans="1:13" ht="48" customHeight="1" x14ac:dyDescent="0.3">
      <c r="A33" s="16" t="s">
        <v>76</v>
      </c>
      <c r="B33" s="323" t="s">
        <v>77</v>
      </c>
      <c r="C33" s="323"/>
      <c r="D33" s="17">
        <f>D34+D36</f>
        <v>25.5</v>
      </c>
      <c r="E33" s="17">
        <f>E34+E36</f>
        <v>25.5</v>
      </c>
      <c r="F33" s="17">
        <f>F34+F36</f>
        <v>23.9</v>
      </c>
      <c r="G33" s="18">
        <f>G34+G36</f>
        <v>1.6</v>
      </c>
      <c r="H33" s="324"/>
      <c r="I33" s="324"/>
      <c r="J33" s="324"/>
      <c r="K33" s="324"/>
      <c r="L33" s="324"/>
      <c r="M33" s="324"/>
    </row>
    <row r="34" spans="1:13" ht="48" customHeight="1" x14ac:dyDescent="0.3">
      <c r="A34" s="19" t="s">
        <v>78</v>
      </c>
      <c r="B34" s="325" t="s">
        <v>79</v>
      </c>
      <c r="C34" s="325"/>
      <c r="D34" s="20">
        <f>SUM(D35:D35)</f>
        <v>15.5</v>
      </c>
      <c r="E34" s="20">
        <f>SUM(E35:E35)</f>
        <v>15.5</v>
      </c>
      <c r="F34" s="20">
        <f>SUM(F35:F35)</f>
        <v>15.5</v>
      </c>
      <c r="G34" s="21">
        <f>SUM(G35:G35)</f>
        <v>0</v>
      </c>
      <c r="H34" s="326"/>
      <c r="I34" s="326"/>
      <c r="J34" s="326"/>
      <c r="K34" s="326"/>
      <c r="L34" s="326"/>
      <c r="M34" s="326"/>
    </row>
    <row r="35" spans="1:13" ht="409.6" x14ac:dyDescent="0.3">
      <c r="A35" s="22" t="s">
        <v>80</v>
      </c>
      <c r="B35" s="23" t="s">
        <v>81</v>
      </c>
      <c r="C35" s="24" t="s">
        <v>27</v>
      </c>
      <c r="D35" s="25">
        <v>15.5</v>
      </c>
      <c r="E35" s="25">
        <v>15.5</v>
      </c>
      <c r="F35" s="25">
        <v>15.5</v>
      </c>
      <c r="G35" s="26">
        <v>0</v>
      </c>
      <c r="H35" s="27" t="s">
        <v>82</v>
      </c>
      <c r="I35" s="28" t="s">
        <v>29</v>
      </c>
      <c r="J35" s="28">
        <v>3</v>
      </c>
      <c r="K35" s="29">
        <v>6</v>
      </c>
      <c r="L35" s="27" t="s">
        <v>83</v>
      </c>
      <c r="M35" s="30"/>
    </row>
    <row r="36" spans="1:13" ht="31.2" x14ac:dyDescent="0.3">
      <c r="A36" s="19" t="s">
        <v>84</v>
      </c>
      <c r="B36" s="46" t="s">
        <v>85</v>
      </c>
      <c r="C36" s="47"/>
      <c r="D36" s="21">
        <f>SUM(D37:D37)</f>
        <v>10</v>
      </c>
      <c r="E36" s="21">
        <f>SUM(E37:E37)</f>
        <v>10</v>
      </c>
      <c r="F36" s="21">
        <f>SUM(F37:F37)</f>
        <v>8.4</v>
      </c>
      <c r="G36" s="21">
        <f>SUM(G37:G37)</f>
        <v>1.6</v>
      </c>
      <c r="H36" s="326"/>
      <c r="I36" s="326"/>
      <c r="J36" s="326"/>
      <c r="K36" s="326"/>
      <c r="L36" s="326"/>
      <c r="M36" s="326"/>
    </row>
    <row r="37" spans="1:13" ht="140.4" x14ac:dyDescent="0.3">
      <c r="A37" s="22" t="s">
        <v>86</v>
      </c>
      <c r="B37" s="23" t="s">
        <v>87</v>
      </c>
      <c r="C37" s="24" t="s">
        <v>27</v>
      </c>
      <c r="D37" s="26">
        <v>10</v>
      </c>
      <c r="E37" s="26">
        <v>10</v>
      </c>
      <c r="F37" s="26">
        <v>8.4</v>
      </c>
      <c r="G37" s="26">
        <v>1.6</v>
      </c>
      <c r="H37" s="27" t="s">
        <v>88</v>
      </c>
      <c r="I37" s="28" t="s">
        <v>29</v>
      </c>
      <c r="J37" s="28">
        <v>10</v>
      </c>
      <c r="K37" s="48">
        <v>2</v>
      </c>
      <c r="L37" s="27" t="s">
        <v>89</v>
      </c>
      <c r="M37" s="30" t="s">
        <v>90</v>
      </c>
    </row>
    <row r="38" spans="1:13" ht="48" customHeight="1" x14ac:dyDescent="0.3">
      <c r="A38" s="16" t="s">
        <v>91</v>
      </c>
      <c r="B38" s="323" t="s">
        <v>92</v>
      </c>
      <c r="C38" s="323"/>
      <c r="D38" s="18">
        <f t="shared" ref="D38:G39" si="0">SUM(D39:D39)</f>
        <v>863.59999999999991</v>
      </c>
      <c r="E38" s="18">
        <f t="shared" si="0"/>
        <v>818.59999999999991</v>
      </c>
      <c r="F38" s="18">
        <f t="shared" si="0"/>
        <v>390.3</v>
      </c>
      <c r="G38" s="18">
        <f t="shared" si="0"/>
        <v>428.3</v>
      </c>
      <c r="H38" s="324"/>
      <c r="I38" s="324"/>
      <c r="J38" s="324"/>
      <c r="K38" s="324"/>
      <c r="L38" s="324"/>
      <c r="M38" s="324"/>
    </row>
    <row r="39" spans="1:13" ht="95.25" customHeight="1" x14ac:dyDescent="0.3">
      <c r="A39" s="19" t="s">
        <v>93</v>
      </c>
      <c r="B39" s="325" t="s">
        <v>94</v>
      </c>
      <c r="C39" s="325"/>
      <c r="D39" s="21">
        <f t="shared" si="0"/>
        <v>863.59999999999991</v>
      </c>
      <c r="E39" s="21">
        <f t="shared" si="0"/>
        <v>818.59999999999991</v>
      </c>
      <c r="F39" s="21">
        <f t="shared" si="0"/>
        <v>390.3</v>
      </c>
      <c r="G39" s="21">
        <f t="shared" si="0"/>
        <v>428.3</v>
      </c>
      <c r="H39" s="326"/>
      <c r="I39" s="326"/>
      <c r="J39" s="326"/>
      <c r="K39" s="326"/>
      <c r="L39" s="326"/>
      <c r="M39" s="326"/>
    </row>
    <row r="40" spans="1:13" ht="394.5" customHeight="1" x14ac:dyDescent="0.3">
      <c r="A40" s="22" t="s">
        <v>95</v>
      </c>
      <c r="B40" s="23" t="s">
        <v>96</v>
      </c>
      <c r="C40" s="24"/>
      <c r="D40" s="32">
        <f>SUM(D41:D42)</f>
        <v>863.59999999999991</v>
      </c>
      <c r="E40" s="32">
        <f>SUM(E41:E42)</f>
        <v>818.59999999999991</v>
      </c>
      <c r="F40" s="32">
        <f>SUM(F41:F42)</f>
        <v>390.3</v>
      </c>
      <c r="G40" s="32">
        <f>SUM(G41:G42)</f>
        <v>428.3</v>
      </c>
      <c r="H40" s="27" t="s">
        <v>97</v>
      </c>
      <c r="I40" s="28" t="s">
        <v>29</v>
      </c>
      <c r="J40" s="28">
        <v>37</v>
      </c>
      <c r="K40" s="48">
        <v>20</v>
      </c>
      <c r="L40" s="49" t="s">
        <v>98</v>
      </c>
      <c r="M40" s="50" t="s">
        <v>99</v>
      </c>
    </row>
    <row r="41" spans="1:13" ht="15.6" x14ac:dyDescent="0.3">
      <c r="A41" s="51"/>
      <c r="B41" s="52"/>
      <c r="C41" s="33" t="s">
        <v>27</v>
      </c>
      <c r="D41" s="35">
        <v>832.3</v>
      </c>
      <c r="E41" s="35">
        <v>787.3</v>
      </c>
      <c r="F41" s="35">
        <v>359</v>
      </c>
      <c r="G41" s="35">
        <v>428.3</v>
      </c>
      <c r="H41" s="39"/>
      <c r="I41" s="40"/>
      <c r="J41" s="40"/>
      <c r="K41" s="40"/>
      <c r="L41" s="39"/>
      <c r="M41" s="53"/>
    </row>
    <row r="42" spans="1:13" ht="15.6" x14ac:dyDescent="0.3">
      <c r="A42" s="54"/>
      <c r="B42" s="55"/>
      <c r="C42" s="56" t="s">
        <v>36</v>
      </c>
      <c r="D42" s="57">
        <v>31.3</v>
      </c>
      <c r="E42" s="57">
        <v>31.3</v>
      </c>
      <c r="F42" s="57">
        <v>31.3</v>
      </c>
      <c r="G42" s="57">
        <v>0</v>
      </c>
      <c r="H42" s="44"/>
      <c r="I42" s="45"/>
      <c r="J42" s="45"/>
      <c r="K42" s="45"/>
      <c r="L42" s="44"/>
      <c r="M42" s="58"/>
    </row>
    <row r="43" spans="1:13" s="65" customFormat="1" ht="15.6" x14ac:dyDescent="0.3">
      <c r="A43" s="59"/>
      <c r="B43" s="60"/>
      <c r="C43" s="61"/>
      <c r="D43" s="62"/>
      <c r="E43" s="62"/>
      <c r="F43" s="62"/>
      <c r="G43" s="62"/>
      <c r="H43" s="61"/>
      <c r="I43" s="63"/>
      <c r="J43" s="64"/>
      <c r="K43" s="64"/>
      <c r="L43" s="61"/>
      <c r="M43" s="61"/>
    </row>
    <row r="44" spans="1:13" s="65" customFormat="1" ht="15.6" customHeight="1" x14ac:dyDescent="0.3">
      <c r="A44" s="59"/>
      <c r="B44" s="342" t="s">
        <v>100</v>
      </c>
      <c r="C44" s="342"/>
      <c r="D44" s="342"/>
      <c r="E44" s="342"/>
      <c r="F44" s="342"/>
      <c r="G44" s="62"/>
      <c r="H44" s="61"/>
      <c r="I44" s="63"/>
      <c r="J44" s="64"/>
      <c r="K44" s="64"/>
      <c r="L44" s="61"/>
      <c r="M44" s="61"/>
    </row>
    <row r="45" spans="1:13" s="65" customFormat="1" ht="15.6" x14ac:dyDescent="0.3">
      <c r="A45" s="59"/>
      <c r="B45" s="60"/>
      <c r="C45" s="61"/>
      <c r="D45" s="62"/>
      <c r="E45" s="62"/>
      <c r="F45" s="62"/>
      <c r="G45" s="62"/>
      <c r="H45" s="61"/>
      <c r="I45" s="63"/>
      <c r="J45" s="64"/>
      <c r="K45" s="64"/>
      <c r="L45" s="61"/>
      <c r="M45" s="61"/>
    </row>
    <row r="46" spans="1:13" ht="95.25" customHeight="1" x14ac:dyDescent="0.3">
      <c r="A46" s="66" t="s">
        <v>5</v>
      </c>
      <c r="B46" s="66" t="s">
        <v>101</v>
      </c>
      <c r="C46" s="67" t="s">
        <v>102</v>
      </c>
      <c r="D46" s="66" t="s">
        <v>103</v>
      </c>
      <c r="E46" s="66" t="s">
        <v>104</v>
      </c>
      <c r="F46" s="66" t="s">
        <v>9</v>
      </c>
      <c r="G46" s="10"/>
      <c r="H46" s="10"/>
      <c r="I46" s="10"/>
      <c r="J46" s="10"/>
      <c r="K46" s="68"/>
      <c r="L46" s="69" t="s">
        <v>101</v>
      </c>
      <c r="M46" s="69" t="s">
        <v>105</v>
      </c>
    </row>
    <row r="47" spans="1:13" ht="54" customHeight="1" x14ac:dyDescent="0.3">
      <c r="A47" s="40" t="s">
        <v>106</v>
      </c>
      <c r="B47" s="70" t="s">
        <v>107</v>
      </c>
      <c r="C47" s="71">
        <v>1191.4000000000001</v>
      </c>
      <c r="D47" s="72">
        <f>SUM(D48:D49)</f>
        <v>1174.5</v>
      </c>
      <c r="E47" s="72">
        <f>SUM(E48:E49)</f>
        <v>577.6</v>
      </c>
      <c r="F47" s="72">
        <f>SUM(F48:F49)</f>
        <v>596.9</v>
      </c>
      <c r="G47" s="10"/>
      <c r="H47" s="10"/>
      <c r="I47" s="10"/>
      <c r="J47" s="10"/>
      <c r="K47" s="73"/>
      <c r="L47" s="74" t="s">
        <v>108</v>
      </c>
      <c r="M47" s="75">
        <v>5</v>
      </c>
    </row>
    <row r="48" spans="1:13" ht="59.25" customHeight="1" x14ac:dyDescent="0.3">
      <c r="A48" s="40" t="s">
        <v>27</v>
      </c>
      <c r="B48" s="52" t="s">
        <v>109</v>
      </c>
      <c r="C48" s="76">
        <v>1007.6</v>
      </c>
      <c r="D48" s="77">
        <v>990.7</v>
      </c>
      <c r="E48" s="77">
        <v>430.2</v>
      </c>
      <c r="F48" s="77">
        <v>560.5</v>
      </c>
      <c r="G48" s="10"/>
      <c r="H48" s="10"/>
      <c r="I48" s="10"/>
      <c r="J48" s="10"/>
      <c r="K48" s="78"/>
      <c r="L48" s="74" t="s">
        <v>110</v>
      </c>
      <c r="M48" s="75">
        <v>3</v>
      </c>
    </row>
    <row r="49" spans="1:13" ht="67.5" customHeight="1" x14ac:dyDescent="0.3">
      <c r="A49" s="40" t="s">
        <v>36</v>
      </c>
      <c r="B49" s="52" t="s">
        <v>111</v>
      </c>
      <c r="C49" s="76">
        <v>183.8</v>
      </c>
      <c r="D49" s="77">
        <v>183.8</v>
      </c>
      <c r="E49" s="77">
        <v>147.4</v>
      </c>
      <c r="F49" s="77">
        <v>36.4</v>
      </c>
      <c r="G49" s="10"/>
      <c r="H49" s="10"/>
      <c r="I49" s="10"/>
      <c r="J49" s="10"/>
      <c r="K49" s="79"/>
      <c r="L49" s="74" t="s">
        <v>112</v>
      </c>
      <c r="M49" s="75">
        <v>3</v>
      </c>
    </row>
    <row r="50" spans="1:13" ht="24" customHeight="1" x14ac:dyDescent="0.3">
      <c r="A50" s="80"/>
      <c r="B50" s="81" t="s">
        <v>113</v>
      </c>
      <c r="C50" s="82">
        <f>SUM(C47:C47)</f>
        <v>1191.4000000000001</v>
      </c>
      <c r="D50" s="83">
        <f>SUM(D47:D47)</f>
        <v>1174.5</v>
      </c>
      <c r="E50" s="83">
        <f>SUM(E47:E47)</f>
        <v>577.6</v>
      </c>
      <c r="F50" s="83">
        <f>SUM(F47:F47)</f>
        <v>596.9</v>
      </c>
      <c r="G50" s="10"/>
      <c r="H50" s="10"/>
      <c r="I50" s="10"/>
      <c r="J50" s="10"/>
      <c r="K50" s="84"/>
      <c r="L50" s="84" t="s">
        <v>114</v>
      </c>
      <c r="M50" s="85">
        <v>11</v>
      </c>
    </row>
    <row r="51" spans="1:13" ht="15.6" x14ac:dyDescent="0.3">
      <c r="A51" s="10"/>
      <c r="B51" s="10"/>
      <c r="C51" s="10"/>
      <c r="D51" s="10"/>
      <c r="E51" s="10"/>
      <c r="F51" s="10"/>
      <c r="G51" s="10"/>
      <c r="H51" s="10"/>
      <c r="I51" s="10"/>
      <c r="J51" s="10"/>
      <c r="K51" s="10"/>
      <c r="L51" s="10"/>
      <c r="M51" s="10"/>
    </row>
    <row r="52" spans="1:13" ht="15.6" x14ac:dyDescent="0.3">
      <c r="A52" s="10"/>
      <c r="B52" s="10"/>
      <c r="C52" s="10"/>
      <c r="D52" s="10"/>
      <c r="E52" s="10"/>
      <c r="F52" s="10"/>
      <c r="G52" s="10"/>
      <c r="H52" s="10"/>
      <c r="I52" s="10"/>
      <c r="J52" s="10"/>
      <c r="K52" s="10"/>
      <c r="L52" s="10"/>
      <c r="M52" s="10"/>
    </row>
  </sheetData>
  <mergeCells count="62">
    <mergeCell ref="B39:C39"/>
    <mergeCell ref="H39:M39"/>
    <mergeCell ref="B44:F44"/>
    <mergeCell ref="B34:C34"/>
    <mergeCell ref="H34:M34"/>
    <mergeCell ref="H36:M36"/>
    <mergeCell ref="B38:C38"/>
    <mergeCell ref="H38:M38"/>
    <mergeCell ref="B29:C29"/>
    <mergeCell ref="H29:M29"/>
    <mergeCell ref="B30:C30"/>
    <mergeCell ref="H30:M30"/>
    <mergeCell ref="B33:C33"/>
    <mergeCell ref="H33:M33"/>
    <mergeCell ref="B23:C23"/>
    <mergeCell ref="H23:M23"/>
    <mergeCell ref="A25:A27"/>
    <mergeCell ref="B25:B27"/>
    <mergeCell ref="H26:H27"/>
    <mergeCell ref="I26:I27"/>
    <mergeCell ref="J26:J27"/>
    <mergeCell ref="K26:K27"/>
    <mergeCell ref="L26:L27"/>
    <mergeCell ref="M26:M27"/>
    <mergeCell ref="K19:K21"/>
    <mergeCell ref="L19:L21"/>
    <mergeCell ref="M19:M21"/>
    <mergeCell ref="B22:C22"/>
    <mergeCell ref="H22:M22"/>
    <mergeCell ref="A19:A21"/>
    <mergeCell ref="B19:B21"/>
    <mergeCell ref="H19:H21"/>
    <mergeCell ref="I19:I21"/>
    <mergeCell ref="J19:J21"/>
    <mergeCell ref="B12:C12"/>
    <mergeCell ref="H12:M12"/>
    <mergeCell ref="B13:C13"/>
    <mergeCell ref="H13:M13"/>
    <mergeCell ref="A15:A17"/>
    <mergeCell ref="B15:B17"/>
    <mergeCell ref="H15:H17"/>
    <mergeCell ref="I15:I17"/>
    <mergeCell ref="J15:J17"/>
    <mergeCell ref="K15:K17"/>
    <mergeCell ref="L15:L17"/>
    <mergeCell ref="M15:M17"/>
    <mergeCell ref="H8:K9"/>
    <mergeCell ref="L8:L10"/>
    <mergeCell ref="M8:M10"/>
    <mergeCell ref="H10:I10"/>
    <mergeCell ref="B11:C11"/>
    <mergeCell ref="H11:M11"/>
    <mergeCell ref="A8:A10"/>
    <mergeCell ref="B8:B10"/>
    <mergeCell ref="C8:C10"/>
    <mergeCell ref="D8:F9"/>
    <mergeCell ref="G8:G10"/>
    <mergeCell ref="L1:M1"/>
    <mergeCell ref="L2:M2"/>
    <mergeCell ref="L3:M3"/>
    <mergeCell ref="A5:M5"/>
    <mergeCell ref="B6:M6"/>
  </mergeCells>
  <pageMargins left="0.23611111111111099" right="0.23611111111111099" top="0.74861111111111101" bottom="0.74791666666666701" header="0.31527777777777799" footer="0.51180555555555496"/>
  <pageSetup paperSize="9" scale="80" firstPageNumber="0" orientation="landscape" horizontalDpi="300" verticalDpi="300"/>
  <headerFooter>
    <oddHeader>&amp;C&amp;P</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151"/>
  <sheetViews>
    <sheetView topLeftCell="A131" zoomScale="50" zoomScaleNormal="50" workbookViewId="0">
      <selection activeCell="Q135" sqref="Q135"/>
    </sheetView>
  </sheetViews>
  <sheetFormatPr defaultColWidth="9.109375" defaultRowHeight="14.4" x14ac:dyDescent="0.3"/>
  <cols>
    <col min="1" max="1" width="8.44140625" style="86" customWidth="1"/>
    <col min="2" max="2" width="22.33203125" style="86" customWidth="1"/>
    <col min="3" max="3" width="11.5546875" style="86" customWidth="1"/>
    <col min="4" max="5" width="11.6640625" style="86" customWidth="1"/>
    <col min="6" max="6" width="13" style="86" customWidth="1"/>
    <col min="7" max="7" width="13.44140625" style="86" hidden="1" customWidth="1"/>
    <col min="8" max="8" width="26.109375" style="86" customWidth="1"/>
    <col min="9" max="9" width="5.6640625" style="86" customWidth="1"/>
    <col min="10" max="10" width="7.6640625" style="86" customWidth="1"/>
    <col min="11" max="11" width="8.5546875" style="86" customWidth="1"/>
    <col min="12" max="12" width="32.5546875" style="86" customWidth="1"/>
    <col min="13" max="13" width="44.6640625" style="86" customWidth="1"/>
    <col min="14" max="1024" width="9.109375" style="86"/>
  </cols>
  <sheetData>
    <row r="1" spans="1:13" s="90" customFormat="1" x14ac:dyDescent="0.3">
      <c r="A1" s="215"/>
      <c r="B1" s="215"/>
      <c r="C1" s="215"/>
      <c r="D1" s="215"/>
      <c r="E1" s="215"/>
      <c r="F1" s="215"/>
      <c r="G1" s="215"/>
      <c r="H1" s="215"/>
      <c r="I1" s="215"/>
      <c r="J1" s="215"/>
      <c r="K1" s="215"/>
      <c r="L1" s="215"/>
      <c r="M1" s="87" t="s">
        <v>0</v>
      </c>
    </row>
    <row r="2" spans="1:13" s="90" customFormat="1" x14ac:dyDescent="0.3">
      <c r="A2" s="215"/>
      <c r="B2" s="215"/>
      <c r="C2" s="215"/>
      <c r="D2" s="215"/>
      <c r="E2" s="215"/>
      <c r="F2" s="215"/>
      <c r="G2" s="215"/>
      <c r="H2" s="215"/>
      <c r="I2" s="215"/>
      <c r="J2" s="215"/>
      <c r="K2" s="215"/>
      <c r="L2" s="215"/>
      <c r="M2" s="87" t="s">
        <v>1</v>
      </c>
    </row>
    <row r="3" spans="1:13" s="90" customFormat="1" x14ac:dyDescent="0.3">
      <c r="A3" s="215"/>
      <c r="B3" s="215"/>
      <c r="C3" s="215"/>
      <c r="D3" s="215"/>
      <c r="E3" s="215"/>
      <c r="F3" s="215"/>
      <c r="G3" s="215"/>
      <c r="H3" s="215"/>
      <c r="I3" s="215"/>
      <c r="J3" s="215"/>
      <c r="K3" s="215"/>
      <c r="L3" s="215"/>
      <c r="M3" s="87" t="s">
        <v>2</v>
      </c>
    </row>
    <row r="4" spans="1:13" s="90" customFormat="1" ht="12" customHeight="1" x14ac:dyDescent="0.3">
      <c r="A4" s="215"/>
      <c r="B4" s="215"/>
      <c r="C4" s="215"/>
      <c r="D4" s="215"/>
      <c r="E4" s="215"/>
      <c r="F4" s="215"/>
      <c r="G4" s="215"/>
      <c r="H4" s="215"/>
      <c r="I4" s="215"/>
      <c r="J4" s="215"/>
      <c r="K4" s="215"/>
      <c r="L4" s="215"/>
      <c r="M4" s="215"/>
    </row>
    <row r="5" spans="1:13" s="90" customFormat="1" ht="15.6" x14ac:dyDescent="0.3">
      <c r="A5" s="344" t="s">
        <v>3</v>
      </c>
      <c r="B5" s="344"/>
      <c r="C5" s="344"/>
      <c r="D5" s="344"/>
      <c r="E5" s="344"/>
      <c r="F5" s="344"/>
      <c r="G5" s="344"/>
      <c r="H5" s="344"/>
      <c r="I5" s="344"/>
      <c r="J5" s="344"/>
      <c r="K5" s="344"/>
      <c r="L5" s="344"/>
      <c r="M5" s="344"/>
    </row>
    <row r="6" spans="1:13" ht="15.6" x14ac:dyDescent="0.3">
      <c r="A6" s="344" t="s">
        <v>1143</v>
      </c>
      <c r="B6" s="344"/>
      <c r="C6" s="344"/>
      <c r="D6" s="344"/>
      <c r="E6" s="344"/>
      <c r="F6" s="344"/>
      <c r="G6" s="344"/>
      <c r="H6" s="344"/>
      <c r="I6" s="344"/>
      <c r="J6" s="344"/>
      <c r="K6" s="344"/>
      <c r="L6" s="344"/>
      <c r="M6" s="344"/>
    </row>
    <row r="9" spans="1:13" ht="15.6" customHeight="1" x14ac:dyDescent="0.3">
      <c r="A9" s="382" t="s">
        <v>5</v>
      </c>
      <c r="B9" s="383" t="s">
        <v>6</v>
      </c>
      <c r="C9" s="383" t="s">
        <v>7</v>
      </c>
      <c r="D9" s="383" t="s">
        <v>222</v>
      </c>
      <c r="E9" s="383" t="s">
        <v>223</v>
      </c>
      <c r="F9" s="383" t="s">
        <v>104</v>
      </c>
      <c r="G9" s="383" t="s">
        <v>9</v>
      </c>
      <c r="H9" s="424" t="s">
        <v>517</v>
      </c>
      <c r="I9" s="424"/>
      <c r="J9" s="424"/>
      <c r="K9" s="424"/>
      <c r="L9" s="424"/>
      <c r="M9" s="424"/>
    </row>
    <row r="10" spans="1:13" ht="15.6" customHeight="1" x14ac:dyDescent="0.3">
      <c r="A10" s="382"/>
      <c r="B10" s="383"/>
      <c r="C10" s="383"/>
      <c r="D10" s="383"/>
      <c r="E10" s="383"/>
      <c r="F10" s="383"/>
      <c r="G10" s="383"/>
      <c r="H10" s="388" t="s">
        <v>518</v>
      </c>
      <c r="I10" s="388" t="s">
        <v>519</v>
      </c>
      <c r="J10" s="425" t="s">
        <v>520</v>
      </c>
      <c r="K10" s="425"/>
      <c r="L10" s="388" t="s">
        <v>11</v>
      </c>
      <c r="M10" s="426" t="s">
        <v>12</v>
      </c>
    </row>
    <row r="11" spans="1:13" ht="43.8" customHeight="1" x14ac:dyDescent="0.3">
      <c r="A11" s="382"/>
      <c r="B11" s="383"/>
      <c r="C11" s="383"/>
      <c r="D11" s="383"/>
      <c r="E11" s="383"/>
      <c r="F11" s="383"/>
      <c r="G11" s="383"/>
      <c r="H11" s="383"/>
      <c r="I11" s="383"/>
      <c r="J11" s="166" t="s">
        <v>522</v>
      </c>
      <c r="K11" s="166" t="s">
        <v>523</v>
      </c>
      <c r="L11" s="388"/>
      <c r="M11" s="426"/>
    </row>
    <row r="12" spans="1:13" ht="46.8" x14ac:dyDescent="0.3">
      <c r="A12" s="196" t="s">
        <v>1144</v>
      </c>
      <c r="B12" s="167" t="s">
        <v>1145</v>
      </c>
      <c r="C12" s="168"/>
      <c r="D12" s="93">
        <f>D13+D109+D115+D132</f>
        <v>37057.199999999997</v>
      </c>
      <c r="E12" s="93">
        <f>E13+E109+E115+E132-0.1</f>
        <v>36801.899999999987</v>
      </c>
      <c r="F12" s="93">
        <f>F13+F109+F115+F132-0.1</f>
        <v>34033.500000000007</v>
      </c>
      <c r="G12" s="93">
        <f>G13+G109+G115+G132</f>
        <v>2768.4</v>
      </c>
      <c r="H12" s="355"/>
      <c r="I12" s="355"/>
      <c r="J12" s="355"/>
      <c r="K12" s="355"/>
      <c r="L12" s="355"/>
      <c r="M12" s="355"/>
    </row>
    <row r="13" spans="1:13" ht="109.2" x14ac:dyDescent="0.3">
      <c r="A13" s="225" t="s">
        <v>1146</v>
      </c>
      <c r="B13" s="137" t="s">
        <v>1147</v>
      </c>
      <c r="C13" s="138"/>
      <c r="D13" s="96">
        <f>D14+D20+D74+D79+D83+D89+D94+D99+D104+D106</f>
        <v>35254.800000000003</v>
      </c>
      <c r="E13" s="96">
        <f>E14+E20+E74+E79+E83+E89+E94+E99+E104+E106</f>
        <v>35050.399999999994</v>
      </c>
      <c r="F13" s="96">
        <f>F14+F20+F74+F79+F83+F89+F94+F99+F104+F106</f>
        <v>33144.6</v>
      </c>
      <c r="G13" s="96">
        <f>G14+G20+G74+G79+G83+G89+G94+G99+G104+G106+0.1</f>
        <v>1905.8000000000002</v>
      </c>
      <c r="H13" s="357"/>
      <c r="I13" s="357"/>
      <c r="J13" s="357"/>
      <c r="K13" s="357"/>
      <c r="L13" s="357"/>
      <c r="M13" s="357"/>
    </row>
    <row r="14" spans="1:13" ht="46.8" x14ac:dyDescent="0.3">
      <c r="A14" s="226" t="s">
        <v>1148</v>
      </c>
      <c r="B14" s="124" t="s">
        <v>1149</v>
      </c>
      <c r="C14" s="125"/>
      <c r="D14" s="99">
        <f>D15+D16+D17+D19</f>
        <v>1218.4000000000001</v>
      </c>
      <c r="E14" s="99">
        <f>E15+E16+E17+E19</f>
        <v>1681.3</v>
      </c>
      <c r="F14" s="99">
        <f>F15+F16+F17+F19</f>
        <v>1657.6999999999998</v>
      </c>
      <c r="G14" s="99">
        <f>G15+G16+G17+G19</f>
        <v>23.6</v>
      </c>
      <c r="H14" s="359"/>
      <c r="I14" s="359"/>
      <c r="J14" s="359"/>
      <c r="K14" s="359"/>
      <c r="L14" s="359"/>
      <c r="M14" s="359"/>
    </row>
    <row r="15" spans="1:13" ht="63.75" customHeight="1" x14ac:dyDescent="0.3">
      <c r="A15" s="100" t="s">
        <v>1150</v>
      </c>
      <c r="B15" s="101" t="s">
        <v>1151</v>
      </c>
      <c r="C15" s="102" t="s">
        <v>1079</v>
      </c>
      <c r="D15" s="104">
        <v>649.20000000000005</v>
      </c>
      <c r="E15" s="104">
        <v>1062.0999999999999</v>
      </c>
      <c r="F15" s="104">
        <v>1062.0999999999999</v>
      </c>
      <c r="G15" s="104">
        <v>0</v>
      </c>
      <c r="H15" s="105" t="s">
        <v>1152</v>
      </c>
      <c r="I15" s="106" t="s">
        <v>29</v>
      </c>
      <c r="J15" s="106">
        <v>3</v>
      </c>
      <c r="K15" s="117">
        <v>3</v>
      </c>
      <c r="L15" s="197" t="s">
        <v>1153</v>
      </c>
      <c r="M15" s="108"/>
    </row>
    <row r="16" spans="1:13" ht="111" customHeight="1" x14ac:dyDescent="0.3">
      <c r="A16" s="100" t="s">
        <v>1154</v>
      </c>
      <c r="B16" s="101" t="s">
        <v>1155</v>
      </c>
      <c r="C16" s="102" t="s">
        <v>27</v>
      </c>
      <c r="D16" s="104">
        <v>36.4</v>
      </c>
      <c r="E16" s="104">
        <v>36.4</v>
      </c>
      <c r="F16" s="104">
        <v>22.3</v>
      </c>
      <c r="G16" s="104">
        <v>14.1</v>
      </c>
      <c r="H16" s="105" t="s">
        <v>1156</v>
      </c>
      <c r="I16" s="106" t="s">
        <v>56</v>
      </c>
      <c r="J16" s="106">
        <v>80</v>
      </c>
      <c r="K16" s="117">
        <v>92.4</v>
      </c>
      <c r="L16" s="105" t="s">
        <v>1157</v>
      </c>
      <c r="M16" s="108" t="s">
        <v>1158</v>
      </c>
    </row>
    <row r="17" spans="1:13" ht="93.6" customHeight="1" x14ac:dyDescent="0.3">
      <c r="A17" s="363" t="s">
        <v>1159</v>
      </c>
      <c r="B17" s="361" t="s">
        <v>1160</v>
      </c>
      <c r="C17" s="102"/>
      <c r="D17" s="111">
        <f>SUM(D18:D18)</f>
        <v>102.6</v>
      </c>
      <c r="E17" s="111">
        <f>SUM(E18:E18)</f>
        <v>102.6</v>
      </c>
      <c r="F17" s="111">
        <f>SUM(F18:F18)</f>
        <v>93.1</v>
      </c>
      <c r="G17" s="111">
        <f>SUM(G18:G18)</f>
        <v>9.5</v>
      </c>
      <c r="H17" s="361" t="s">
        <v>1161</v>
      </c>
      <c r="I17" s="364" t="s">
        <v>29</v>
      </c>
      <c r="J17" s="364">
        <v>23</v>
      </c>
      <c r="K17" s="360">
        <v>23</v>
      </c>
      <c r="L17" s="361" t="s">
        <v>1162</v>
      </c>
      <c r="M17" s="362" t="s">
        <v>1163</v>
      </c>
    </row>
    <row r="18" spans="1:13" ht="15.6" x14ac:dyDescent="0.3">
      <c r="A18" s="363"/>
      <c r="B18" s="361"/>
      <c r="C18" s="114" t="s">
        <v>1079</v>
      </c>
      <c r="D18" s="116">
        <v>102.6</v>
      </c>
      <c r="E18" s="116">
        <v>102.6</v>
      </c>
      <c r="F18" s="116">
        <v>93.1</v>
      </c>
      <c r="G18" s="116">
        <v>9.5</v>
      </c>
      <c r="H18" s="361"/>
      <c r="I18" s="364"/>
      <c r="J18" s="364"/>
      <c r="K18" s="360"/>
      <c r="L18" s="361"/>
      <c r="M18" s="362"/>
    </row>
    <row r="19" spans="1:13" ht="124.8" x14ac:dyDescent="0.3">
      <c r="A19" s="100" t="s">
        <v>1164</v>
      </c>
      <c r="B19" s="101" t="s">
        <v>1165</v>
      </c>
      <c r="C19" s="102" t="s">
        <v>27</v>
      </c>
      <c r="D19" s="104">
        <v>430.2</v>
      </c>
      <c r="E19" s="104">
        <v>480.2</v>
      </c>
      <c r="F19" s="104">
        <v>480.2</v>
      </c>
      <c r="G19" s="104">
        <v>0</v>
      </c>
      <c r="H19" s="105" t="s">
        <v>1166</v>
      </c>
      <c r="I19" s="106" t="s">
        <v>29</v>
      </c>
      <c r="J19" s="106">
        <v>3</v>
      </c>
      <c r="K19" s="117">
        <v>3</v>
      </c>
      <c r="L19" s="197" t="s">
        <v>1167</v>
      </c>
      <c r="M19" s="108"/>
    </row>
    <row r="20" spans="1:13" ht="31.2" x14ac:dyDescent="0.3">
      <c r="A20" s="97" t="s">
        <v>1168</v>
      </c>
      <c r="B20" s="124" t="s">
        <v>1169</v>
      </c>
      <c r="C20" s="125"/>
      <c r="D20" s="99">
        <f>D21+D26+D31+D38+D42+D46+D49+D53+D54+D58+D61+D65+D66+D68+D69+0.1</f>
        <v>6063.3000000000011</v>
      </c>
      <c r="E20" s="99">
        <f>E21+E26+E31+E38+E42+E46+E49+E53+E54+E58+E61+E65+E66+E68+E69+0.1</f>
        <v>6288.6</v>
      </c>
      <c r="F20" s="99">
        <f>F21+F26+F31+F38+F42+F46+F49+F53+F54+F58+F61+F65+F66+F68+F69-0.2</f>
        <v>5511.6</v>
      </c>
      <c r="G20" s="99">
        <f>G21+G26+G31+G38+G42+G46+G49+G53+G54+G58+G61+G65+G67+G68+G69+0.1</f>
        <v>777.00000000000011</v>
      </c>
      <c r="H20" s="359"/>
      <c r="I20" s="359"/>
      <c r="J20" s="359"/>
      <c r="K20" s="359"/>
      <c r="L20" s="359"/>
      <c r="M20" s="359"/>
    </row>
    <row r="21" spans="1:13" ht="118.8" customHeight="1" x14ac:dyDescent="0.3">
      <c r="A21" s="441" t="s">
        <v>1170</v>
      </c>
      <c r="B21" s="361" t="s">
        <v>1171</v>
      </c>
      <c r="C21" s="102"/>
      <c r="D21" s="111">
        <f>SUM(D22:D25)</f>
        <v>1366.4</v>
      </c>
      <c r="E21" s="111">
        <f>SUM(E22:E25)</f>
        <v>1403.4</v>
      </c>
      <c r="F21" s="111">
        <f>SUM(F22:F25)</f>
        <v>1403.4</v>
      </c>
      <c r="G21" s="111">
        <f>SUM(G22:G25)</f>
        <v>0</v>
      </c>
      <c r="H21" s="361" t="s">
        <v>1172</v>
      </c>
      <c r="I21" s="364" t="s">
        <v>29</v>
      </c>
      <c r="J21" s="364">
        <v>16</v>
      </c>
      <c r="K21" s="360">
        <v>18</v>
      </c>
      <c r="L21" s="361" t="s">
        <v>1173</v>
      </c>
      <c r="M21" s="444"/>
    </row>
    <row r="22" spans="1:13" ht="15.6" x14ac:dyDescent="0.3">
      <c r="A22" s="441"/>
      <c r="B22" s="361"/>
      <c r="C22" s="114" t="s">
        <v>1079</v>
      </c>
      <c r="D22" s="116">
        <v>310</v>
      </c>
      <c r="E22" s="116">
        <v>310</v>
      </c>
      <c r="F22" s="116">
        <v>310</v>
      </c>
      <c r="G22" s="116">
        <v>0</v>
      </c>
      <c r="H22" s="361"/>
      <c r="I22" s="364"/>
      <c r="J22" s="364"/>
      <c r="K22" s="360"/>
      <c r="L22" s="361"/>
      <c r="M22" s="444"/>
    </row>
    <row r="23" spans="1:13" ht="15.6" x14ac:dyDescent="0.3">
      <c r="A23" s="441"/>
      <c r="B23" s="361"/>
      <c r="C23" s="114" t="s">
        <v>36</v>
      </c>
      <c r="D23" s="116">
        <v>6.3</v>
      </c>
      <c r="E23" s="116">
        <v>6.3</v>
      </c>
      <c r="F23" s="116">
        <v>6.3</v>
      </c>
      <c r="G23" s="116">
        <v>0</v>
      </c>
      <c r="H23" s="361"/>
      <c r="I23" s="364"/>
      <c r="J23" s="364"/>
      <c r="K23" s="360"/>
      <c r="L23" s="361"/>
      <c r="M23" s="444"/>
    </row>
    <row r="24" spans="1:13" ht="15.6" x14ac:dyDescent="0.3">
      <c r="A24" s="441"/>
      <c r="B24" s="361"/>
      <c r="C24" s="114" t="s">
        <v>182</v>
      </c>
      <c r="D24" s="116">
        <v>68</v>
      </c>
      <c r="E24" s="116">
        <v>105</v>
      </c>
      <c r="F24" s="116">
        <v>105</v>
      </c>
      <c r="G24" s="116">
        <v>0</v>
      </c>
      <c r="H24" s="361"/>
      <c r="I24" s="364"/>
      <c r="J24" s="364"/>
      <c r="K24" s="360"/>
      <c r="L24" s="361"/>
      <c r="M24" s="444"/>
    </row>
    <row r="25" spans="1:13" ht="15.6" x14ac:dyDescent="0.3">
      <c r="A25" s="441"/>
      <c r="B25" s="361"/>
      <c r="C25" s="114" t="s">
        <v>27</v>
      </c>
      <c r="D25" s="116">
        <v>982.1</v>
      </c>
      <c r="E25" s="116">
        <v>982.1</v>
      </c>
      <c r="F25" s="116">
        <v>982.1</v>
      </c>
      <c r="G25" s="116">
        <v>0</v>
      </c>
      <c r="H25" s="361"/>
      <c r="I25" s="364"/>
      <c r="J25" s="364"/>
      <c r="K25" s="360"/>
      <c r="L25" s="361"/>
      <c r="M25" s="444"/>
    </row>
    <row r="26" spans="1:13" ht="215.4" customHeight="1" x14ac:dyDescent="0.3">
      <c r="A26" s="363" t="s">
        <v>1174</v>
      </c>
      <c r="B26" s="361" t="s">
        <v>1175</v>
      </c>
      <c r="C26" s="102"/>
      <c r="D26" s="111">
        <f>SUM(D27:D30)</f>
        <v>77</v>
      </c>
      <c r="E26" s="111">
        <f>SUM(E27:E30)</f>
        <v>114</v>
      </c>
      <c r="F26" s="111">
        <f>SUM(F27:F30)</f>
        <v>102</v>
      </c>
      <c r="G26" s="111">
        <f>SUM(G27:G30)</f>
        <v>12.1</v>
      </c>
      <c r="H26" s="102" t="s">
        <v>1176</v>
      </c>
      <c r="I26" s="106" t="s">
        <v>56</v>
      </c>
      <c r="J26" s="106">
        <v>90</v>
      </c>
      <c r="K26" s="117">
        <v>100</v>
      </c>
      <c r="L26" s="105" t="s">
        <v>1177</v>
      </c>
      <c r="M26" s="108"/>
    </row>
    <row r="27" spans="1:13" ht="146.4" customHeight="1" x14ac:dyDescent="0.3">
      <c r="A27" s="363"/>
      <c r="B27" s="361"/>
      <c r="C27" s="114"/>
      <c r="D27" s="116">
        <v>0</v>
      </c>
      <c r="E27" s="116">
        <v>0</v>
      </c>
      <c r="F27" s="116">
        <v>0</v>
      </c>
      <c r="G27" s="116">
        <v>0</v>
      </c>
      <c r="H27" s="118" t="s">
        <v>1178</v>
      </c>
      <c r="I27" s="119" t="s">
        <v>56</v>
      </c>
      <c r="J27" s="119">
        <v>90</v>
      </c>
      <c r="K27" s="298">
        <v>70.5</v>
      </c>
      <c r="L27" s="118" t="s">
        <v>1179</v>
      </c>
      <c r="M27" s="271" t="s">
        <v>1180</v>
      </c>
    </row>
    <row r="28" spans="1:13" ht="116.4" customHeight="1" x14ac:dyDescent="0.3">
      <c r="A28" s="363"/>
      <c r="B28" s="361"/>
      <c r="C28" s="114"/>
      <c r="D28" s="116">
        <v>0</v>
      </c>
      <c r="E28" s="116">
        <v>0</v>
      </c>
      <c r="F28" s="116">
        <v>0</v>
      </c>
      <c r="G28" s="116">
        <v>0</v>
      </c>
      <c r="H28" s="368" t="s">
        <v>1181</v>
      </c>
      <c r="I28" s="373" t="s">
        <v>56</v>
      </c>
      <c r="J28" s="373">
        <v>90</v>
      </c>
      <c r="K28" s="376">
        <v>41</v>
      </c>
      <c r="L28" s="367" t="s">
        <v>1182</v>
      </c>
      <c r="M28" s="371" t="s">
        <v>1183</v>
      </c>
    </row>
    <row r="29" spans="1:13" ht="15.6" x14ac:dyDescent="0.3">
      <c r="A29" s="363"/>
      <c r="B29" s="361"/>
      <c r="C29" s="114" t="s">
        <v>27</v>
      </c>
      <c r="D29" s="116">
        <v>22</v>
      </c>
      <c r="E29" s="116">
        <v>47</v>
      </c>
      <c r="F29" s="116">
        <v>37.5</v>
      </c>
      <c r="G29" s="116">
        <v>9.5</v>
      </c>
      <c r="H29" s="368"/>
      <c r="I29" s="373"/>
      <c r="J29" s="373"/>
      <c r="K29" s="376"/>
      <c r="L29" s="367"/>
      <c r="M29" s="371"/>
    </row>
    <row r="30" spans="1:13" ht="15.6" x14ac:dyDescent="0.3">
      <c r="A30" s="363"/>
      <c r="B30" s="361"/>
      <c r="C30" s="114" t="s">
        <v>689</v>
      </c>
      <c r="D30" s="116">
        <v>55</v>
      </c>
      <c r="E30" s="116">
        <v>67</v>
      </c>
      <c r="F30" s="116">
        <v>64.5</v>
      </c>
      <c r="G30" s="116">
        <v>2.6</v>
      </c>
      <c r="H30" s="368"/>
      <c r="I30" s="373"/>
      <c r="J30" s="373"/>
      <c r="K30" s="376"/>
      <c r="L30" s="367"/>
      <c r="M30" s="371"/>
    </row>
    <row r="31" spans="1:13" ht="62.4" customHeight="1" x14ac:dyDescent="0.3">
      <c r="A31" s="441" t="s">
        <v>1184</v>
      </c>
      <c r="B31" s="361" t="s">
        <v>1185</v>
      </c>
      <c r="C31" s="102"/>
      <c r="D31" s="111">
        <f>SUM(D32:D37)</f>
        <v>1075</v>
      </c>
      <c r="E31" s="111">
        <f>SUM(E32:E37)</f>
        <v>1115</v>
      </c>
      <c r="F31" s="111">
        <f>SUM(F32:F37)</f>
        <v>881.3</v>
      </c>
      <c r="G31" s="111">
        <f>SUM(G32:G37)</f>
        <v>233.7</v>
      </c>
      <c r="H31" s="396" t="s">
        <v>1166</v>
      </c>
      <c r="I31" s="364" t="s">
        <v>29</v>
      </c>
      <c r="J31" s="364">
        <v>4</v>
      </c>
      <c r="K31" s="360">
        <v>4</v>
      </c>
      <c r="L31" s="361" t="s">
        <v>1186</v>
      </c>
      <c r="M31" s="444"/>
    </row>
    <row r="32" spans="1:13" ht="15.6" x14ac:dyDescent="0.3">
      <c r="A32" s="441"/>
      <c r="B32" s="361"/>
      <c r="C32" s="114" t="s">
        <v>689</v>
      </c>
      <c r="D32" s="116">
        <v>182.1</v>
      </c>
      <c r="E32" s="116">
        <v>182.1</v>
      </c>
      <c r="F32" s="116">
        <v>0</v>
      </c>
      <c r="G32" s="116">
        <v>182.1</v>
      </c>
      <c r="H32" s="396"/>
      <c r="I32" s="364"/>
      <c r="J32" s="364"/>
      <c r="K32" s="360"/>
      <c r="L32" s="361"/>
      <c r="M32" s="444"/>
    </row>
    <row r="33" spans="1:13" ht="15.6" x14ac:dyDescent="0.3">
      <c r="A33" s="441"/>
      <c r="B33" s="361"/>
      <c r="C33" s="114" t="s">
        <v>1079</v>
      </c>
      <c r="D33" s="116">
        <v>107.4</v>
      </c>
      <c r="E33" s="116">
        <v>107.4</v>
      </c>
      <c r="F33" s="116">
        <v>107.4</v>
      </c>
      <c r="G33" s="116">
        <v>0</v>
      </c>
      <c r="H33" s="396"/>
      <c r="I33" s="364"/>
      <c r="J33" s="364"/>
      <c r="K33" s="360"/>
      <c r="L33" s="361"/>
      <c r="M33" s="444"/>
    </row>
    <row r="34" spans="1:13" ht="15.6" x14ac:dyDescent="0.3">
      <c r="A34" s="441"/>
      <c r="B34" s="361"/>
      <c r="C34" s="114" t="s">
        <v>36</v>
      </c>
      <c r="D34" s="116">
        <v>0</v>
      </c>
      <c r="E34" s="116">
        <v>20</v>
      </c>
      <c r="F34" s="116">
        <v>0</v>
      </c>
      <c r="G34" s="116">
        <v>20</v>
      </c>
      <c r="H34" s="396"/>
      <c r="I34" s="364"/>
      <c r="J34" s="364"/>
      <c r="K34" s="360"/>
      <c r="L34" s="361"/>
      <c r="M34" s="444"/>
    </row>
    <row r="35" spans="1:13" ht="15.6" x14ac:dyDescent="0.3">
      <c r="A35" s="441"/>
      <c r="B35" s="361"/>
      <c r="C35" s="114" t="s">
        <v>182</v>
      </c>
      <c r="D35" s="116">
        <v>0.6</v>
      </c>
      <c r="E35" s="116">
        <v>0.6</v>
      </c>
      <c r="F35" s="116">
        <v>0.4</v>
      </c>
      <c r="G35" s="116">
        <v>0.2</v>
      </c>
      <c r="H35" s="396"/>
      <c r="I35" s="364"/>
      <c r="J35" s="364"/>
      <c r="K35" s="360"/>
      <c r="L35" s="361"/>
      <c r="M35" s="444"/>
    </row>
    <row r="36" spans="1:13" ht="15.6" x14ac:dyDescent="0.3">
      <c r="A36" s="441"/>
      <c r="B36" s="361"/>
      <c r="C36" s="114" t="s">
        <v>27</v>
      </c>
      <c r="D36" s="116">
        <v>773.9</v>
      </c>
      <c r="E36" s="116">
        <v>793.9</v>
      </c>
      <c r="F36" s="116">
        <v>762.5</v>
      </c>
      <c r="G36" s="116">
        <v>31.4</v>
      </c>
      <c r="H36" s="396"/>
      <c r="I36" s="364"/>
      <c r="J36" s="364"/>
      <c r="K36" s="360"/>
      <c r="L36" s="361"/>
      <c r="M36" s="444"/>
    </row>
    <row r="37" spans="1:13" ht="15.6" x14ac:dyDescent="0.3">
      <c r="A37" s="441"/>
      <c r="B37" s="361"/>
      <c r="C37" s="114" t="s">
        <v>242</v>
      </c>
      <c r="D37" s="116">
        <v>11</v>
      </c>
      <c r="E37" s="116">
        <v>11</v>
      </c>
      <c r="F37" s="116">
        <v>11</v>
      </c>
      <c r="G37" s="116">
        <v>0</v>
      </c>
      <c r="H37" s="396"/>
      <c r="I37" s="364"/>
      <c r="J37" s="364"/>
      <c r="K37" s="360"/>
      <c r="L37" s="361"/>
      <c r="M37" s="444"/>
    </row>
    <row r="38" spans="1:13" ht="86.4" customHeight="1" x14ac:dyDescent="0.3">
      <c r="A38" s="363" t="s">
        <v>1187</v>
      </c>
      <c r="B38" s="361" t="s">
        <v>1188</v>
      </c>
      <c r="C38" s="102"/>
      <c r="D38" s="111">
        <f>SUM(D39:D41)</f>
        <v>1499.6000000000001</v>
      </c>
      <c r="E38" s="111">
        <f>SUM(E39:E41)</f>
        <v>1519.6000000000001</v>
      </c>
      <c r="F38" s="111">
        <f>SUM(F39:F41)</f>
        <v>1513.6000000000001</v>
      </c>
      <c r="G38" s="111">
        <f>SUM(G39:G41)</f>
        <v>6</v>
      </c>
      <c r="H38" s="396" t="s">
        <v>1166</v>
      </c>
      <c r="I38" s="364" t="s">
        <v>29</v>
      </c>
      <c r="J38" s="364">
        <v>7</v>
      </c>
      <c r="K38" s="360">
        <v>7</v>
      </c>
      <c r="L38" s="361" t="s">
        <v>1189</v>
      </c>
      <c r="M38" s="444"/>
    </row>
    <row r="39" spans="1:13" ht="15.6" x14ac:dyDescent="0.3">
      <c r="A39" s="363"/>
      <c r="B39" s="361"/>
      <c r="C39" s="114" t="s">
        <v>36</v>
      </c>
      <c r="D39" s="116">
        <v>136.69999999999999</v>
      </c>
      <c r="E39" s="116">
        <v>136.69999999999999</v>
      </c>
      <c r="F39" s="116">
        <v>136.69999999999999</v>
      </c>
      <c r="G39" s="116">
        <v>0</v>
      </c>
      <c r="H39" s="396"/>
      <c r="I39" s="364"/>
      <c r="J39" s="364"/>
      <c r="K39" s="360"/>
      <c r="L39" s="361"/>
      <c r="M39" s="444"/>
    </row>
    <row r="40" spans="1:13" ht="15.6" x14ac:dyDescent="0.3">
      <c r="A40" s="363"/>
      <c r="B40" s="361"/>
      <c r="C40" s="114" t="s">
        <v>27</v>
      </c>
      <c r="D40" s="116">
        <v>1033.9000000000001</v>
      </c>
      <c r="E40" s="116">
        <v>1053.9000000000001</v>
      </c>
      <c r="F40" s="116">
        <v>1047.9000000000001</v>
      </c>
      <c r="G40" s="116">
        <v>6</v>
      </c>
      <c r="H40" s="396"/>
      <c r="I40" s="364"/>
      <c r="J40" s="364"/>
      <c r="K40" s="360"/>
      <c r="L40" s="361"/>
      <c r="M40" s="444"/>
    </row>
    <row r="41" spans="1:13" ht="15.6" x14ac:dyDescent="0.3">
      <c r="A41" s="363"/>
      <c r="B41" s="361"/>
      <c r="C41" s="114" t="s">
        <v>182</v>
      </c>
      <c r="D41" s="116">
        <v>329</v>
      </c>
      <c r="E41" s="116">
        <v>329</v>
      </c>
      <c r="F41" s="116">
        <v>329</v>
      </c>
      <c r="G41" s="116">
        <v>0</v>
      </c>
      <c r="H41" s="396"/>
      <c r="I41" s="364"/>
      <c r="J41" s="364"/>
      <c r="K41" s="360"/>
      <c r="L41" s="361"/>
      <c r="M41" s="444"/>
    </row>
    <row r="42" spans="1:13" ht="42.6" customHeight="1" x14ac:dyDescent="0.3">
      <c r="A42" s="363" t="s">
        <v>1190</v>
      </c>
      <c r="B42" s="361" t="s">
        <v>1191</v>
      </c>
      <c r="C42" s="102"/>
      <c r="D42" s="111">
        <f>SUM(D43:D45)</f>
        <v>334.5</v>
      </c>
      <c r="E42" s="111">
        <f>SUM(E43:E45)</f>
        <v>330.7</v>
      </c>
      <c r="F42" s="111">
        <f>SUM(F43:F45)</f>
        <v>251.5</v>
      </c>
      <c r="G42" s="111">
        <f>SUM(G43:G45)</f>
        <v>79.2</v>
      </c>
      <c r="H42" s="396" t="s">
        <v>1192</v>
      </c>
      <c r="I42" s="364" t="s">
        <v>29</v>
      </c>
      <c r="J42" s="364">
        <v>115</v>
      </c>
      <c r="K42" s="360">
        <v>164</v>
      </c>
      <c r="L42" s="361" t="s">
        <v>1193</v>
      </c>
      <c r="M42" s="362" t="s">
        <v>1194</v>
      </c>
    </row>
    <row r="43" spans="1:13" ht="15.6" x14ac:dyDescent="0.3">
      <c r="A43" s="363"/>
      <c r="B43" s="361"/>
      <c r="C43" s="114" t="s">
        <v>200</v>
      </c>
      <c r="D43" s="116">
        <v>177.8</v>
      </c>
      <c r="E43" s="116">
        <v>174</v>
      </c>
      <c r="F43" s="116">
        <v>99.3</v>
      </c>
      <c r="G43" s="116">
        <v>74.7</v>
      </c>
      <c r="H43" s="396"/>
      <c r="I43" s="364"/>
      <c r="J43" s="364"/>
      <c r="K43" s="360"/>
      <c r="L43" s="361"/>
      <c r="M43" s="362"/>
    </row>
    <row r="44" spans="1:13" ht="15.6" x14ac:dyDescent="0.3">
      <c r="A44" s="363"/>
      <c r="B44" s="361"/>
      <c r="C44" s="114" t="s">
        <v>36</v>
      </c>
      <c r="D44" s="116">
        <v>152.19999999999999</v>
      </c>
      <c r="E44" s="116">
        <v>152.19999999999999</v>
      </c>
      <c r="F44" s="116">
        <v>152.19999999999999</v>
      </c>
      <c r="G44" s="116">
        <v>0</v>
      </c>
      <c r="H44" s="396"/>
      <c r="I44" s="364"/>
      <c r="J44" s="364"/>
      <c r="K44" s="360"/>
      <c r="L44" s="361"/>
      <c r="M44" s="362"/>
    </row>
    <row r="45" spans="1:13" ht="15.6" x14ac:dyDescent="0.3">
      <c r="A45" s="363"/>
      <c r="B45" s="361"/>
      <c r="C45" s="114" t="s">
        <v>27</v>
      </c>
      <c r="D45" s="116">
        <v>4.5</v>
      </c>
      <c r="E45" s="116">
        <v>4.5</v>
      </c>
      <c r="F45" s="116">
        <v>0</v>
      </c>
      <c r="G45" s="116">
        <v>4.5</v>
      </c>
      <c r="H45" s="396"/>
      <c r="I45" s="364"/>
      <c r="J45" s="364"/>
      <c r="K45" s="360"/>
      <c r="L45" s="361"/>
      <c r="M45" s="362"/>
    </row>
    <row r="46" spans="1:13" ht="104.4" customHeight="1" x14ac:dyDescent="0.3">
      <c r="A46" s="363" t="s">
        <v>1195</v>
      </c>
      <c r="B46" s="361" t="s">
        <v>1169</v>
      </c>
      <c r="C46" s="102"/>
      <c r="D46" s="111">
        <f>SUM(D47:D48)</f>
        <v>245.6</v>
      </c>
      <c r="E46" s="111">
        <f>SUM(E47:E48)</f>
        <v>119.3</v>
      </c>
      <c r="F46" s="111">
        <f>SUM(F47:F48)</f>
        <v>108.69999999999999</v>
      </c>
      <c r="G46" s="111">
        <f>SUM(G47:G48)</f>
        <v>10.6</v>
      </c>
      <c r="H46" s="396" t="s">
        <v>1166</v>
      </c>
      <c r="I46" s="364" t="s">
        <v>29</v>
      </c>
      <c r="J46" s="364">
        <v>4</v>
      </c>
      <c r="K46" s="360">
        <v>4</v>
      </c>
      <c r="L46" s="361" t="s">
        <v>1196</v>
      </c>
      <c r="M46" s="362" t="s">
        <v>1197</v>
      </c>
    </row>
    <row r="47" spans="1:13" ht="28.2" customHeight="1" x14ac:dyDescent="0.3">
      <c r="A47" s="363"/>
      <c r="B47" s="361"/>
      <c r="C47" s="114" t="s">
        <v>27</v>
      </c>
      <c r="D47" s="116">
        <v>61</v>
      </c>
      <c r="E47" s="116">
        <v>36</v>
      </c>
      <c r="F47" s="116">
        <v>25.4</v>
      </c>
      <c r="G47" s="116">
        <v>10.6</v>
      </c>
      <c r="H47" s="396"/>
      <c r="I47" s="364"/>
      <c r="J47" s="364"/>
      <c r="K47" s="360"/>
      <c r="L47" s="361"/>
      <c r="M47" s="362"/>
    </row>
    <row r="48" spans="1:13" ht="30" customHeight="1" x14ac:dyDescent="0.3">
      <c r="A48" s="363"/>
      <c r="B48" s="361"/>
      <c r="C48" s="114" t="s">
        <v>1079</v>
      </c>
      <c r="D48" s="116">
        <v>184.6</v>
      </c>
      <c r="E48" s="116">
        <v>83.3</v>
      </c>
      <c r="F48" s="116">
        <v>83.3</v>
      </c>
      <c r="G48" s="116">
        <v>0</v>
      </c>
      <c r="H48" s="396"/>
      <c r="I48" s="364"/>
      <c r="J48" s="364"/>
      <c r="K48" s="360"/>
      <c r="L48" s="361"/>
      <c r="M48" s="362"/>
    </row>
    <row r="49" spans="1:13" ht="228.6" customHeight="1" x14ac:dyDescent="0.3">
      <c r="A49" s="363" t="s">
        <v>1198</v>
      </c>
      <c r="B49" s="361" t="s">
        <v>1199</v>
      </c>
      <c r="C49" s="102"/>
      <c r="D49" s="111">
        <f>SUM(D50:D52)</f>
        <v>198.1</v>
      </c>
      <c r="E49" s="111">
        <f>SUM(E50:E52)</f>
        <v>198.1</v>
      </c>
      <c r="F49" s="111">
        <f>SUM(F50:F52)+0.1</f>
        <v>192.5</v>
      </c>
      <c r="G49" s="111">
        <f>SUM(G50:G52)</f>
        <v>5.7</v>
      </c>
      <c r="H49" s="361" t="s">
        <v>1200</v>
      </c>
      <c r="I49" s="364" t="s">
        <v>29</v>
      </c>
      <c r="J49" s="364">
        <v>200</v>
      </c>
      <c r="K49" s="360">
        <v>436</v>
      </c>
      <c r="L49" s="372" t="s">
        <v>1201</v>
      </c>
      <c r="M49" s="447"/>
    </row>
    <row r="50" spans="1:13" ht="15.6" x14ac:dyDescent="0.3">
      <c r="A50" s="363"/>
      <c r="B50" s="361"/>
      <c r="C50" s="114" t="s">
        <v>36</v>
      </c>
      <c r="D50" s="116">
        <v>3.4</v>
      </c>
      <c r="E50" s="116">
        <v>3.4</v>
      </c>
      <c r="F50" s="116">
        <v>3.4</v>
      </c>
      <c r="G50" s="116">
        <v>0</v>
      </c>
      <c r="H50" s="361"/>
      <c r="I50" s="364"/>
      <c r="J50" s="364"/>
      <c r="K50" s="360"/>
      <c r="L50" s="372"/>
      <c r="M50" s="447"/>
    </row>
    <row r="51" spans="1:13" ht="15.6" x14ac:dyDescent="0.3">
      <c r="A51" s="363"/>
      <c r="B51" s="361"/>
      <c r="C51" s="114" t="s">
        <v>200</v>
      </c>
      <c r="D51" s="116">
        <v>190.2</v>
      </c>
      <c r="E51" s="116">
        <v>190.2</v>
      </c>
      <c r="F51" s="116">
        <v>184.5</v>
      </c>
      <c r="G51" s="116">
        <v>5.7</v>
      </c>
      <c r="H51" s="361"/>
      <c r="I51" s="364"/>
      <c r="J51" s="364"/>
      <c r="K51" s="360"/>
      <c r="L51" s="372"/>
      <c r="M51" s="447"/>
    </row>
    <row r="52" spans="1:13" ht="37.200000000000003" customHeight="1" x14ac:dyDescent="0.3">
      <c r="A52" s="363"/>
      <c r="B52" s="361"/>
      <c r="C52" s="114" t="s">
        <v>27</v>
      </c>
      <c r="D52" s="116">
        <v>4.5</v>
      </c>
      <c r="E52" s="116">
        <v>4.5</v>
      </c>
      <c r="F52" s="116">
        <v>4.5</v>
      </c>
      <c r="G52" s="116">
        <v>0</v>
      </c>
      <c r="H52" s="361"/>
      <c r="I52" s="364"/>
      <c r="J52" s="364"/>
      <c r="K52" s="360"/>
      <c r="L52" s="372"/>
      <c r="M52" s="447"/>
    </row>
    <row r="53" spans="1:13" ht="78" x14ac:dyDescent="0.3">
      <c r="A53" s="100" t="s">
        <v>1202</v>
      </c>
      <c r="B53" s="101" t="s">
        <v>1203</v>
      </c>
      <c r="C53" s="102" t="s">
        <v>27</v>
      </c>
      <c r="D53" s="104">
        <v>174.4</v>
      </c>
      <c r="E53" s="104">
        <v>174.4</v>
      </c>
      <c r="F53" s="104">
        <v>162.6</v>
      </c>
      <c r="G53" s="104">
        <v>11.8</v>
      </c>
      <c r="H53" s="105" t="s">
        <v>1204</v>
      </c>
      <c r="I53" s="106" t="s">
        <v>29</v>
      </c>
      <c r="J53" s="106">
        <v>11</v>
      </c>
      <c r="K53" s="117">
        <v>13</v>
      </c>
      <c r="L53" s="105" t="s">
        <v>1205</v>
      </c>
      <c r="M53" s="108"/>
    </row>
    <row r="54" spans="1:13" ht="115.2" customHeight="1" x14ac:dyDescent="0.3">
      <c r="A54" s="363" t="s">
        <v>1206</v>
      </c>
      <c r="B54" s="361" t="s">
        <v>1207</v>
      </c>
      <c r="C54" s="396" t="s">
        <v>27</v>
      </c>
      <c r="D54" s="397">
        <f>SUM(D55:D57)+489.9</f>
        <v>489.9</v>
      </c>
      <c r="E54" s="397">
        <f>SUM(E55:E57)+439.9</f>
        <v>439.9</v>
      </c>
      <c r="F54" s="397">
        <f>SUM(F55:F57)+350.1</f>
        <v>350.1</v>
      </c>
      <c r="G54" s="111">
        <f>SUM(G55:G57)+89.8</f>
        <v>89.8</v>
      </c>
      <c r="H54" s="105" t="s">
        <v>1208</v>
      </c>
      <c r="I54" s="106" t="s">
        <v>29</v>
      </c>
      <c r="J54" s="106">
        <v>7</v>
      </c>
      <c r="K54" s="230">
        <v>1</v>
      </c>
      <c r="L54" s="105" t="s">
        <v>1209</v>
      </c>
      <c r="M54" s="182" t="s">
        <v>1210</v>
      </c>
    </row>
    <row r="55" spans="1:13" ht="140.4" x14ac:dyDescent="0.3">
      <c r="A55" s="363"/>
      <c r="B55" s="361"/>
      <c r="C55" s="396"/>
      <c r="D55" s="397"/>
      <c r="E55" s="397"/>
      <c r="F55" s="397"/>
      <c r="G55" s="116">
        <v>0</v>
      </c>
      <c r="H55" s="118" t="s">
        <v>1211</v>
      </c>
      <c r="I55" s="119" t="s">
        <v>29</v>
      </c>
      <c r="J55" s="119">
        <v>32</v>
      </c>
      <c r="K55" s="298">
        <v>25</v>
      </c>
      <c r="L55" s="118" t="s">
        <v>1212</v>
      </c>
      <c r="M55" s="121"/>
    </row>
    <row r="56" spans="1:13" ht="46.8" x14ac:dyDescent="0.3">
      <c r="A56" s="363"/>
      <c r="B56" s="361"/>
      <c r="C56" s="396"/>
      <c r="D56" s="397"/>
      <c r="E56" s="397"/>
      <c r="F56" s="397"/>
      <c r="G56" s="116">
        <v>0</v>
      </c>
      <c r="H56" s="118" t="s">
        <v>1213</v>
      </c>
      <c r="I56" s="119" t="s">
        <v>29</v>
      </c>
      <c r="J56" s="119">
        <v>8</v>
      </c>
      <c r="K56" s="120">
        <v>6</v>
      </c>
      <c r="L56" s="118" t="s">
        <v>1214</v>
      </c>
      <c r="M56" s="121"/>
    </row>
    <row r="57" spans="1:13" ht="62.4" x14ac:dyDescent="0.3">
      <c r="A57" s="363"/>
      <c r="B57" s="361"/>
      <c r="C57" s="396"/>
      <c r="D57" s="397"/>
      <c r="E57" s="397"/>
      <c r="F57" s="397"/>
      <c r="G57" s="116">
        <v>0</v>
      </c>
      <c r="H57" s="118" t="s">
        <v>1215</v>
      </c>
      <c r="I57" s="119" t="s">
        <v>29</v>
      </c>
      <c r="J57" s="119">
        <v>160</v>
      </c>
      <c r="K57" s="128">
        <v>184</v>
      </c>
      <c r="L57" s="118" t="s">
        <v>1216</v>
      </c>
      <c r="M57" s="271" t="s">
        <v>1217</v>
      </c>
    </row>
    <row r="58" spans="1:13" ht="57.6" customHeight="1" x14ac:dyDescent="0.3">
      <c r="A58" s="363" t="s">
        <v>1218</v>
      </c>
      <c r="B58" s="361" t="s">
        <v>1219</v>
      </c>
      <c r="C58" s="102"/>
      <c r="D58" s="111">
        <f>SUM(D59:D60)</f>
        <v>351.6</v>
      </c>
      <c r="E58" s="111">
        <f>SUM(E59:E60)</f>
        <v>0</v>
      </c>
      <c r="F58" s="111">
        <f>SUM(F59:F60)</f>
        <v>0</v>
      </c>
      <c r="G58" s="111">
        <f>SUM(G59:G60)</f>
        <v>0</v>
      </c>
      <c r="H58" s="361" t="s">
        <v>1220</v>
      </c>
      <c r="I58" s="364" t="s">
        <v>29</v>
      </c>
      <c r="J58" s="364">
        <v>2</v>
      </c>
      <c r="K58" s="378">
        <v>0</v>
      </c>
      <c r="L58" s="412"/>
      <c r="M58" s="362" t="s">
        <v>1221</v>
      </c>
    </row>
    <row r="59" spans="1:13" ht="34.200000000000003" customHeight="1" x14ac:dyDescent="0.3">
      <c r="A59" s="363"/>
      <c r="B59" s="361"/>
      <c r="C59" s="114"/>
      <c r="D59" s="116">
        <v>0</v>
      </c>
      <c r="E59" s="116">
        <v>0</v>
      </c>
      <c r="F59" s="116">
        <v>0</v>
      </c>
      <c r="G59" s="116">
        <v>0</v>
      </c>
      <c r="H59" s="361"/>
      <c r="I59" s="364"/>
      <c r="J59" s="364"/>
      <c r="K59" s="378"/>
      <c r="L59" s="412"/>
      <c r="M59" s="362"/>
    </row>
    <row r="60" spans="1:13" ht="24.6" customHeight="1" x14ac:dyDescent="0.3">
      <c r="A60" s="363"/>
      <c r="B60" s="361"/>
      <c r="C60" s="114" t="s">
        <v>200</v>
      </c>
      <c r="D60" s="116">
        <v>351.6</v>
      </c>
      <c r="E60" s="116">
        <v>0</v>
      </c>
      <c r="F60" s="116">
        <v>0</v>
      </c>
      <c r="G60" s="116">
        <v>0</v>
      </c>
      <c r="H60" s="361"/>
      <c r="I60" s="364"/>
      <c r="J60" s="364"/>
      <c r="K60" s="378"/>
      <c r="L60" s="412"/>
      <c r="M60" s="362"/>
    </row>
    <row r="61" spans="1:13" ht="91.2" customHeight="1" x14ac:dyDescent="0.3">
      <c r="A61" s="363" t="s">
        <v>1222</v>
      </c>
      <c r="B61" s="361" t="s">
        <v>1223</v>
      </c>
      <c r="C61" s="102"/>
      <c r="D61" s="111">
        <f>SUM(D62:D64)</f>
        <v>101.1</v>
      </c>
      <c r="E61" s="111">
        <f>SUM(E62:E64)</f>
        <v>101.1</v>
      </c>
      <c r="F61" s="111">
        <f>SUM(F62:F64)</f>
        <v>74.8</v>
      </c>
      <c r="G61" s="111">
        <f>SUM(G62:G64)</f>
        <v>26.3</v>
      </c>
      <c r="H61" s="105" t="s">
        <v>1224</v>
      </c>
      <c r="I61" s="106" t="s">
        <v>29</v>
      </c>
      <c r="J61" s="106">
        <v>6</v>
      </c>
      <c r="K61" s="117">
        <v>6</v>
      </c>
      <c r="L61" s="105" t="s">
        <v>1225</v>
      </c>
      <c r="M61" s="108"/>
    </row>
    <row r="62" spans="1:13" ht="34.799999999999997" customHeight="1" x14ac:dyDescent="0.3">
      <c r="A62" s="363"/>
      <c r="B62" s="361"/>
      <c r="C62" s="114"/>
      <c r="D62" s="116">
        <v>0</v>
      </c>
      <c r="E62" s="116">
        <v>0</v>
      </c>
      <c r="F62" s="116">
        <v>0</v>
      </c>
      <c r="G62" s="116">
        <v>0</v>
      </c>
      <c r="H62" s="367" t="s">
        <v>1226</v>
      </c>
      <c r="I62" s="373" t="s">
        <v>29</v>
      </c>
      <c r="J62" s="373">
        <v>1</v>
      </c>
      <c r="K62" s="374">
        <v>1</v>
      </c>
      <c r="L62" s="423"/>
      <c r="M62" s="395"/>
    </row>
    <row r="63" spans="1:13" ht="15.6" x14ac:dyDescent="0.3">
      <c r="A63" s="363"/>
      <c r="B63" s="361"/>
      <c r="C63" s="114" t="s">
        <v>875</v>
      </c>
      <c r="D63" s="116">
        <v>0</v>
      </c>
      <c r="E63" s="116">
        <v>101.1</v>
      </c>
      <c r="F63" s="116">
        <v>74.8</v>
      </c>
      <c r="G63" s="116">
        <v>26.3</v>
      </c>
      <c r="H63" s="367"/>
      <c r="I63" s="373"/>
      <c r="J63" s="373"/>
      <c r="K63" s="374"/>
      <c r="L63" s="423"/>
      <c r="M63" s="395"/>
    </row>
    <row r="64" spans="1:13" ht="21" customHeight="1" x14ac:dyDescent="0.3">
      <c r="A64" s="363"/>
      <c r="B64" s="361"/>
      <c r="C64" s="114" t="s">
        <v>200</v>
      </c>
      <c r="D64" s="116">
        <v>101.1</v>
      </c>
      <c r="E64" s="116">
        <v>0</v>
      </c>
      <c r="F64" s="116">
        <v>0</v>
      </c>
      <c r="G64" s="116">
        <v>0</v>
      </c>
      <c r="H64" s="367"/>
      <c r="I64" s="373"/>
      <c r="J64" s="373"/>
      <c r="K64" s="374"/>
      <c r="L64" s="423"/>
      <c r="M64" s="395"/>
    </row>
    <row r="65" spans="1:13" ht="39.6" customHeight="1" x14ac:dyDescent="0.3">
      <c r="A65" s="100" t="s">
        <v>1227</v>
      </c>
      <c r="B65" s="101" t="s">
        <v>1228</v>
      </c>
      <c r="C65" s="102" t="s">
        <v>36</v>
      </c>
      <c r="D65" s="104">
        <v>150</v>
      </c>
      <c r="E65" s="104">
        <v>150</v>
      </c>
      <c r="F65" s="104">
        <v>0</v>
      </c>
      <c r="G65" s="104">
        <v>150</v>
      </c>
      <c r="H65" s="105" t="s">
        <v>1229</v>
      </c>
      <c r="I65" s="106" t="s">
        <v>29</v>
      </c>
      <c r="J65" s="106">
        <v>1</v>
      </c>
      <c r="K65" s="139">
        <v>0</v>
      </c>
      <c r="L65" s="105"/>
      <c r="M65" s="108" t="s">
        <v>1230</v>
      </c>
    </row>
    <row r="66" spans="1:13" ht="76.8" customHeight="1" x14ac:dyDescent="0.3">
      <c r="A66" s="363" t="s">
        <v>1231</v>
      </c>
      <c r="B66" s="409" t="s">
        <v>1232</v>
      </c>
      <c r="C66" s="396" t="s">
        <v>27</v>
      </c>
      <c r="D66" s="458">
        <v>0</v>
      </c>
      <c r="E66" s="458">
        <v>58</v>
      </c>
      <c r="F66" s="458">
        <v>0</v>
      </c>
      <c r="G66" s="104"/>
      <c r="H66" s="361" t="s">
        <v>1233</v>
      </c>
      <c r="I66" s="364" t="s">
        <v>29</v>
      </c>
      <c r="J66" s="459">
        <v>1</v>
      </c>
      <c r="K66" s="449">
        <v>1</v>
      </c>
      <c r="L66" s="409" t="s">
        <v>1234</v>
      </c>
      <c r="M66" s="444"/>
    </row>
    <row r="67" spans="1:13" ht="45" customHeight="1" x14ac:dyDescent="0.3">
      <c r="A67" s="363"/>
      <c r="B67" s="409"/>
      <c r="C67" s="396"/>
      <c r="D67" s="458"/>
      <c r="E67" s="458"/>
      <c r="F67" s="458"/>
      <c r="G67" s="104">
        <v>58</v>
      </c>
      <c r="H67" s="361"/>
      <c r="I67" s="364"/>
      <c r="J67" s="459"/>
      <c r="K67" s="449"/>
      <c r="L67" s="409"/>
      <c r="M67" s="444"/>
    </row>
    <row r="68" spans="1:13" ht="124.8" x14ac:dyDescent="0.3">
      <c r="A68" s="100" t="s">
        <v>1235</v>
      </c>
      <c r="B68" s="101" t="s">
        <v>1236</v>
      </c>
      <c r="C68" s="102" t="s">
        <v>242</v>
      </c>
      <c r="D68" s="104">
        <v>0</v>
      </c>
      <c r="E68" s="104">
        <v>165.6</v>
      </c>
      <c r="F68" s="104">
        <v>163.4</v>
      </c>
      <c r="G68" s="104">
        <v>2.2000000000000002</v>
      </c>
      <c r="H68" s="105" t="s">
        <v>1166</v>
      </c>
      <c r="I68" s="106" t="s">
        <v>29</v>
      </c>
      <c r="J68" s="299">
        <v>1</v>
      </c>
      <c r="K68" s="117">
        <v>1</v>
      </c>
      <c r="L68" s="105" t="s">
        <v>1237</v>
      </c>
      <c r="M68" s="108"/>
    </row>
    <row r="69" spans="1:13" ht="54.6" customHeight="1" x14ac:dyDescent="0.3">
      <c r="A69" s="363" t="s">
        <v>1238</v>
      </c>
      <c r="B69" s="361" t="s">
        <v>1239</v>
      </c>
      <c r="C69" s="102"/>
      <c r="D69" s="111">
        <f>SUM(D70:D73)</f>
        <v>0</v>
      </c>
      <c r="E69" s="111">
        <f>SUM(E70:E73)</f>
        <v>399.4</v>
      </c>
      <c r="F69" s="111">
        <f>SUM(F70:F73)</f>
        <v>307.89999999999998</v>
      </c>
      <c r="G69" s="111">
        <f>SUM(G70:G73)</f>
        <v>91.5</v>
      </c>
      <c r="H69" s="396" t="s">
        <v>1152</v>
      </c>
      <c r="I69" s="364" t="s">
        <v>29</v>
      </c>
      <c r="J69" s="408">
        <v>4</v>
      </c>
      <c r="K69" s="360">
        <v>5</v>
      </c>
      <c r="L69" s="361" t="s">
        <v>1240</v>
      </c>
      <c r="M69" s="444"/>
    </row>
    <row r="70" spans="1:13" ht="15.6" x14ac:dyDescent="0.3">
      <c r="A70" s="363"/>
      <c r="B70" s="361"/>
      <c r="C70" s="114" t="s">
        <v>242</v>
      </c>
      <c r="D70" s="116">
        <v>0</v>
      </c>
      <c r="E70" s="116">
        <v>67</v>
      </c>
      <c r="F70" s="116">
        <v>67</v>
      </c>
      <c r="G70" s="116">
        <v>0</v>
      </c>
      <c r="H70" s="396"/>
      <c r="I70" s="364"/>
      <c r="J70" s="408"/>
      <c r="K70" s="360"/>
      <c r="L70" s="361"/>
      <c r="M70" s="444"/>
    </row>
    <row r="71" spans="1:13" ht="15.6" x14ac:dyDescent="0.3">
      <c r="A71" s="363"/>
      <c r="B71" s="361"/>
      <c r="C71" s="114" t="s">
        <v>27</v>
      </c>
      <c r="D71" s="116">
        <v>0</v>
      </c>
      <c r="E71" s="116">
        <v>327.8</v>
      </c>
      <c r="F71" s="116">
        <v>237</v>
      </c>
      <c r="G71" s="116">
        <v>90.8</v>
      </c>
      <c r="H71" s="396"/>
      <c r="I71" s="364"/>
      <c r="J71" s="408"/>
      <c r="K71" s="360"/>
      <c r="L71" s="361"/>
      <c r="M71" s="444"/>
    </row>
    <row r="72" spans="1:13" ht="15.6" x14ac:dyDescent="0.3">
      <c r="A72" s="363"/>
      <c r="B72" s="361"/>
      <c r="C72" s="114" t="s">
        <v>182</v>
      </c>
      <c r="D72" s="116">
        <v>0</v>
      </c>
      <c r="E72" s="116">
        <v>0.7</v>
      </c>
      <c r="F72" s="116">
        <v>0</v>
      </c>
      <c r="G72" s="116">
        <v>0.7</v>
      </c>
      <c r="H72" s="396"/>
      <c r="I72" s="364"/>
      <c r="J72" s="408"/>
      <c r="K72" s="360"/>
      <c r="L72" s="361"/>
      <c r="M72" s="444"/>
    </row>
    <row r="73" spans="1:13" ht="28.8" customHeight="1" x14ac:dyDescent="0.3">
      <c r="A73" s="363"/>
      <c r="B73" s="361"/>
      <c r="C73" s="114" t="s">
        <v>846</v>
      </c>
      <c r="D73" s="116">
        <v>0</v>
      </c>
      <c r="E73" s="116">
        <v>3.9</v>
      </c>
      <c r="F73" s="116">
        <v>3.9</v>
      </c>
      <c r="G73" s="116">
        <v>0</v>
      </c>
      <c r="H73" s="396"/>
      <c r="I73" s="364"/>
      <c r="J73" s="408"/>
      <c r="K73" s="360"/>
      <c r="L73" s="361"/>
      <c r="M73" s="444"/>
    </row>
    <row r="74" spans="1:13" ht="62.4" x14ac:dyDescent="0.3">
      <c r="A74" s="97" t="s">
        <v>1241</v>
      </c>
      <c r="B74" s="124" t="s">
        <v>1242</v>
      </c>
      <c r="C74" s="125"/>
      <c r="D74" s="99">
        <f>SUM(D75:D75)</f>
        <v>1055.8</v>
      </c>
      <c r="E74" s="99">
        <f>SUM(E75:E75)</f>
        <v>1055.8</v>
      </c>
      <c r="F74" s="99">
        <f>SUM(F75:F75)</f>
        <v>659.2</v>
      </c>
      <c r="G74" s="99">
        <f>SUM(G75:G75)</f>
        <v>396.6</v>
      </c>
      <c r="H74" s="359"/>
      <c r="I74" s="359"/>
      <c r="J74" s="359"/>
      <c r="K74" s="359"/>
      <c r="L74" s="359"/>
      <c r="M74" s="359"/>
    </row>
    <row r="75" spans="1:13" ht="327.60000000000002" customHeight="1" x14ac:dyDescent="0.3">
      <c r="A75" s="100" t="s">
        <v>1243</v>
      </c>
      <c r="B75" s="361" t="s">
        <v>1244</v>
      </c>
      <c r="C75" s="102"/>
      <c r="D75" s="111">
        <f>SUM(D76:D78)</f>
        <v>1055.8</v>
      </c>
      <c r="E75" s="111">
        <f>SUM(E76:E78)</f>
        <v>1055.8</v>
      </c>
      <c r="F75" s="111">
        <f>SUM(F76:F78)</f>
        <v>659.2</v>
      </c>
      <c r="G75" s="111">
        <f>SUM(G76:G78)</f>
        <v>396.6</v>
      </c>
      <c r="H75" s="102" t="s">
        <v>1245</v>
      </c>
      <c r="I75" s="106" t="s">
        <v>56</v>
      </c>
      <c r="J75" s="106">
        <v>1</v>
      </c>
      <c r="K75" s="117">
        <v>1</v>
      </c>
      <c r="L75" s="197" t="s">
        <v>1246</v>
      </c>
      <c r="M75" s="108" t="s">
        <v>1247</v>
      </c>
    </row>
    <row r="76" spans="1:13" ht="232.2" customHeight="1" x14ac:dyDescent="0.3">
      <c r="A76" s="460"/>
      <c r="B76" s="361"/>
      <c r="C76" s="114"/>
      <c r="D76" s="116">
        <v>0</v>
      </c>
      <c r="E76" s="116">
        <v>0</v>
      </c>
      <c r="F76" s="116">
        <v>0</v>
      </c>
      <c r="G76" s="116">
        <v>0</v>
      </c>
      <c r="H76" s="367" t="s">
        <v>1248</v>
      </c>
      <c r="I76" s="373" t="s">
        <v>56</v>
      </c>
      <c r="J76" s="373">
        <v>1</v>
      </c>
      <c r="K76" s="374">
        <v>1</v>
      </c>
      <c r="L76" s="403" t="s">
        <v>1249</v>
      </c>
      <c r="M76" s="395"/>
    </row>
    <row r="77" spans="1:13" ht="15.6" x14ac:dyDescent="0.3">
      <c r="A77" s="460"/>
      <c r="B77" s="361"/>
      <c r="C77" s="114" t="s">
        <v>415</v>
      </c>
      <c r="D77" s="116">
        <v>500.8</v>
      </c>
      <c r="E77" s="116">
        <v>500.8</v>
      </c>
      <c r="F77" s="116">
        <v>227.8</v>
      </c>
      <c r="G77" s="116">
        <v>273</v>
      </c>
      <c r="H77" s="367"/>
      <c r="I77" s="373"/>
      <c r="J77" s="373"/>
      <c r="K77" s="374"/>
      <c r="L77" s="403"/>
      <c r="M77" s="395"/>
    </row>
    <row r="78" spans="1:13" ht="24.6" customHeight="1" x14ac:dyDescent="0.3">
      <c r="A78" s="460"/>
      <c r="B78" s="361"/>
      <c r="C78" s="114" t="s">
        <v>200</v>
      </c>
      <c r="D78" s="116">
        <v>555</v>
      </c>
      <c r="E78" s="116">
        <v>555</v>
      </c>
      <c r="F78" s="116">
        <v>431.4</v>
      </c>
      <c r="G78" s="116">
        <v>123.6</v>
      </c>
      <c r="H78" s="367"/>
      <c r="I78" s="373"/>
      <c r="J78" s="373"/>
      <c r="K78" s="374"/>
      <c r="L78" s="403"/>
      <c r="M78" s="395"/>
    </row>
    <row r="79" spans="1:13" ht="109.2" x14ac:dyDescent="0.3">
      <c r="A79" s="97" t="s">
        <v>1250</v>
      </c>
      <c r="B79" s="124" t="s">
        <v>1251</v>
      </c>
      <c r="C79" s="125"/>
      <c r="D79" s="99">
        <f>SUM(D80:D80)</f>
        <v>221.5</v>
      </c>
      <c r="E79" s="99">
        <f>SUM(E80:E80)</f>
        <v>221.5</v>
      </c>
      <c r="F79" s="99">
        <f>SUM(F80:F80)</f>
        <v>220.5</v>
      </c>
      <c r="G79" s="99">
        <f>SUM(G80:G80)</f>
        <v>1</v>
      </c>
      <c r="H79" s="359"/>
      <c r="I79" s="359"/>
      <c r="J79" s="359"/>
      <c r="K79" s="359"/>
      <c r="L79" s="359"/>
      <c r="M79" s="359"/>
    </row>
    <row r="80" spans="1:13" ht="102.6" customHeight="1" x14ac:dyDescent="0.3">
      <c r="A80" s="363" t="s">
        <v>1252</v>
      </c>
      <c r="B80" s="361" t="s">
        <v>1253</v>
      </c>
      <c r="C80" s="102"/>
      <c r="D80" s="111">
        <f>SUM(D81:D82)</f>
        <v>221.5</v>
      </c>
      <c r="E80" s="111">
        <f>SUM(E81:E82)</f>
        <v>221.5</v>
      </c>
      <c r="F80" s="111">
        <f>SUM(F81:F82)</f>
        <v>220.5</v>
      </c>
      <c r="G80" s="111">
        <f>SUM(G81:G82)</f>
        <v>1</v>
      </c>
      <c r="H80" s="361" t="s">
        <v>1254</v>
      </c>
      <c r="I80" s="364" t="s">
        <v>29</v>
      </c>
      <c r="J80" s="364">
        <v>13</v>
      </c>
      <c r="K80" s="379">
        <v>12</v>
      </c>
      <c r="L80" s="372" t="s">
        <v>1255</v>
      </c>
      <c r="M80" s="407" t="s">
        <v>1256</v>
      </c>
    </row>
    <row r="81" spans="1:13" ht="15.6" x14ac:dyDescent="0.3">
      <c r="A81" s="363"/>
      <c r="B81" s="361"/>
      <c r="C81" s="114" t="s">
        <v>27</v>
      </c>
      <c r="D81" s="116">
        <v>48.1</v>
      </c>
      <c r="E81" s="116">
        <v>48.1</v>
      </c>
      <c r="F81" s="116">
        <v>48.1</v>
      </c>
      <c r="G81" s="116">
        <v>0</v>
      </c>
      <c r="H81" s="361"/>
      <c r="I81" s="364"/>
      <c r="J81" s="364"/>
      <c r="K81" s="379"/>
      <c r="L81" s="372"/>
      <c r="M81" s="407"/>
    </row>
    <row r="82" spans="1:13" ht="15.6" x14ac:dyDescent="0.3">
      <c r="A82" s="363"/>
      <c r="B82" s="361"/>
      <c r="C82" s="114" t="s">
        <v>689</v>
      </c>
      <c r="D82" s="116">
        <v>173.4</v>
      </c>
      <c r="E82" s="116">
        <v>173.4</v>
      </c>
      <c r="F82" s="116">
        <v>172.4</v>
      </c>
      <c r="G82" s="116">
        <v>1</v>
      </c>
      <c r="H82" s="361"/>
      <c r="I82" s="364"/>
      <c r="J82" s="364"/>
      <c r="K82" s="379"/>
      <c r="L82" s="372"/>
      <c r="M82" s="407"/>
    </row>
    <row r="83" spans="1:13" ht="62.4" x14ac:dyDescent="0.3">
      <c r="A83" s="97" t="s">
        <v>1257</v>
      </c>
      <c r="B83" s="124" t="s">
        <v>1258</v>
      </c>
      <c r="C83" s="125"/>
      <c r="D83" s="99">
        <f>SUM(D84:D84)</f>
        <v>2912</v>
      </c>
      <c r="E83" s="99">
        <f>SUM(E84:E84)</f>
        <v>2670.5</v>
      </c>
      <c r="F83" s="99">
        <f>SUM(F84:F84)</f>
        <v>2266.6</v>
      </c>
      <c r="G83" s="99">
        <f>SUM(G84:G84)</f>
        <v>403.9</v>
      </c>
      <c r="H83" s="359"/>
      <c r="I83" s="359"/>
      <c r="J83" s="359"/>
      <c r="K83" s="359"/>
      <c r="L83" s="359"/>
      <c r="M83" s="359"/>
    </row>
    <row r="84" spans="1:13" ht="46.8" customHeight="1" x14ac:dyDescent="0.3">
      <c r="A84" s="363" t="s">
        <v>1259</v>
      </c>
      <c r="B84" s="361" t="s">
        <v>1260</v>
      </c>
      <c r="C84" s="102"/>
      <c r="D84" s="111">
        <f>SUM(D85:D88)</f>
        <v>2912</v>
      </c>
      <c r="E84" s="111">
        <f>SUM(E85:E88)</f>
        <v>2670.5</v>
      </c>
      <c r="F84" s="111">
        <f>SUM(F85:F88)</f>
        <v>2266.6</v>
      </c>
      <c r="G84" s="111">
        <f>SUM(G85:G88)</f>
        <v>403.9</v>
      </c>
      <c r="H84" s="102" t="s">
        <v>1261</v>
      </c>
      <c r="I84" s="106" t="s">
        <v>551</v>
      </c>
      <c r="J84" s="300">
        <v>1500</v>
      </c>
      <c r="K84" s="301">
        <v>1473</v>
      </c>
      <c r="L84" s="105" t="s">
        <v>1262</v>
      </c>
      <c r="M84" s="108" t="s">
        <v>1263</v>
      </c>
    </row>
    <row r="85" spans="1:13" ht="17.399999999999999" customHeight="1" x14ac:dyDescent="0.3">
      <c r="A85" s="363"/>
      <c r="B85" s="361"/>
      <c r="C85" s="114"/>
      <c r="D85" s="116">
        <v>0</v>
      </c>
      <c r="E85" s="116">
        <v>0</v>
      </c>
      <c r="F85" s="116">
        <v>0</v>
      </c>
      <c r="G85" s="116">
        <v>0</v>
      </c>
      <c r="H85" s="368" t="s">
        <v>1261</v>
      </c>
      <c r="I85" s="373" t="s">
        <v>551</v>
      </c>
      <c r="J85" s="461">
        <v>17015</v>
      </c>
      <c r="K85" s="462">
        <v>12799</v>
      </c>
      <c r="L85" s="367" t="s">
        <v>1264</v>
      </c>
      <c r="M85" s="371" t="s">
        <v>1265</v>
      </c>
    </row>
    <row r="86" spans="1:13" ht="15.6" x14ac:dyDescent="0.3">
      <c r="A86" s="363"/>
      <c r="B86" s="361"/>
      <c r="C86" s="114" t="s">
        <v>27</v>
      </c>
      <c r="D86" s="116">
        <v>1117.5</v>
      </c>
      <c r="E86" s="116">
        <v>962.4</v>
      </c>
      <c r="F86" s="116">
        <v>723.6</v>
      </c>
      <c r="G86" s="116">
        <v>238.8</v>
      </c>
      <c r="H86" s="368"/>
      <c r="I86" s="373"/>
      <c r="J86" s="461"/>
      <c r="K86" s="462"/>
      <c r="L86" s="367"/>
      <c r="M86" s="371"/>
    </row>
    <row r="87" spans="1:13" ht="15.6" x14ac:dyDescent="0.3">
      <c r="A87" s="363"/>
      <c r="B87" s="361"/>
      <c r="C87" s="114" t="s">
        <v>1079</v>
      </c>
      <c r="D87" s="116">
        <v>552</v>
      </c>
      <c r="E87" s="116">
        <v>485.6</v>
      </c>
      <c r="F87" s="116">
        <v>469.9</v>
      </c>
      <c r="G87" s="116">
        <v>15.7</v>
      </c>
      <c r="H87" s="368"/>
      <c r="I87" s="373"/>
      <c r="J87" s="461"/>
      <c r="K87" s="462"/>
      <c r="L87" s="367"/>
      <c r="M87" s="371"/>
    </row>
    <row r="88" spans="1:13" ht="15.6" x14ac:dyDescent="0.3">
      <c r="A88" s="363"/>
      <c r="B88" s="361"/>
      <c r="C88" s="114" t="s">
        <v>36</v>
      </c>
      <c r="D88" s="116">
        <v>1242.5</v>
      </c>
      <c r="E88" s="116">
        <v>1222.5</v>
      </c>
      <c r="F88" s="116">
        <v>1073.0999999999999</v>
      </c>
      <c r="G88" s="116">
        <v>149.4</v>
      </c>
      <c r="H88" s="368"/>
      <c r="I88" s="373"/>
      <c r="J88" s="461"/>
      <c r="K88" s="462"/>
      <c r="L88" s="367"/>
      <c r="M88" s="371"/>
    </row>
    <row r="89" spans="1:13" ht="31.2" x14ac:dyDescent="0.3">
      <c r="A89" s="97" t="s">
        <v>1266</v>
      </c>
      <c r="B89" s="124" t="s">
        <v>1267</v>
      </c>
      <c r="C89" s="125"/>
      <c r="D89" s="99">
        <f>D90+D92</f>
        <v>12308.6</v>
      </c>
      <c r="E89" s="99">
        <f>E90+E92</f>
        <v>13423.9</v>
      </c>
      <c r="F89" s="99">
        <f>F90+F92</f>
        <v>13183.2</v>
      </c>
      <c r="G89" s="99">
        <f>G90+G92</f>
        <v>240.7</v>
      </c>
      <c r="H89" s="359"/>
      <c r="I89" s="359"/>
      <c r="J89" s="359"/>
      <c r="K89" s="359"/>
      <c r="L89" s="359"/>
      <c r="M89" s="359"/>
    </row>
    <row r="90" spans="1:13" ht="46.8" customHeight="1" x14ac:dyDescent="0.3">
      <c r="A90" s="363" t="s">
        <v>1268</v>
      </c>
      <c r="B90" s="361" t="s">
        <v>1269</v>
      </c>
      <c r="C90" s="102"/>
      <c r="D90" s="111">
        <f>SUM(D91:D91)</f>
        <v>12138.6</v>
      </c>
      <c r="E90" s="111">
        <f>SUM(E91:E91)</f>
        <v>13238.6</v>
      </c>
      <c r="F90" s="111">
        <f>SUM(F91:F91)</f>
        <v>13006.1</v>
      </c>
      <c r="G90" s="111">
        <f>SUM(G91:G91)</f>
        <v>232.5</v>
      </c>
      <c r="H90" s="396" t="s">
        <v>1261</v>
      </c>
      <c r="I90" s="364" t="s">
        <v>551</v>
      </c>
      <c r="J90" s="463">
        <v>19000</v>
      </c>
      <c r="K90" s="455">
        <v>21192</v>
      </c>
      <c r="L90" s="361"/>
      <c r="M90" s="362" t="s">
        <v>1270</v>
      </c>
    </row>
    <row r="91" spans="1:13" ht="15.6" x14ac:dyDescent="0.3">
      <c r="A91" s="363"/>
      <c r="B91" s="361"/>
      <c r="C91" s="114" t="s">
        <v>689</v>
      </c>
      <c r="D91" s="116">
        <v>12138.6</v>
      </c>
      <c r="E91" s="116">
        <v>13238.6</v>
      </c>
      <c r="F91" s="116">
        <v>13006.1</v>
      </c>
      <c r="G91" s="116">
        <v>232.5</v>
      </c>
      <c r="H91" s="396"/>
      <c r="I91" s="364"/>
      <c r="J91" s="463"/>
      <c r="K91" s="455"/>
      <c r="L91" s="361"/>
      <c r="M91" s="362"/>
    </row>
    <row r="92" spans="1:13" ht="31.2" customHeight="1" x14ac:dyDescent="0.3">
      <c r="A92" s="363" t="s">
        <v>1271</v>
      </c>
      <c r="B92" s="361" t="s">
        <v>1272</v>
      </c>
      <c r="C92" s="102"/>
      <c r="D92" s="111">
        <f>SUM(D93:D93)</f>
        <v>170</v>
      </c>
      <c r="E92" s="111">
        <f>SUM(E93:E93)</f>
        <v>185.3</v>
      </c>
      <c r="F92" s="111">
        <f>SUM(F93:F93)</f>
        <v>177.1</v>
      </c>
      <c r="G92" s="111">
        <f>SUM(G93:G93)</f>
        <v>8.1999999999999993</v>
      </c>
      <c r="H92" s="396" t="s">
        <v>1273</v>
      </c>
      <c r="I92" s="364" t="s">
        <v>551</v>
      </c>
      <c r="J92" s="364">
        <v>33</v>
      </c>
      <c r="K92" s="360">
        <v>33</v>
      </c>
      <c r="L92" s="361"/>
      <c r="M92" s="444"/>
    </row>
    <row r="93" spans="1:13" ht="15.6" x14ac:dyDescent="0.3">
      <c r="A93" s="363"/>
      <c r="B93" s="361"/>
      <c r="C93" s="114" t="s">
        <v>689</v>
      </c>
      <c r="D93" s="116">
        <v>170</v>
      </c>
      <c r="E93" s="116">
        <v>185.3</v>
      </c>
      <c r="F93" s="116">
        <v>177.1</v>
      </c>
      <c r="G93" s="116">
        <v>8.1999999999999993</v>
      </c>
      <c r="H93" s="396"/>
      <c r="I93" s="364"/>
      <c r="J93" s="364"/>
      <c r="K93" s="360"/>
      <c r="L93" s="361"/>
      <c r="M93" s="444"/>
    </row>
    <row r="94" spans="1:13" ht="31.2" x14ac:dyDescent="0.3">
      <c r="A94" s="97" t="s">
        <v>1274</v>
      </c>
      <c r="B94" s="124" t="s">
        <v>1275</v>
      </c>
      <c r="C94" s="125"/>
      <c r="D94" s="99">
        <f>D95+D97</f>
        <v>8253.6</v>
      </c>
      <c r="E94" s="99">
        <f>E95+E97</f>
        <v>6554.1</v>
      </c>
      <c r="F94" s="99">
        <f>F95+F97</f>
        <v>6551.5</v>
      </c>
      <c r="G94" s="99">
        <f>G95+G97</f>
        <v>2.6</v>
      </c>
      <c r="H94" s="359"/>
      <c r="I94" s="359"/>
      <c r="J94" s="359"/>
      <c r="K94" s="359"/>
      <c r="L94" s="359"/>
      <c r="M94" s="359"/>
    </row>
    <row r="95" spans="1:13" ht="62.4" customHeight="1" x14ac:dyDescent="0.3">
      <c r="A95" s="363" t="s">
        <v>1276</v>
      </c>
      <c r="B95" s="361" t="s">
        <v>1277</v>
      </c>
      <c r="C95" s="102"/>
      <c r="D95" s="111">
        <f>SUM(D96:D96)</f>
        <v>8013.3</v>
      </c>
      <c r="E95" s="111">
        <f>SUM(E96:E96)</f>
        <v>6363.3</v>
      </c>
      <c r="F95" s="111">
        <f>SUM(F96:F96)</f>
        <v>6363.3</v>
      </c>
      <c r="G95" s="111">
        <f>SUM(G96:G96)</f>
        <v>0</v>
      </c>
      <c r="H95" s="396" t="s">
        <v>1261</v>
      </c>
      <c r="I95" s="364" t="s">
        <v>551</v>
      </c>
      <c r="J95" s="463">
        <v>6251</v>
      </c>
      <c r="K95" s="464">
        <v>3671</v>
      </c>
      <c r="L95" s="361"/>
      <c r="M95" s="362" t="s">
        <v>1278</v>
      </c>
    </row>
    <row r="96" spans="1:13" ht="15.6" x14ac:dyDescent="0.3">
      <c r="A96" s="363"/>
      <c r="B96" s="361"/>
      <c r="C96" s="114" t="s">
        <v>689</v>
      </c>
      <c r="D96" s="116">
        <v>8013.3</v>
      </c>
      <c r="E96" s="116">
        <v>6363.3</v>
      </c>
      <c r="F96" s="116">
        <v>6363.3</v>
      </c>
      <c r="G96" s="116">
        <v>0</v>
      </c>
      <c r="H96" s="396"/>
      <c r="I96" s="364"/>
      <c r="J96" s="463"/>
      <c r="K96" s="464"/>
      <c r="L96" s="361"/>
      <c r="M96" s="362"/>
    </row>
    <row r="97" spans="1:13" ht="31.2" customHeight="1" x14ac:dyDescent="0.3">
      <c r="A97" s="363" t="s">
        <v>1279</v>
      </c>
      <c r="B97" s="361" t="s">
        <v>1272</v>
      </c>
      <c r="C97" s="102"/>
      <c r="D97" s="111">
        <f>SUM(D98:D98)</f>
        <v>240.3</v>
      </c>
      <c r="E97" s="111">
        <f>SUM(E98:E98)</f>
        <v>190.8</v>
      </c>
      <c r="F97" s="111">
        <f>SUM(F98:F98)</f>
        <v>188.2</v>
      </c>
      <c r="G97" s="111">
        <f>SUM(G98:G98)</f>
        <v>2.6</v>
      </c>
      <c r="H97" s="396" t="s">
        <v>1273</v>
      </c>
      <c r="I97" s="364" t="s">
        <v>29</v>
      </c>
      <c r="J97" s="463">
        <v>33</v>
      </c>
      <c r="K97" s="455">
        <v>33</v>
      </c>
      <c r="L97" s="361"/>
      <c r="M97" s="444"/>
    </row>
    <row r="98" spans="1:13" ht="15.6" x14ac:dyDescent="0.3">
      <c r="A98" s="363"/>
      <c r="B98" s="361"/>
      <c r="C98" s="114" t="s">
        <v>689</v>
      </c>
      <c r="D98" s="116">
        <v>240.3</v>
      </c>
      <c r="E98" s="116">
        <v>190.8</v>
      </c>
      <c r="F98" s="116">
        <v>188.2</v>
      </c>
      <c r="G98" s="116">
        <v>2.6</v>
      </c>
      <c r="H98" s="396"/>
      <c r="I98" s="364"/>
      <c r="J98" s="463"/>
      <c r="K98" s="455"/>
      <c r="L98" s="361"/>
      <c r="M98" s="444"/>
    </row>
    <row r="99" spans="1:13" ht="62.4" x14ac:dyDescent="0.3">
      <c r="A99" s="97" t="s">
        <v>1280</v>
      </c>
      <c r="B99" s="124" t="s">
        <v>1281</v>
      </c>
      <c r="C99" s="125"/>
      <c r="D99" s="99">
        <f>D100+D102+D103</f>
        <v>5.6999999999999993</v>
      </c>
      <c r="E99" s="99">
        <f>E100+E102+E103</f>
        <v>6.6</v>
      </c>
      <c r="F99" s="99">
        <f>F100+F102+F103-0.1</f>
        <v>6.5</v>
      </c>
      <c r="G99" s="99">
        <f>G100+G102+G103</f>
        <v>0</v>
      </c>
      <c r="H99" s="359"/>
      <c r="I99" s="359"/>
      <c r="J99" s="359"/>
      <c r="K99" s="359"/>
      <c r="L99" s="359"/>
      <c r="M99" s="359"/>
    </row>
    <row r="100" spans="1:13" ht="62.4" customHeight="1" x14ac:dyDescent="0.3">
      <c r="A100" s="363" t="s">
        <v>1282</v>
      </c>
      <c r="B100" s="361" t="s">
        <v>1283</v>
      </c>
      <c r="C100" s="102"/>
      <c r="D100" s="111">
        <f>SUM(D101:D101)</f>
        <v>0</v>
      </c>
      <c r="E100" s="111">
        <f>SUM(E101:E101)</f>
        <v>0.9</v>
      </c>
      <c r="F100" s="111">
        <f>SUM(F101:F101)</f>
        <v>0.9</v>
      </c>
      <c r="G100" s="111">
        <f>SUM(G101:G101)</f>
        <v>0</v>
      </c>
      <c r="H100" s="396" t="s">
        <v>1261</v>
      </c>
      <c r="I100" s="364" t="s">
        <v>551</v>
      </c>
      <c r="J100" s="463">
        <v>1</v>
      </c>
      <c r="K100" s="455">
        <v>1</v>
      </c>
      <c r="L100" s="361"/>
      <c r="M100" s="362" t="s">
        <v>1284</v>
      </c>
    </row>
    <row r="101" spans="1:13" ht="15.6" x14ac:dyDescent="0.3">
      <c r="A101" s="363"/>
      <c r="B101" s="361"/>
      <c r="C101" s="114" t="s">
        <v>689</v>
      </c>
      <c r="D101" s="116">
        <v>0</v>
      </c>
      <c r="E101" s="116">
        <v>0.9</v>
      </c>
      <c r="F101" s="116">
        <v>0.9</v>
      </c>
      <c r="G101" s="116">
        <v>0</v>
      </c>
      <c r="H101" s="396"/>
      <c r="I101" s="364"/>
      <c r="J101" s="463"/>
      <c r="K101" s="455"/>
      <c r="L101" s="361"/>
      <c r="M101" s="362"/>
    </row>
    <row r="102" spans="1:13" ht="116.4" customHeight="1" x14ac:dyDescent="0.3">
      <c r="A102" s="100" t="s">
        <v>1285</v>
      </c>
      <c r="B102" s="101" t="s">
        <v>1286</v>
      </c>
      <c r="C102" s="102" t="s">
        <v>1079</v>
      </c>
      <c r="D102" s="104">
        <v>1.1000000000000001</v>
      </c>
      <c r="E102" s="104">
        <v>1.1000000000000001</v>
      </c>
      <c r="F102" s="104">
        <v>1.1000000000000001</v>
      </c>
      <c r="G102" s="104">
        <v>0</v>
      </c>
      <c r="H102" s="102" t="s">
        <v>1261</v>
      </c>
      <c r="I102" s="106" t="s">
        <v>551</v>
      </c>
      <c r="J102" s="254">
        <v>2</v>
      </c>
      <c r="K102" s="267">
        <v>2</v>
      </c>
      <c r="L102" s="105"/>
      <c r="M102" s="108" t="s">
        <v>1284</v>
      </c>
    </row>
    <row r="103" spans="1:13" ht="31.2" x14ac:dyDescent="0.3">
      <c r="A103" s="100" t="s">
        <v>1287</v>
      </c>
      <c r="B103" s="101" t="s">
        <v>1288</v>
      </c>
      <c r="C103" s="102" t="s">
        <v>27</v>
      </c>
      <c r="D103" s="104">
        <v>4.5999999999999996</v>
      </c>
      <c r="E103" s="104">
        <v>4.5999999999999996</v>
      </c>
      <c r="F103" s="104">
        <v>4.5999999999999996</v>
      </c>
      <c r="G103" s="104">
        <v>0</v>
      </c>
      <c r="H103" s="102" t="s">
        <v>1261</v>
      </c>
      <c r="I103" s="106" t="s">
        <v>551</v>
      </c>
      <c r="J103" s="254">
        <v>2</v>
      </c>
      <c r="K103" s="267">
        <v>2</v>
      </c>
      <c r="L103" s="105"/>
      <c r="M103" s="108" t="s">
        <v>1284</v>
      </c>
    </row>
    <row r="104" spans="1:13" ht="39" customHeight="1" x14ac:dyDescent="0.3">
      <c r="A104" s="97" t="s">
        <v>1289</v>
      </c>
      <c r="B104" s="124" t="s">
        <v>1290</v>
      </c>
      <c r="C104" s="125"/>
      <c r="D104" s="99">
        <f>SUM(D105:D105)</f>
        <v>488.9</v>
      </c>
      <c r="E104" s="99">
        <f>SUM(E105:E105)</f>
        <v>421.1</v>
      </c>
      <c r="F104" s="99">
        <f>SUM(F105:F105)</f>
        <v>421.1</v>
      </c>
      <c r="G104" s="99">
        <f>SUM(G105:G105)</f>
        <v>0</v>
      </c>
      <c r="H104" s="359"/>
      <c r="I104" s="359"/>
      <c r="J104" s="359"/>
      <c r="K104" s="359"/>
      <c r="L104" s="359"/>
      <c r="M104" s="359"/>
    </row>
    <row r="105" spans="1:13" ht="40.200000000000003" customHeight="1" x14ac:dyDescent="0.3">
      <c r="A105" s="100" t="s">
        <v>1291</v>
      </c>
      <c r="B105" s="101" t="s">
        <v>1292</v>
      </c>
      <c r="C105" s="102" t="s">
        <v>1079</v>
      </c>
      <c r="D105" s="104">
        <v>488.9</v>
      </c>
      <c r="E105" s="104">
        <v>421.1</v>
      </c>
      <c r="F105" s="104">
        <v>421.1</v>
      </c>
      <c r="G105" s="104">
        <v>0</v>
      </c>
      <c r="H105" s="102" t="s">
        <v>1261</v>
      </c>
      <c r="I105" s="106" t="s">
        <v>551</v>
      </c>
      <c r="J105" s="254">
        <v>1790</v>
      </c>
      <c r="K105" s="301">
        <v>1652</v>
      </c>
      <c r="L105" s="105"/>
      <c r="M105" s="108" t="s">
        <v>1284</v>
      </c>
    </row>
    <row r="106" spans="1:13" ht="78" x14ac:dyDescent="0.3">
      <c r="A106" s="97" t="s">
        <v>1293</v>
      </c>
      <c r="B106" s="124" t="s">
        <v>1294</v>
      </c>
      <c r="C106" s="125"/>
      <c r="D106" s="99">
        <f t="shared" ref="D106:G107" si="0">SUM(D107:D107)</f>
        <v>2727</v>
      </c>
      <c r="E106" s="99">
        <f t="shared" si="0"/>
        <v>2727</v>
      </c>
      <c r="F106" s="99">
        <f t="shared" si="0"/>
        <v>2666.7</v>
      </c>
      <c r="G106" s="99">
        <f t="shared" si="0"/>
        <v>60.3</v>
      </c>
      <c r="H106" s="359"/>
      <c r="I106" s="359"/>
      <c r="J106" s="359"/>
      <c r="K106" s="359"/>
      <c r="L106" s="359"/>
      <c r="M106" s="359"/>
    </row>
    <row r="107" spans="1:13" ht="207.6" customHeight="1" x14ac:dyDescent="0.3">
      <c r="A107" s="363" t="s">
        <v>1295</v>
      </c>
      <c r="B107" s="361" t="s">
        <v>1296</v>
      </c>
      <c r="C107" s="102"/>
      <c r="D107" s="111">
        <f t="shared" si="0"/>
        <v>2727</v>
      </c>
      <c r="E107" s="111">
        <f t="shared" si="0"/>
        <v>2727</v>
      </c>
      <c r="F107" s="111">
        <f t="shared" si="0"/>
        <v>2666.7</v>
      </c>
      <c r="G107" s="111">
        <f t="shared" si="0"/>
        <v>60.3</v>
      </c>
      <c r="H107" s="396" t="s">
        <v>1192</v>
      </c>
      <c r="I107" s="364" t="s">
        <v>29</v>
      </c>
      <c r="J107" s="463">
        <v>43065</v>
      </c>
      <c r="K107" s="464">
        <v>41142</v>
      </c>
      <c r="L107" s="361" t="s">
        <v>1297</v>
      </c>
      <c r="M107" s="389" t="s">
        <v>1298</v>
      </c>
    </row>
    <row r="108" spans="1:13" ht="86.4" customHeight="1" x14ac:dyDescent="0.3">
      <c r="A108" s="363"/>
      <c r="B108" s="361"/>
      <c r="C108" s="114" t="s">
        <v>27</v>
      </c>
      <c r="D108" s="116">
        <v>2727</v>
      </c>
      <c r="E108" s="116">
        <v>2727</v>
      </c>
      <c r="F108" s="116">
        <v>2666.7</v>
      </c>
      <c r="G108" s="116">
        <v>60.3</v>
      </c>
      <c r="H108" s="396"/>
      <c r="I108" s="364"/>
      <c r="J108" s="463"/>
      <c r="K108" s="464"/>
      <c r="L108" s="361"/>
      <c r="M108" s="389"/>
    </row>
    <row r="109" spans="1:13" ht="171.6" x14ac:dyDescent="0.3">
      <c r="A109" s="94" t="s">
        <v>1299</v>
      </c>
      <c r="B109" s="137" t="s">
        <v>1300</v>
      </c>
      <c r="C109" s="138"/>
      <c r="D109" s="96">
        <f>D110+D112</f>
        <v>83.7</v>
      </c>
      <c r="E109" s="96">
        <f>E110+E112</f>
        <v>83.7</v>
      </c>
      <c r="F109" s="96">
        <f>F110+F112</f>
        <v>74.400000000000006</v>
      </c>
      <c r="G109" s="96">
        <f>G110+G112</f>
        <v>9.3000000000000007</v>
      </c>
      <c r="H109" s="357"/>
      <c r="I109" s="357"/>
      <c r="J109" s="357"/>
      <c r="K109" s="357"/>
      <c r="L109" s="357"/>
      <c r="M109" s="357"/>
    </row>
    <row r="110" spans="1:13" ht="46.8" x14ac:dyDescent="0.3">
      <c r="A110" s="97" t="s">
        <v>1301</v>
      </c>
      <c r="B110" s="124" t="s">
        <v>1302</v>
      </c>
      <c r="C110" s="125"/>
      <c r="D110" s="99">
        <f>SUM(D111:D111)</f>
        <v>23.7</v>
      </c>
      <c r="E110" s="99">
        <f>SUM(E111:E111)</f>
        <v>23.7</v>
      </c>
      <c r="F110" s="99">
        <f>SUM(F111:F111)</f>
        <v>22.8</v>
      </c>
      <c r="G110" s="99">
        <f>SUM(G111:G111)</f>
        <v>0.9</v>
      </c>
      <c r="H110" s="359"/>
      <c r="I110" s="359"/>
      <c r="J110" s="359"/>
      <c r="K110" s="359"/>
      <c r="L110" s="359"/>
      <c r="M110" s="359"/>
    </row>
    <row r="111" spans="1:13" ht="118.8" customHeight="1" x14ac:dyDescent="0.3">
      <c r="A111" s="100" t="s">
        <v>1303</v>
      </c>
      <c r="B111" s="101" t="s">
        <v>910</v>
      </c>
      <c r="C111" s="102" t="s">
        <v>27</v>
      </c>
      <c r="D111" s="104">
        <v>23.7</v>
      </c>
      <c r="E111" s="104">
        <v>23.7</v>
      </c>
      <c r="F111" s="104">
        <v>22.8</v>
      </c>
      <c r="G111" s="104">
        <v>0.9</v>
      </c>
      <c r="H111" s="102" t="s">
        <v>1304</v>
      </c>
      <c r="I111" s="106" t="s">
        <v>29</v>
      </c>
      <c r="J111" s="106">
        <v>70</v>
      </c>
      <c r="K111" s="117">
        <v>128</v>
      </c>
      <c r="L111" s="105" t="s">
        <v>1305</v>
      </c>
      <c r="M111" s="108" t="s">
        <v>1306</v>
      </c>
    </row>
    <row r="112" spans="1:13" ht="47.4" customHeight="1" x14ac:dyDescent="0.3">
      <c r="A112" s="97" t="s">
        <v>1307</v>
      </c>
      <c r="B112" s="124" t="s">
        <v>1308</v>
      </c>
      <c r="C112" s="125"/>
      <c r="D112" s="99">
        <f t="shared" ref="D112:G113" si="1">SUM(D113:D113)</f>
        <v>60</v>
      </c>
      <c r="E112" s="99">
        <f t="shared" si="1"/>
        <v>60</v>
      </c>
      <c r="F112" s="99">
        <f t="shared" si="1"/>
        <v>51.6</v>
      </c>
      <c r="G112" s="99">
        <f t="shared" si="1"/>
        <v>8.4</v>
      </c>
      <c r="H112" s="359"/>
      <c r="I112" s="359"/>
      <c r="J112" s="359"/>
      <c r="K112" s="359"/>
      <c r="L112" s="359"/>
      <c r="M112" s="359"/>
    </row>
    <row r="113" spans="1:13" ht="96" customHeight="1" x14ac:dyDescent="0.3">
      <c r="A113" s="363" t="s">
        <v>1309</v>
      </c>
      <c r="B113" s="361" t="s">
        <v>1310</v>
      </c>
      <c r="C113" s="102"/>
      <c r="D113" s="111">
        <f t="shared" si="1"/>
        <v>60</v>
      </c>
      <c r="E113" s="111">
        <f t="shared" si="1"/>
        <v>60</v>
      </c>
      <c r="F113" s="111">
        <f t="shared" si="1"/>
        <v>51.6</v>
      </c>
      <c r="G113" s="111">
        <f t="shared" si="1"/>
        <v>8.4</v>
      </c>
      <c r="H113" s="361" t="s">
        <v>1311</v>
      </c>
      <c r="I113" s="364" t="s">
        <v>56</v>
      </c>
      <c r="J113" s="364">
        <v>95</v>
      </c>
      <c r="K113" s="449">
        <v>100</v>
      </c>
      <c r="L113" s="361" t="s">
        <v>1312</v>
      </c>
      <c r="M113" s="389" t="s">
        <v>1313</v>
      </c>
    </row>
    <row r="114" spans="1:13" ht="39" customHeight="1" x14ac:dyDescent="0.3">
      <c r="A114" s="363"/>
      <c r="B114" s="361"/>
      <c r="C114" s="114" t="s">
        <v>27</v>
      </c>
      <c r="D114" s="116">
        <v>60</v>
      </c>
      <c r="E114" s="116">
        <v>60</v>
      </c>
      <c r="F114" s="116">
        <v>51.6</v>
      </c>
      <c r="G114" s="116">
        <v>8.4</v>
      </c>
      <c r="H114" s="361"/>
      <c r="I114" s="364"/>
      <c r="J114" s="364"/>
      <c r="K114" s="449"/>
      <c r="L114" s="361"/>
      <c r="M114" s="389"/>
    </row>
    <row r="115" spans="1:13" ht="78" x14ac:dyDescent="0.3">
      <c r="A115" s="94" t="s">
        <v>1314</v>
      </c>
      <c r="B115" s="137" t="s">
        <v>1315</v>
      </c>
      <c r="C115" s="138"/>
      <c r="D115" s="96">
        <f>D116+D121+D128</f>
        <v>1434</v>
      </c>
      <c r="E115" s="96">
        <f>E116+E121+E128</f>
        <v>1441.2</v>
      </c>
      <c r="F115" s="96">
        <f>F116+F121+F128</f>
        <v>610.80000000000007</v>
      </c>
      <c r="G115" s="96">
        <f>G116+G121+G128</f>
        <v>830.4</v>
      </c>
      <c r="H115" s="357"/>
      <c r="I115" s="357"/>
      <c r="J115" s="357"/>
      <c r="K115" s="357"/>
      <c r="L115" s="357"/>
      <c r="M115" s="357"/>
    </row>
    <row r="116" spans="1:13" ht="78" x14ac:dyDescent="0.3">
      <c r="A116" s="97" t="s">
        <v>1316</v>
      </c>
      <c r="B116" s="124" t="s">
        <v>1317</v>
      </c>
      <c r="C116" s="125"/>
      <c r="D116" s="99">
        <f>D117+D118+D120</f>
        <v>370</v>
      </c>
      <c r="E116" s="99">
        <f>E117+E118+E120</f>
        <v>362.5</v>
      </c>
      <c r="F116" s="99">
        <f>F117+F118+F120</f>
        <v>271.39999999999998</v>
      </c>
      <c r="G116" s="99">
        <f>G117+G118+G120</f>
        <v>91.1</v>
      </c>
      <c r="H116" s="359"/>
      <c r="I116" s="359"/>
      <c r="J116" s="359"/>
      <c r="K116" s="359"/>
      <c r="L116" s="359"/>
      <c r="M116" s="359"/>
    </row>
    <row r="117" spans="1:13" ht="106.8" customHeight="1" x14ac:dyDescent="0.3">
      <c r="A117" s="100" t="s">
        <v>1318</v>
      </c>
      <c r="B117" s="101" t="s">
        <v>1319</v>
      </c>
      <c r="C117" s="102" t="s">
        <v>27</v>
      </c>
      <c r="D117" s="104">
        <v>1.8</v>
      </c>
      <c r="E117" s="104">
        <v>1.8</v>
      </c>
      <c r="F117" s="104">
        <v>0</v>
      </c>
      <c r="G117" s="104">
        <v>1.8</v>
      </c>
      <c r="H117" s="102" t="s">
        <v>1320</v>
      </c>
      <c r="I117" s="106" t="s">
        <v>29</v>
      </c>
      <c r="J117" s="106">
        <v>3</v>
      </c>
      <c r="K117" s="117">
        <v>1</v>
      </c>
      <c r="L117" s="105"/>
      <c r="M117" s="198" t="s">
        <v>1131</v>
      </c>
    </row>
    <row r="118" spans="1:13" ht="120" customHeight="1" x14ac:dyDescent="0.3">
      <c r="A118" s="363" t="s">
        <v>1321</v>
      </c>
      <c r="B118" s="361" t="s">
        <v>1322</v>
      </c>
      <c r="C118" s="102"/>
      <c r="D118" s="111">
        <f>SUM(D119:D119)</f>
        <v>350</v>
      </c>
      <c r="E118" s="111">
        <f>SUM(E119:E119)</f>
        <v>342.5</v>
      </c>
      <c r="F118" s="111">
        <f>SUM(F119:F119)</f>
        <v>267.7</v>
      </c>
      <c r="G118" s="111">
        <f>SUM(G119:G119)</f>
        <v>74.8</v>
      </c>
      <c r="H118" s="396" t="s">
        <v>1323</v>
      </c>
      <c r="I118" s="364" t="s">
        <v>56</v>
      </c>
      <c r="J118" s="364">
        <v>100</v>
      </c>
      <c r="K118" s="360">
        <v>100</v>
      </c>
      <c r="L118" s="406" t="s">
        <v>1324</v>
      </c>
      <c r="M118" s="389" t="s">
        <v>1325</v>
      </c>
    </row>
    <row r="119" spans="1:13" ht="33.6" customHeight="1" x14ac:dyDescent="0.3">
      <c r="A119" s="363"/>
      <c r="B119" s="361"/>
      <c r="C119" s="114" t="s">
        <v>27</v>
      </c>
      <c r="D119" s="116">
        <v>350</v>
      </c>
      <c r="E119" s="116">
        <v>342.5</v>
      </c>
      <c r="F119" s="116">
        <v>267.7</v>
      </c>
      <c r="G119" s="116">
        <v>74.8</v>
      </c>
      <c r="H119" s="396"/>
      <c r="I119" s="364"/>
      <c r="J119" s="364"/>
      <c r="K119" s="360"/>
      <c r="L119" s="406"/>
      <c r="M119" s="389"/>
    </row>
    <row r="120" spans="1:13" ht="109.2" x14ac:dyDescent="0.3">
      <c r="A120" s="100" t="s">
        <v>1326</v>
      </c>
      <c r="B120" s="101" t="s">
        <v>1327</v>
      </c>
      <c r="C120" s="102" t="s">
        <v>27</v>
      </c>
      <c r="D120" s="104">
        <v>18.2</v>
      </c>
      <c r="E120" s="104">
        <v>18.2</v>
      </c>
      <c r="F120" s="104">
        <v>3.7</v>
      </c>
      <c r="G120" s="104">
        <v>14.5</v>
      </c>
      <c r="H120" s="102" t="s">
        <v>1328</v>
      </c>
      <c r="I120" s="106" t="s">
        <v>56</v>
      </c>
      <c r="J120" s="106">
        <v>100</v>
      </c>
      <c r="K120" s="117">
        <v>100</v>
      </c>
      <c r="L120" s="203" t="s">
        <v>1329</v>
      </c>
      <c r="M120" s="108" t="s">
        <v>1330</v>
      </c>
    </row>
    <row r="121" spans="1:13" ht="75.599999999999994" customHeight="1" x14ac:dyDescent="0.3">
      <c r="A121" s="97" t="s">
        <v>1331</v>
      </c>
      <c r="B121" s="124" t="s">
        <v>1332</v>
      </c>
      <c r="C121" s="125"/>
      <c r="D121" s="99">
        <f>D122+D126+D127</f>
        <v>1055.2</v>
      </c>
      <c r="E121" s="99">
        <f>E122+E126+E127</f>
        <v>1055.2</v>
      </c>
      <c r="F121" s="99">
        <f>F122+F126+F127+0.1</f>
        <v>327.80000000000007</v>
      </c>
      <c r="G121" s="99">
        <f>G122+G126+G127</f>
        <v>727.4</v>
      </c>
      <c r="H121" s="359"/>
      <c r="I121" s="359"/>
      <c r="J121" s="359"/>
      <c r="K121" s="359"/>
      <c r="L121" s="359"/>
      <c r="M121" s="359"/>
    </row>
    <row r="122" spans="1:13" ht="27.6" customHeight="1" x14ac:dyDescent="0.3">
      <c r="A122" s="363" t="s">
        <v>1333</v>
      </c>
      <c r="B122" s="361" t="s">
        <v>1334</v>
      </c>
      <c r="C122" s="102"/>
      <c r="D122" s="111">
        <f>SUM(D123:D125)</f>
        <v>1005.6</v>
      </c>
      <c r="E122" s="111">
        <f>SUM(E123:E125)</f>
        <v>1005.6</v>
      </c>
      <c r="F122" s="111">
        <f>SUM(F123:F125)</f>
        <v>326.60000000000002</v>
      </c>
      <c r="G122" s="111">
        <f>SUM(G123:G125)</f>
        <v>678.9</v>
      </c>
      <c r="H122" s="396" t="s">
        <v>1335</v>
      </c>
      <c r="I122" s="364" t="s">
        <v>29</v>
      </c>
      <c r="J122" s="364">
        <v>22</v>
      </c>
      <c r="K122" s="379">
        <v>14</v>
      </c>
      <c r="L122" s="361" t="s">
        <v>1336</v>
      </c>
      <c r="M122" s="362" t="s">
        <v>1337</v>
      </c>
    </row>
    <row r="123" spans="1:13" ht="15.6" x14ac:dyDescent="0.3">
      <c r="A123" s="363"/>
      <c r="B123" s="361"/>
      <c r="C123" s="114" t="s">
        <v>36</v>
      </c>
      <c r="D123" s="116">
        <v>64.599999999999994</v>
      </c>
      <c r="E123" s="116">
        <v>64.599999999999994</v>
      </c>
      <c r="F123" s="116">
        <v>21.5</v>
      </c>
      <c r="G123" s="116">
        <v>43</v>
      </c>
      <c r="H123" s="396"/>
      <c r="I123" s="364"/>
      <c r="J123" s="364"/>
      <c r="K123" s="379"/>
      <c r="L123" s="361"/>
      <c r="M123" s="362"/>
    </row>
    <row r="124" spans="1:13" ht="15.6" x14ac:dyDescent="0.3">
      <c r="A124" s="363"/>
      <c r="B124" s="361"/>
      <c r="C124" s="114" t="s">
        <v>200</v>
      </c>
      <c r="D124" s="116">
        <v>850</v>
      </c>
      <c r="E124" s="116">
        <v>850</v>
      </c>
      <c r="F124" s="116">
        <v>222.1</v>
      </c>
      <c r="G124" s="116">
        <v>627.9</v>
      </c>
      <c r="H124" s="396"/>
      <c r="I124" s="364"/>
      <c r="J124" s="364"/>
      <c r="K124" s="379"/>
      <c r="L124" s="361"/>
      <c r="M124" s="362"/>
    </row>
    <row r="125" spans="1:13" ht="15.6" x14ac:dyDescent="0.3">
      <c r="A125" s="363"/>
      <c r="B125" s="361"/>
      <c r="C125" s="114" t="s">
        <v>27</v>
      </c>
      <c r="D125" s="116">
        <v>91</v>
      </c>
      <c r="E125" s="116">
        <v>91</v>
      </c>
      <c r="F125" s="116">
        <v>83</v>
      </c>
      <c r="G125" s="116">
        <v>8</v>
      </c>
      <c r="H125" s="396"/>
      <c r="I125" s="364"/>
      <c r="J125" s="364"/>
      <c r="K125" s="379"/>
      <c r="L125" s="361"/>
      <c r="M125" s="362"/>
    </row>
    <row r="126" spans="1:13" ht="62.4" customHeight="1" x14ac:dyDescent="0.3">
      <c r="A126" s="100" t="s">
        <v>1338</v>
      </c>
      <c r="B126" s="101" t="s">
        <v>1339</v>
      </c>
      <c r="C126" s="102" t="s">
        <v>689</v>
      </c>
      <c r="D126" s="104">
        <v>1.5</v>
      </c>
      <c r="E126" s="104">
        <v>1.5</v>
      </c>
      <c r="F126" s="104">
        <v>1.1000000000000001</v>
      </c>
      <c r="G126" s="104">
        <v>0.4</v>
      </c>
      <c r="H126" s="102" t="s">
        <v>1340</v>
      </c>
      <c r="I126" s="106" t="s">
        <v>56</v>
      </c>
      <c r="J126" s="106">
        <v>100</v>
      </c>
      <c r="K126" s="117">
        <v>100</v>
      </c>
      <c r="L126" s="203" t="s">
        <v>1341</v>
      </c>
      <c r="M126" s="108" t="s">
        <v>1342</v>
      </c>
    </row>
    <row r="127" spans="1:13" ht="109.2" x14ac:dyDescent="0.3">
      <c r="A127" s="100" t="s">
        <v>1343</v>
      </c>
      <c r="B127" s="302" t="s">
        <v>1344</v>
      </c>
      <c r="C127" s="102" t="s">
        <v>36</v>
      </c>
      <c r="D127" s="104">
        <v>48.1</v>
      </c>
      <c r="E127" s="104">
        <v>48.1</v>
      </c>
      <c r="F127" s="303">
        <v>0</v>
      </c>
      <c r="G127" s="104">
        <v>48.1</v>
      </c>
      <c r="H127" s="304" t="s">
        <v>1335</v>
      </c>
      <c r="I127" s="106" t="s">
        <v>29</v>
      </c>
      <c r="J127" s="305"/>
      <c r="K127" s="306"/>
      <c r="L127" s="197" t="s">
        <v>1345</v>
      </c>
      <c r="M127" s="108" t="s">
        <v>1346</v>
      </c>
    </row>
    <row r="128" spans="1:13" ht="31.2" x14ac:dyDescent="0.3">
      <c r="A128" s="97" t="s">
        <v>1347</v>
      </c>
      <c r="B128" s="124" t="s">
        <v>1348</v>
      </c>
      <c r="C128" s="125"/>
      <c r="D128" s="99">
        <f>SUM(D129:D129)</f>
        <v>8.8000000000000007</v>
      </c>
      <c r="E128" s="99">
        <f>SUM(E129:E129)</f>
        <v>23.5</v>
      </c>
      <c r="F128" s="99">
        <f>SUM(F129:F129)</f>
        <v>11.6</v>
      </c>
      <c r="G128" s="99">
        <f>SUM(G129:G129)</f>
        <v>11.9</v>
      </c>
      <c r="H128" s="359"/>
      <c r="I128" s="359"/>
      <c r="J128" s="359"/>
      <c r="K128" s="359"/>
      <c r="L128" s="359"/>
      <c r="M128" s="359"/>
    </row>
    <row r="129" spans="1:13" ht="30" customHeight="1" x14ac:dyDescent="0.3">
      <c r="A129" s="363" t="s">
        <v>1349</v>
      </c>
      <c r="B129" s="361" t="s">
        <v>1350</v>
      </c>
      <c r="C129" s="102"/>
      <c r="D129" s="111">
        <f>SUM(D130:D131)</f>
        <v>8.8000000000000007</v>
      </c>
      <c r="E129" s="111">
        <f>SUM(E130:E131)</f>
        <v>23.5</v>
      </c>
      <c r="F129" s="111">
        <f>SUM(F130:F131)</f>
        <v>11.6</v>
      </c>
      <c r="G129" s="111">
        <f>SUM(G130:G131)</f>
        <v>11.9</v>
      </c>
      <c r="H129" s="396" t="s">
        <v>1340</v>
      </c>
      <c r="I129" s="364" t="s">
        <v>56</v>
      </c>
      <c r="J129" s="364">
        <v>100</v>
      </c>
      <c r="K129" s="360">
        <v>100</v>
      </c>
      <c r="L129" s="406" t="s">
        <v>1351</v>
      </c>
      <c r="M129" s="362" t="s">
        <v>1352</v>
      </c>
    </row>
    <row r="130" spans="1:13" ht="18.600000000000001" customHeight="1" x14ac:dyDescent="0.3">
      <c r="A130" s="363"/>
      <c r="B130" s="361"/>
      <c r="C130" s="114" t="s">
        <v>27</v>
      </c>
      <c r="D130" s="116">
        <v>0</v>
      </c>
      <c r="E130" s="116">
        <v>7.5</v>
      </c>
      <c r="F130" s="116">
        <v>0</v>
      </c>
      <c r="G130" s="116">
        <v>7.5</v>
      </c>
      <c r="H130" s="396"/>
      <c r="I130" s="364"/>
      <c r="J130" s="364"/>
      <c r="K130" s="360"/>
      <c r="L130" s="406"/>
      <c r="M130" s="362"/>
    </row>
    <row r="131" spans="1:13" ht="27" customHeight="1" x14ac:dyDescent="0.3">
      <c r="A131" s="363"/>
      <c r="B131" s="361"/>
      <c r="C131" s="114" t="s">
        <v>1079</v>
      </c>
      <c r="D131" s="116">
        <v>8.8000000000000007</v>
      </c>
      <c r="E131" s="116">
        <v>16</v>
      </c>
      <c r="F131" s="116">
        <v>11.6</v>
      </c>
      <c r="G131" s="116">
        <v>4.4000000000000004</v>
      </c>
      <c r="H131" s="396"/>
      <c r="I131" s="364"/>
      <c r="J131" s="364"/>
      <c r="K131" s="360"/>
      <c r="L131" s="406"/>
      <c r="M131" s="362"/>
    </row>
    <row r="132" spans="1:13" ht="46.8" x14ac:dyDescent="0.3">
      <c r="A132" s="94" t="s">
        <v>1353</v>
      </c>
      <c r="B132" s="137" t="s">
        <v>1354</v>
      </c>
      <c r="C132" s="138"/>
      <c r="D132" s="96">
        <f t="shared" ref="D132:G134" si="2">SUM(D133:D133)</f>
        <v>284.7</v>
      </c>
      <c r="E132" s="96">
        <f t="shared" si="2"/>
        <v>226.7</v>
      </c>
      <c r="F132" s="96">
        <f t="shared" si="2"/>
        <v>203.8</v>
      </c>
      <c r="G132" s="96">
        <f t="shared" si="2"/>
        <v>22.9</v>
      </c>
      <c r="H132" s="357"/>
      <c r="I132" s="357"/>
      <c r="J132" s="357"/>
      <c r="K132" s="357"/>
      <c r="L132" s="357"/>
      <c r="M132" s="357"/>
    </row>
    <row r="133" spans="1:13" ht="31.2" x14ac:dyDescent="0.3">
      <c r="A133" s="97" t="s">
        <v>1355</v>
      </c>
      <c r="B133" s="124" t="s">
        <v>1356</v>
      </c>
      <c r="C133" s="125"/>
      <c r="D133" s="99">
        <f t="shared" si="2"/>
        <v>284.7</v>
      </c>
      <c r="E133" s="99">
        <f t="shared" si="2"/>
        <v>226.7</v>
      </c>
      <c r="F133" s="99">
        <f t="shared" si="2"/>
        <v>203.8</v>
      </c>
      <c r="G133" s="99">
        <f t="shared" si="2"/>
        <v>22.9</v>
      </c>
      <c r="H133" s="359"/>
      <c r="I133" s="359"/>
      <c r="J133" s="359"/>
      <c r="K133" s="359"/>
      <c r="L133" s="359"/>
      <c r="M133" s="359"/>
    </row>
    <row r="134" spans="1:13" ht="62.4" customHeight="1" x14ac:dyDescent="0.3">
      <c r="A134" s="363" t="s">
        <v>1357</v>
      </c>
      <c r="B134" s="361" t="s">
        <v>1358</v>
      </c>
      <c r="C134" s="102"/>
      <c r="D134" s="111">
        <f t="shared" si="2"/>
        <v>284.7</v>
      </c>
      <c r="E134" s="111">
        <f t="shared" si="2"/>
        <v>226.7</v>
      </c>
      <c r="F134" s="111">
        <f t="shared" si="2"/>
        <v>203.8</v>
      </c>
      <c r="G134" s="111">
        <f t="shared" si="2"/>
        <v>22.9</v>
      </c>
      <c r="H134" s="396" t="s">
        <v>1359</v>
      </c>
      <c r="I134" s="364" t="s">
        <v>29</v>
      </c>
      <c r="J134" s="463">
        <v>1210</v>
      </c>
      <c r="K134" s="465">
        <v>868</v>
      </c>
      <c r="L134" s="361" t="s">
        <v>1360</v>
      </c>
      <c r="M134" s="362" t="s">
        <v>1361</v>
      </c>
    </row>
    <row r="135" spans="1:13" ht="15.6" x14ac:dyDescent="0.3">
      <c r="A135" s="363"/>
      <c r="B135" s="361"/>
      <c r="C135" s="133" t="s">
        <v>27</v>
      </c>
      <c r="D135" s="143">
        <v>284.7</v>
      </c>
      <c r="E135" s="143">
        <v>226.7</v>
      </c>
      <c r="F135" s="143">
        <v>203.8</v>
      </c>
      <c r="G135" s="143">
        <v>22.9</v>
      </c>
      <c r="H135" s="396"/>
      <c r="I135" s="364"/>
      <c r="J135" s="463"/>
      <c r="K135" s="465"/>
      <c r="L135" s="361"/>
      <c r="M135" s="362"/>
    </row>
    <row r="136" spans="1:13" x14ac:dyDescent="0.3">
      <c r="A136" s="205"/>
      <c r="B136" s="205"/>
      <c r="C136" s="206"/>
      <c r="D136" s="207"/>
      <c r="E136" s="207"/>
      <c r="F136" s="207"/>
      <c r="G136" s="207"/>
      <c r="H136" s="206"/>
      <c r="I136" s="208"/>
      <c r="J136" s="209"/>
      <c r="K136" s="209"/>
      <c r="L136" s="206"/>
      <c r="M136" s="206"/>
    </row>
    <row r="137" spans="1:13" x14ac:dyDescent="0.3">
      <c r="A137" s="205"/>
      <c r="B137" s="205"/>
      <c r="C137" s="206"/>
      <c r="D137" s="207"/>
      <c r="E137" s="207"/>
      <c r="F137" s="207"/>
      <c r="G137" s="207"/>
      <c r="H137" s="206"/>
      <c r="I137" s="208"/>
      <c r="J137" s="209"/>
      <c r="K137" s="209"/>
      <c r="L137" s="206"/>
      <c r="M137" s="206"/>
    </row>
    <row r="138" spans="1:13" ht="62.4" x14ac:dyDescent="0.3">
      <c r="A138" s="150" t="s">
        <v>5</v>
      </c>
      <c r="B138" s="150" t="s">
        <v>101</v>
      </c>
      <c r="C138" s="150" t="s">
        <v>222</v>
      </c>
      <c r="D138" s="150" t="s">
        <v>223</v>
      </c>
      <c r="E138" s="150" t="s">
        <v>104</v>
      </c>
      <c r="F138" s="150" t="s">
        <v>669</v>
      </c>
      <c r="K138" s="258"/>
      <c r="L138" s="214" t="s">
        <v>101</v>
      </c>
      <c r="M138" s="214" t="s">
        <v>105</v>
      </c>
    </row>
    <row r="139" spans="1:13" ht="15.6" x14ac:dyDescent="0.3">
      <c r="A139" s="154" t="s">
        <v>106</v>
      </c>
      <c r="B139" s="154" t="s">
        <v>107</v>
      </c>
      <c r="C139" s="155">
        <f>SUM(C140:C147)</f>
        <v>16082.9</v>
      </c>
      <c r="D139" s="155">
        <f>SUM(D140:D147)</f>
        <v>16297.9</v>
      </c>
      <c r="E139" s="155">
        <f>SUM(E140:E147)</f>
        <v>13985.199999999997</v>
      </c>
      <c r="F139" s="155">
        <f>SUM(F140:F147)</f>
        <v>2312.7000000000003</v>
      </c>
      <c r="K139" s="220"/>
      <c r="L139" s="261" t="s">
        <v>108</v>
      </c>
      <c r="M139" s="262">
        <v>34</v>
      </c>
    </row>
    <row r="140" spans="1:13" ht="40.200000000000003" x14ac:dyDescent="0.3">
      <c r="A140" s="154" t="s">
        <v>27</v>
      </c>
      <c r="B140" s="154" t="s">
        <v>109</v>
      </c>
      <c r="C140" s="116">
        <v>8739.4</v>
      </c>
      <c r="D140" s="116">
        <v>8952.1</v>
      </c>
      <c r="E140" s="116">
        <v>8187.6</v>
      </c>
      <c r="F140" s="116">
        <v>764.5</v>
      </c>
      <c r="K140" s="221"/>
      <c r="L140" s="261" t="s">
        <v>110</v>
      </c>
      <c r="M140" s="262">
        <v>5</v>
      </c>
    </row>
    <row r="141" spans="1:13" ht="27" x14ac:dyDescent="0.3">
      <c r="A141" s="154" t="s">
        <v>415</v>
      </c>
      <c r="B141" s="154" t="s">
        <v>514</v>
      </c>
      <c r="C141" s="116">
        <v>500.8</v>
      </c>
      <c r="D141" s="116">
        <v>500.8</v>
      </c>
      <c r="E141" s="116">
        <v>227.8</v>
      </c>
      <c r="F141" s="116">
        <v>273</v>
      </c>
      <c r="K141" s="222"/>
      <c r="L141" s="261" t="s">
        <v>112</v>
      </c>
      <c r="M141" s="262">
        <v>2</v>
      </c>
    </row>
    <row r="142" spans="1:13" ht="15.6" x14ac:dyDescent="0.3">
      <c r="A142" s="154" t="s">
        <v>846</v>
      </c>
      <c r="B142" s="154" t="s">
        <v>993</v>
      </c>
      <c r="C142" s="116">
        <v>0</v>
      </c>
      <c r="D142" s="116">
        <v>3.9</v>
      </c>
      <c r="E142" s="116">
        <v>3.9</v>
      </c>
      <c r="F142" s="116">
        <v>0</v>
      </c>
      <c r="K142" s="212"/>
      <c r="L142" s="213" t="s">
        <v>114</v>
      </c>
      <c r="M142" s="214">
        <v>41</v>
      </c>
    </row>
    <row r="143" spans="1:13" ht="15.6" x14ac:dyDescent="0.3">
      <c r="A143" s="154" t="s">
        <v>1079</v>
      </c>
      <c r="B143" s="154" t="s">
        <v>1142</v>
      </c>
      <c r="C143" s="116">
        <v>2404.6</v>
      </c>
      <c r="D143" s="116">
        <v>2589.1999999999998</v>
      </c>
      <c r="E143" s="116">
        <v>2559.5</v>
      </c>
      <c r="F143" s="116">
        <v>29.7</v>
      </c>
    </row>
    <row r="144" spans="1:13" ht="15.6" x14ac:dyDescent="0.3">
      <c r="A144" s="154" t="s">
        <v>242</v>
      </c>
      <c r="B144" s="154" t="s">
        <v>375</v>
      </c>
      <c r="C144" s="116">
        <v>11</v>
      </c>
      <c r="D144" s="116">
        <v>243.6</v>
      </c>
      <c r="E144" s="116">
        <v>241.4</v>
      </c>
      <c r="F144" s="116">
        <v>2.2000000000000002</v>
      </c>
    </row>
    <row r="145" spans="1:6" ht="15.6" x14ac:dyDescent="0.3">
      <c r="A145" s="154" t="s">
        <v>200</v>
      </c>
      <c r="B145" s="154" t="s">
        <v>225</v>
      </c>
      <c r="C145" s="116">
        <v>2225.6999999999998</v>
      </c>
      <c r="D145" s="116">
        <v>1769.2</v>
      </c>
      <c r="E145" s="116">
        <v>937.3</v>
      </c>
      <c r="F145" s="116">
        <v>831.9</v>
      </c>
    </row>
    <row r="146" spans="1:6" ht="15.6" x14ac:dyDescent="0.3">
      <c r="A146" s="154" t="s">
        <v>182</v>
      </c>
      <c r="B146" s="154" t="s">
        <v>226</v>
      </c>
      <c r="C146" s="116">
        <v>397.6</v>
      </c>
      <c r="D146" s="116">
        <v>435.3</v>
      </c>
      <c r="E146" s="116">
        <v>434.4</v>
      </c>
      <c r="F146" s="116">
        <v>0.9</v>
      </c>
    </row>
    <row r="147" spans="1:6" ht="15.6" x14ac:dyDescent="0.3">
      <c r="A147" s="154" t="s">
        <v>36</v>
      </c>
      <c r="B147" s="154" t="s">
        <v>111</v>
      </c>
      <c r="C147" s="116">
        <v>1803.8</v>
      </c>
      <c r="D147" s="116">
        <v>1803.8</v>
      </c>
      <c r="E147" s="116">
        <v>1393.3</v>
      </c>
      <c r="F147" s="116">
        <v>410.5</v>
      </c>
    </row>
    <row r="148" spans="1:6" ht="15.6" x14ac:dyDescent="0.3">
      <c r="A148" s="154" t="s">
        <v>614</v>
      </c>
      <c r="B148" s="154" t="s">
        <v>615</v>
      </c>
      <c r="C148" s="155">
        <f>SUM(C149:C150)</f>
        <v>20974.2</v>
      </c>
      <c r="D148" s="155">
        <f>SUM(D149:D150)</f>
        <v>20504</v>
      </c>
      <c r="E148" s="155">
        <f>SUM(E149:E150)-0.1</f>
        <v>20048.3</v>
      </c>
      <c r="F148" s="155">
        <f>SUM(F149:F150)+0.1</f>
        <v>455.70000000000005</v>
      </c>
    </row>
    <row r="149" spans="1:6" ht="15.6" x14ac:dyDescent="0.3">
      <c r="A149" s="154" t="s">
        <v>689</v>
      </c>
      <c r="B149" s="154" t="s">
        <v>775</v>
      </c>
      <c r="C149" s="116">
        <v>20974.2</v>
      </c>
      <c r="D149" s="116">
        <v>20402.900000000001</v>
      </c>
      <c r="E149" s="116">
        <v>19973.599999999999</v>
      </c>
      <c r="F149" s="116">
        <v>429.3</v>
      </c>
    </row>
    <row r="150" spans="1:6" ht="15.6" x14ac:dyDescent="0.3">
      <c r="A150" s="154" t="s">
        <v>875</v>
      </c>
      <c r="B150" s="154" t="s">
        <v>994</v>
      </c>
      <c r="C150" s="116">
        <v>0</v>
      </c>
      <c r="D150" s="116">
        <v>101.1</v>
      </c>
      <c r="E150" s="116">
        <v>74.8</v>
      </c>
      <c r="F150" s="116">
        <v>26.3</v>
      </c>
    </row>
    <row r="151" spans="1:6" ht="15.6" x14ac:dyDescent="0.3">
      <c r="A151" s="163"/>
      <c r="B151" s="195" t="s">
        <v>113</v>
      </c>
      <c r="C151" s="165">
        <f>C139+C148</f>
        <v>37057.1</v>
      </c>
      <c r="D151" s="165">
        <f>D139+D148</f>
        <v>36801.9</v>
      </c>
      <c r="E151" s="165">
        <f>E139+E148</f>
        <v>34033.5</v>
      </c>
      <c r="F151" s="165">
        <f>F139+F148</f>
        <v>2768.4000000000005</v>
      </c>
    </row>
  </sheetData>
  <mergeCells count="254">
    <mergeCell ref="H132:M132"/>
    <mergeCell ref="H133:M133"/>
    <mergeCell ref="A134:A135"/>
    <mergeCell ref="B134:B135"/>
    <mergeCell ref="H134:H135"/>
    <mergeCell ref="I134:I135"/>
    <mergeCell ref="J134:J135"/>
    <mergeCell ref="K134:K135"/>
    <mergeCell ref="L134:L135"/>
    <mergeCell ref="M134:M135"/>
    <mergeCell ref="H128:M128"/>
    <mergeCell ref="A129:A131"/>
    <mergeCell ref="B129:B131"/>
    <mergeCell ref="H129:H131"/>
    <mergeCell ref="I129:I131"/>
    <mergeCell ref="J129:J131"/>
    <mergeCell ref="K129:K131"/>
    <mergeCell ref="L129:L131"/>
    <mergeCell ref="M129:M131"/>
    <mergeCell ref="H121:M121"/>
    <mergeCell ref="A122:A125"/>
    <mergeCell ref="B122:B125"/>
    <mergeCell ref="H122:H125"/>
    <mergeCell ref="I122:I125"/>
    <mergeCell ref="J122:J125"/>
    <mergeCell ref="K122:K125"/>
    <mergeCell ref="L122:L125"/>
    <mergeCell ref="M122:M125"/>
    <mergeCell ref="H115:M115"/>
    <mergeCell ref="H116:M116"/>
    <mergeCell ref="A118:A119"/>
    <mergeCell ref="B118:B119"/>
    <mergeCell ref="H118:H119"/>
    <mergeCell ref="I118:I119"/>
    <mergeCell ref="J118:J119"/>
    <mergeCell ref="K118:K119"/>
    <mergeCell ref="L118:L119"/>
    <mergeCell ref="M118:M119"/>
    <mergeCell ref="H109:M109"/>
    <mergeCell ref="H110:M110"/>
    <mergeCell ref="H112:M112"/>
    <mergeCell ref="A113:A114"/>
    <mergeCell ref="B113:B114"/>
    <mergeCell ref="H113:H114"/>
    <mergeCell ref="I113:I114"/>
    <mergeCell ref="J113:J114"/>
    <mergeCell ref="K113:K114"/>
    <mergeCell ref="L113:L114"/>
    <mergeCell ref="M113:M114"/>
    <mergeCell ref="H104:M104"/>
    <mergeCell ref="H106:M106"/>
    <mergeCell ref="A107:A108"/>
    <mergeCell ref="B107:B108"/>
    <mergeCell ref="H107:H108"/>
    <mergeCell ref="I107:I108"/>
    <mergeCell ref="J107:J108"/>
    <mergeCell ref="K107:K108"/>
    <mergeCell ref="L107:L108"/>
    <mergeCell ref="M107:M108"/>
    <mergeCell ref="H99:M99"/>
    <mergeCell ref="A100:A101"/>
    <mergeCell ref="B100:B101"/>
    <mergeCell ref="H100:H101"/>
    <mergeCell ref="I100:I101"/>
    <mergeCell ref="J100:J101"/>
    <mergeCell ref="K100:K101"/>
    <mergeCell ref="L100:L101"/>
    <mergeCell ref="M100:M101"/>
    <mergeCell ref="A95:A96"/>
    <mergeCell ref="B95:B96"/>
    <mergeCell ref="H95:H96"/>
    <mergeCell ref="I95:I96"/>
    <mergeCell ref="J95:J96"/>
    <mergeCell ref="K95:K96"/>
    <mergeCell ref="L95:L96"/>
    <mergeCell ref="M95:M96"/>
    <mergeCell ref="A97:A98"/>
    <mergeCell ref="B97:B98"/>
    <mergeCell ref="H97:H98"/>
    <mergeCell ref="I97:I98"/>
    <mergeCell ref="J97:J98"/>
    <mergeCell ref="K97:K98"/>
    <mergeCell ref="L97:L98"/>
    <mergeCell ref="M97:M98"/>
    <mergeCell ref="A92:A93"/>
    <mergeCell ref="B92:B93"/>
    <mergeCell ref="H92:H93"/>
    <mergeCell ref="I92:I93"/>
    <mergeCell ref="J92:J93"/>
    <mergeCell ref="K92:K93"/>
    <mergeCell ref="L92:L93"/>
    <mergeCell ref="M92:M93"/>
    <mergeCell ref="H94:M94"/>
    <mergeCell ref="H89:M89"/>
    <mergeCell ref="A90:A91"/>
    <mergeCell ref="B90:B91"/>
    <mergeCell ref="H90:H91"/>
    <mergeCell ref="I90:I91"/>
    <mergeCell ref="J90:J91"/>
    <mergeCell ref="K90:K91"/>
    <mergeCell ref="L90:L91"/>
    <mergeCell ref="M90:M91"/>
    <mergeCell ref="H83:M83"/>
    <mergeCell ref="A84:A88"/>
    <mergeCell ref="B84:B88"/>
    <mergeCell ref="H85:H88"/>
    <mergeCell ref="I85:I88"/>
    <mergeCell ref="J85:J88"/>
    <mergeCell ref="K85:K88"/>
    <mergeCell ref="L85:L88"/>
    <mergeCell ref="M85:M88"/>
    <mergeCell ref="H79:M79"/>
    <mergeCell ref="A80:A82"/>
    <mergeCell ref="B80:B82"/>
    <mergeCell ref="H80:H82"/>
    <mergeCell ref="I80:I82"/>
    <mergeCell ref="J80:J82"/>
    <mergeCell ref="K80:K82"/>
    <mergeCell ref="L80:L82"/>
    <mergeCell ref="M80:M82"/>
    <mergeCell ref="H74:M74"/>
    <mergeCell ref="B75:B78"/>
    <mergeCell ref="A76:A78"/>
    <mergeCell ref="H76:H78"/>
    <mergeCell ref="I76:I78"/>
    <mergeCell ref="J76:J78"/>
    <mergeCell ref="K76:K78"/>
    <mergeCell ref="L76:L78"/>
    <mergeCell ref="M76:M78"/>
    <mergeCell ref="K66:K67"/>
    <mergeCell ref="L66:L67"/>
    <mergeCell ref="M66:M67"/>
    <mergeCell ref="A69:A73"/>
    <mergeCell ref="B69:B73"/>
    <mergeCell ref="H69:H73"/>
    <mergeCell ref="I69:I73"/>
    <mergeCell ref="J69:J73"/>
    <mergeCell ref="K69:K73"/>
    <mergeCell ref="L69:L73"/>
    <mergeCell ref="M69:M73"/>
    <mergeCell ref="A66:A67"/>
    <mergeCell ref="B66:B67"/>
    <mergeCell ref="C66:C67"/>
    <mergeCell ref="D66:D67"/>
    <mergeCell ref="E66:E67"/>
    <mergeCell ref="F66:F67"/>
    <mergeCell ref="H66:H67"/>
    <mergeCell ref="I66:I67"/>
    <mergeCell ref="J66:J67"/>
    <mergeCell ref="I58:I60"/>
    <mergeCell ref="J58:J60"/>
    <mergeCell ref="K58:K60"/>
    <mergeCell ref="L58:L60"/>
    <mergeCell ref="M58:M60"/>
    <mergeCell ref="A61:A64"/>
    <mergeCell ref="B61:B64"/>
    <mergeCell ref="H62:H64"/>
    <mergeCell ref="I62:I64"/>
    <mergeCell ref="J62:J64"/>
    <mergeCell ref="K62:K64"/>
    <mergeCell ref="L62:L64"/>
    <mergeCell ref="M62:M64"/>
    <mergeCell ref="A54:A57"/>
    <mergeCell ref="B54:B57"/>
    <mergeCell ref="C54:C57"/>
    <mergeCell ref="D54:D57"/>
    <mergeCell ref="E54:E57"/>
    <mergeCell ref="F54:F57"/>
    <mergeCell ref="A58:A60"/>
    <mergeCell ref="B58:B60"/>
    <mergeCell ref="H58:H60"/>
    <mergeCell ref="A46:A48"/>
    <mergeCell ref="B46:B48"/>
    <mergeCell ref="H46:H48"/>
    <mergeCell ref="I46:I48"/>
    <mergeCell ref="J46:J48"/>
    <mergeCell ref="K46:K48"/>
    <mergeCell ref="L46:L48"/>
    <mergeCell ref="M46:M48"/>
    <mergeCell ref="A49:A52"/>
    <mergeCell ref="B49:B52"/>
    <mergeCell ref="H49:H52"/>
    <mergeCell ref="I49:I52"/>
    <mergeCell ref="J49:J52"/>
    <mergeCell ref="K49:K52"/>
    <mergeCell ref="L49:L52"/>
    <mergeCell ref="M49:M52"/>
    <mergeCell ref="A38:A41"/>
    <mergeCell ref="B38:B41"/>
    <mergeCell ref="H38:H41"/>
    <mergeCell ref="I38:I41"/>
    <mergeCell ref="J38:J41"/>
    <mergeCell ref="K38:K41"/>
    <mergeCell ref="L38:L41"/>
    <mergeCell ref="M38:M41"/>
    <mergeCell ref="A42:A45"/>
    <mergeCell ref="B42:B45"/>
    <mergeCell ref="H42:H45"/>
    <mergeCell ref="I42:I45"/>
    <mergeCell ref="J42:J45"/>
    <mergeCell ref="K42:K45"/>
    <mergeCell ref="L42:L45"/>
    <mergeCell ref="M42:M45"/>
    <mergeCell ref="A26:A30"/>
    <mergeCell ref="B26:B30"/>
    <mergeCell ref="H28:H30"/>
    <mergeCell ref="I28:I30"/>
    <mergeCell ref="J28:J30"/>
    <mergeCell ref="K28:K30"/>
    <mergeCell ref="L28:L30"/>
    <mergeCell ref="M28:M30"/>
    <mergeCell ref="A31:A37"/>
    <mergeCell ref="B31:B37"/>
    <mergeCell ref="H31:H37"/>
    <mergeCell ref="I31:I37"/>
    <mergeCell ref="J31:J37"/>
    <mergeCell ref="K31:K37"/>
    <mergeCell ref="L31:L37"/>
    <mergeCell ref="M31:M37"/>
    <mergeCell ref="H20:M20"/>
    <mergeCell ref="A21:A25"/>
    <mergeCell ref="B21:B25"/>
    <mergeCell ref="H21:H25"/>
    <mergeCell ref="I21:I25"/>
    <mergeCell ref="J21:J25"/>
    <mergeCell ref="K21:K25"/>
    <mergeCell ref="L21:L25"/>
    <mergeCell ref="M21:M25"/>
    <mergeCell ref="H12:M12"/>
    <mergeCell ref="H13:M13"/>
    <mergeCell ref="H14:M14"/>
    <mergeCell ref="A17:A18"/>
    <mergeCell ref="B17:B18"/>
    <mergeCell ref="H17:H18"/>
    <mergeCell ref="I17:I18"/>
    <mergeCell ref="J17:J18"/>
    <mergeCell ref="K17:K18"/>
    <mergeCell ref="L17:L18"/>
    <mergeCell ref="M17:M18"/>
    <mergeCell ref="A5:M5"/>
    <mergeCell ref="A6:M6"/>
    <mergeCell ref="A9:A11"/>
    <mergeCell ref="B9:B11"/>
    <mergeCell ref="C9:C11"/>
    <mergeCell ref="D9:D11"/>
    <mergeCell ref="E9:E11"/>
    <mergeCell ref="F9:F11"/>
    <mergeCell ref="G9:G11"/>
    <mergeCell ref="H9:M9"/>
    <mergeCell ref="H10:H11"/>
    <mergeCell ref="I10:I11"/>
    <mergeCell ref="J10:K10"/>
    <mergeCell ref="L10:L11"/>
    <mergeCell ref="M10:M11"/>
  </mergeCells>
  <pageMargins left="0.4" right="0.4" top="0.4" bottom="0.4" header="0.51180555555555496" footer="0.51180555555555496"/>
  <pageSetup paperSize="9" firstPageNumber="0" orientation="landscape"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13"/>
  <sheetViews>
    <sheetView topLeftCell="A94" zoomScale="50" zoomScaleNormal="50" workbookViewId="0">
      <selection activeCell="O107" sqref="O107"/>
    </sheetView>
  </sheetViews>
  <sheetFormatPr defaultColWidth="9.109375" defaultRowHeight="14.4" x14ac:dyDescent="0.3"/>
  <cols>
    <col min="1" max="1" width="9.33203125" style="86" customWidth="1"/>
    <col min="2" max="2" width="24.88671875" style="86" customWidth="1"/>
    <col min="3" max="3" width="10" style="86" customWidth="1"/>
    <col min="4" max="4" width="13.33203125" style="86" customWidth="1"/>
    <col min="5" max="5" width="11.44140625" style="86" customWidth="1"/>
    <col min="6" max="6" width="12.5546875" style="86" customWidth="1"/>
    <col min="7" max="7" width="13.44140625" style="86" hidden="1" customWidth="1"/>
    <col min="8" max="8" width="19.44140625" style="86" customWidth="1"/>
    <col min="9" max="9" width="5.6640625" style="86" customWidth="1"/>
    <col min="10" max="11" width="8.5546875" style="86" customWidth="1"/>
    <col min="12" max="12" width="144.44140625" style="86" customWidth="1"/>
    <col min="13" max="13" width="45.5546875" style="86" customWidth="1"/>
    <col min="14" max="1024" width="9.109375" style="86"/>
  </cols>
  <sheetData>
    <row r="1" spans="1:13" s="90" customFormat="1" x14ac:dyDescent="0.3">
      <c r="A1" s="215"/>
      <c r="B1" s="215"/>
      <c r="C1" s="215"/>
      <c r="D1" s="215"/>
      <c r="E1" s="215"/>
      <c r="F1" s="215"/>
      <c r="G1" s="215"/>
      <c r="H1" s="215"/>
      <c r="I1" s="215"/>
      <c r="J1" s="215"/>
      <c r="K1" s="215"/>
      <c r="L1" s="215"/>
      <c r="M1" s="87" t="s">
        <v>0</v>
      </c>
    </row>
    <row r="2" spans="1:13" s="90" customFormat="1" x14ac:dyDescent="0.3">
      <c r="A2" s="215"/>
      <c r="B2" s="215"/>
      <c r="C2" s="215"/>
      <c r="D2" s="215"/>
      <c r="E2" s="215"/>
      <c r="F2" s="215"/>
      <c r="G2" s="215"/>
      <c r="H2" s="215"/>
      <c r="I2" s="215"/>
      <c r="J2" s="215"/>
      <c r="K2" s="215"/>
      <c r="L2" s="215"/>
      <c r="M2" s="87" t="s">
        <v>1</v>
      </c>
    </row>
    <row r="3" spans="1:13" s="90" customFormat="1" x14ac:dyDescent="0.3">
      <c r="A3" s="215"/>
      <c r="B3" s="215"/>
      <c r="C3" s="215"/>
      <c r="D3" s="215"/>
      <c r="E3" s="215"/>
      <c r="F3" s="215"/>
      <c r="G3" s="215"/>
      <c r="H3" s="215"/>
      <c r="I3" s="215"/>
      <c r="J3" s="215"/>
      <c r="K3" s="215"/>
      <c r="L3" s="215"/>
      <c r="M3" s="87" t="s">
        <v>2</v>
      </c>
    </row>
    <row r="4" spans="1:13" s="90" customFormat="1" ht="12" customHeight="1" x14ac:dyDescent="0.3">
      <c r="A4" s="215"/>
      <c r="B4" s="215"/>
      <c r="C4" s="215"/>
      <c r="D4" s="215"/>
      <c r="E4" s="215"/>
      <c r="F4" s="215"/>
      <c r="G4" s="215"/>
      <c r="H4" s="215"/>
      <c r="I4" s="215"/>
      <c r="J4" s="215"/>
      <c r="K4" s="215"/>
      <c r="L4" s="215"/>
      <c r="M4" s="215"/>
    </row>
    <row r="5" spans="1:13" s="90" customFormat="1" ht="15.6" x14ac:dyDescent="0.3">
      <c r="A5" s="344" t="s">
        <v>3</v>
      </c>
      <c r="B5" s="344"/>
      <c r="C5" s="344"/>
      <c r="D5" s="344"/>
      <c r="E5" s="344"/>
      <c r="F5" s="344"/>
      <c r="G5" s="344"/>
      <c r="H5" s="344"/>
      <c r="I5" s="344"/>
      <c r="J5" s="344"/>
      <c r="K5" s="344"/>
      <c r="L5" s="344"/>
      <c r="M5" s="344"/>
    </row>
    <row r="6" spans="1:13" ht="15.6" x14ac:dyDescent="0.3">
      <c r="A6" s="344" t="s">
        <v>1362</v>
      </c>
      <c r="B6" s="344"/>
      <c r="C6" s="344"/>
      <c r="D6" s="344"/>
      <c r="E6" s="344"/>
      <c r="F6" s="344"/>
      <c r="G6" s="344"/>
      <c r="H6" s="344"/>
      <c r="I6" s="344"/>
      <c r="J6" s="344"/>
      <c r="K6" s="344"/>
      <c r="L6" s="344"/>
      <c r="M6" s="344"/>
    </row>
    <row r="9" spans="1:13" ht="15.6" customHeight="1" x14ac:dyDescent="0.3">
      <c r="A9" s="382" t="s">
        <v>5</v>
      </c>
      <c r="B9" s="383" t="s">
        <v>6</v>
      </c>
      <c r="C9" s="383" t="s">
        <v>7</v>
      </c>
      <c r="D9" s="383" t="s">
        <v>222</v>
      </c>
      <c r="E9" s="383" t="s">
        <v>223</v>
      </c>
      <c r="F9" s="383" t="s">
        <v>104</v>
      </c>
      <c r="G9" s="383" t="s">
        <v>9</v>
      </c>
      <c r="H9" s="424" t="s">
        <v>517</v>
      </c>
      <c r="I9" s="424"/>
      <c r="J9" s="424"/>
      <c r="K9" s="424"/>
      <c r="L9" s="424"/>
      <c r="M9" s="424"/>
    </row>
    <row r="10" spans="1:13" ht="15.6" customHeight="1" x14ac:dyDescent="0.3">
      <c r="A10" s="382"/>
      <c r="B10" s="383"/>
      <c r="C10" s="383"/>
      <c r="D10" s="383"/>
      <c r="E10" s="383"/>
      <c r="F10" s="383"/>
      <c r="G10" s="383"/>
      <c r="H10" s="388" t="s">
        <v>518</v>
      </c>
      <c r="I10" s="388" t="s">
        <v>519</v>
      </c>
      <c r="J10" s="425" t="s">
        <v>520</v>
      </c>
      <c r="K10" s="425"/>
      <c r="L10" s="388" t="s">
        <v>11</v>
      </c>
      <c r="M10" s="426" t="s">
        <v>12</v>
      </c>
    </row>
    <row r="11" spans="1:13" ht="15.6" x14ac:dyDescent="0.3">
      <c r="A11" s="382"/>
      <c r="B11" s="383"/>
      <c r="C11" s="383"/>
      <c r="D11" s="383"/>
      <c r="E11" s="383"/>
      <c r="F11" s="383"/>
      <c r="G11" s="383"/>
      <c r="H11" s="383"/>
      <c r="I11" s="383"/>
      <c r="J11" s="166" t="s">
        <v>522</v>
      </c>
      <c r="K11" s="166" t="s">
        <v>523</v>
      </c>
      <c r="L11" s="388"/>
      <c r="M11" s="426"/>
    </row>
    <row r="12" spans="1:13" ht="31.2" x14ac:dyDescent="0.3">
      <c r="A12" s="196" t="s">
        <v>1363</v>
      </c>
      <c r="B12" s="167" t="s">
        <v>1364</v>
      </c>
      <c r="C12" s="168"/>
      <c r="D12" s="93">
        <f>D13+D68+D85</f>
        <v>11758.5</v>
      </c>
      <c r="E12" s="93">
        <f>E13+E68+E85+0.1</f>
        <v>12067.7</v>
      </c>
      <c r="F12" s="93">
        <f>F13+F68+F85</f>
        <v>11212.699999999999</v>
      </c>
      <c r="G12" s="93" t="e">
        <f>G13+G68+G85-0.1</f>
        <v>#REF!</v>
      </c>
      <c r="H12" s="355"/>
      <c r="I12" s="355"/>
      <c r="J12" s="355"/>
      <c r="K12" s="355"/>
      <c r="L12" s="355"/>
      <c r="M12" s="355"/>
    </row>
    <row r="13" spans="1:13" ht="62.4" x14ac:dyDescent="0.3">
      <c r="A13" s="225" t="s">
        <v>1365</v>
      </c>
      <c r="B13" s="137" t="s">
        <v>1366</v>
      </c>
      <c r="C13" s="138"/>
      <c r="D13" s="96">
        <f>D14+D34+D58+D66</f>
        <v>7390.1</v>
      </c>
      <c r="E13" s="96">
        <f>E14+E34+E58+E66</f>
        <v>7586</v>
      </c>
      <c r="F13" s="96">
        <f>F14+F34+F58+F66-0.1</f>
        <v>6785.4</v>
      </c>
      <c r="G13" s="96" t="e">
        <f>G14+G34+G58+G66</f>
        <v>#REF!</v>
      </c>
      <c r="H13" s="375"/>
      <c r="I13" s="375"/>
      <c r="J13" s="375"/>
      <c r="K13" s="375"/>
      <c r="L13" s="375"/>
      <c r="M13" s="375"/>
    </row>
    <row r="14" spans="1:13" ht="46.8" x14ac:dyDescent="0.3">
      <c r="A14" s="226" t="s">
        <v>1367</v>
      </c>
      <c r="B14" s="124" t="s">
        <v>1368</v>
      </c>
      <c r="C14" s="125"/>
      <c r="D14" s="99">
        <f>D15+D31+D33</f>
        <v>6172.9</v>
      </c>
      <c r="E14" s="99">
        <f>E15+E31+E33</f>
        <v>6533.6999999999989</v>
      </c>
      <c r="F14" s="99">
        <f>F15+F31+F33</f>
        <v>6153</v>
      </c>
      <c r="G14" s="99" t="e">
        <f>G15+G31+G33+#REF!</f>
        <v>#REF!</v>
      </c>
      <c r="H14" s="359"/>
      <c r="I14" s="359"/>
      <c r="J14" s="359"/>
      <c r="K14" s="359"/>
      <c r="L14" s="359"/>
      <c r="M14" s="359"/>
    </row>
    <row r="15" spans="1:13" ht="409.6" customHeight="1" x14ac:dyDescent="0.3">
      <c r="A15" s="466" t="s">
        <v>1369</v>
      </c>
      <c r="B15" s="361" t="s">
        <v>1370</v>
      </c>
      <c r="C15" s="102"/>
      <c r="D15" s="111">
        <f>SUM(D16:D30)</f>
        <v>5378.5</v>
      </c>
      <c r="E15" s="111">
        <f>SUM(E16:E30)</f>
        <v>5754.2999999999993</v>
      </c>
      <c r="F15" s="111">
        <f>SUM(F16:F30)</f>
        <v>5424.1</v>
      </c>
      <c r="G15" s="111">
        <f>SUM(G16:G30)</f>
        <v>330.3</v>
      </c>
      <c r="H15" s="105" t="s">
        <v>1371</v>
      </c>
      <c r="I15" s="106" t="s">
        <v>29</v>
      </c>
      <c r="J15" s="106">
        <v>250</v>
      </c>
      <c r="K15" s="117">
        <v>290</v>
      </c>
      <c r="L15" s="197" t="s">
        <v>1372</v>
      </c>
      <c r="M15" s="108" t="s">
        <v>1373</v>
      </c>
    </row>
    <row r="16" spans="1:13" ht="31.2" x14ac:dyDescent="0.3">
      <c r="A16" s="466"/>
      <c r="B16" s="361"/>
      <c r="C16" s="114"/>
      <c r="D16" s="116">
        <v>0</v>
      </c>
      <c r="E16" s="116">
        <v>0</v>
      </c>
      <c r="F16" s="116">
        <v>0</v>
      </c>
      <c r="G16" s="116">
        <v>0</v>
      </c>
      <c r="H16" s="118" t="s">
        <v>1374</v>
      </c>
      <c r="I16" s="119" t="s">
        <v>29</v>
      </c>
      <c r="J16" s="119">
        <v>20</v>
      </c>
      <c r="K16" s="217">
        <v>0</v>
      </c>
      <c r="L16" s="114"/>
      <c r="M16" s="271" t="s">
        <v>1375</v>
      </c>
    </row>
    <row r="17" spans="1:13" ht="31.2" x14ac:dyDescent="0.3">
      <c r="A17" s="466"/>
      <c r="B17" s="361"/>
      <c r="C17" s="114"/>
      <c r="D17" s="116">
        <v>0</v>
      </c>
      <c r="E17" s="116">
        <v>0</v>
      </c>
      <c r="F17" s="116">
        <v>0</v>
      </c>
      <c r="G17" s="116">
        <v>0</v>
      </c>
      <c r="H17" s="118" t="s">
        <v>1376</v>
      </c>
      <c r="I17" s="119" t="s">
        <v>29</v>
      </c>
      <c r="J17" s="119">
        <v>300</v>
      </c>
      <c r="K17" s="128">
        <v>340</v>
      </c>
      <c r="L17" s="307"/>
      <c r="M17" s="273"/>
    </row>
    <row r="18" spans="1:13" ht="31.2" x14ac:dyDescent="0.3">
      <c r="A18" s="466"/>
      <c r="B18" s="361"/>
      <c r="C18" s="114"/>
      <c r="D18" s="116">
        <v>0</v>
      </c>
      <c r="E18" s="116">
        <v>0</v>
      </c>
      <c r="F18" s="116">
        <v>0</v>
      </c>
      <c r="G18" s="116">
        <v>0</v>
      </c>
      <c r="H18" s="118" t="s">
        <v>1377</v>
      </c>
      <c r="I18" s="119" t="s">
        <v>29</v>
      </c>
      <c r="J18" s="119">
        <v>3</v>
      </c>
      <c r="K18" s="128">
        <v>4</v>
      </c>
      <c r="L18" s="114"/>
      <c r="M18" s="271"/>
    </row>
    <row r="19" spans="1:13" ht="31.2" x14ac:dyDescent="0.3">
      <c r="A19" s="466"/>
      <c r="B19" s="361"/>
      <c r="C19" s="114"/>
      <c r="D19" s="116">
        <v>0</v>
      </c>
      <c r="E19" s="116">
        <v>0</v>
      </c>
      <c r="F19" s="116">
        <v>0</v>
      </c>
      <c r="G19" s="116">
        <v>0</v>
      </c>
      <c r="H19" s="118" t="s">
        <v>1378</v>
      </c>
      <c r="I19" s="119" t="s">
        <v>551</v>
      </c>
      <c r="J19" s="119">
        <v>171</v>
      </c>
      <c r="K19" s="128">
        <v>171</v>
      </c>
      <c r="L19" s="307"/>
      <c r="M19" s="273"/>
    </row>
    <row r="20" spans="1:13" ht="31.2" x14ac:dyDescent="0.3">
      <c r="A20" s="466"/>
      <c r="B20" s="361"/>
      <c r="C20" s="114"/>
      <c r="D20" s="116">
        <v>0</v>
      </c>
      <c r="E20" s="116">
        <v>0</v>
      </c>
      <c r="F20" s="116">
        <v>0</v>
      </c>
      <c r="G20" s="116">
        <v>0</v>
      </c>
      <c r="H20" s="118" t="s">
        <v>1379</v>
      </c>
      <c r="I20" s="119" t="s">
        <v>29</v>
      </c>
      <c r="J20" s="119">
        <v>1</v>
      </c>
      <c r="K20" s="128">
        <v>2</v>
      </c>
      <c r="L20" s="307"/>
      <c r="M20" s="121"/>
    </row>
    <row r="21" spans="1:13" ht="46.8" x14ac:dyDescent="0.3">
      <c r="A21" s="466"/>
      <c r="B21" s="361"/>
      <c r="C21" s="114"/>
      <c r="D21" s="116">
        <v>0</v>
      </c>
      <c r="E21" s="116">
        <v>0</v>
      </c>
      <c r="F21" s="116">
        <v>0</v>
      </c>
      <c r="G21" s="116">
        <v>0</v>
      </c>
      <c r="H21" s="118" t="s">
        <v>1380</v>
      </c>
      <c r="I21" s="119" t="s">
        <v>29</v>
      </c>
      <c r="J21" s="119">
        <v>85</v>
      </c>
      <c r="K21" s="128">
        <v>85</v>
      </c>
      <c r="L21" s="307"/>
      <c r="M21" s="121"/>
    </row>
    <row r="22" spans="1:13" ht="46.8" x14ac:dyDescent="0.3">
      <c r="A22" s="466"/>
      <c r="B22" s="361"/>
      <c r="C22" s="114"/>
      <c r="D22" s="116">
        <v>0</v>
      </c>
      <c r="E22" s="116">
        <v>0</v>
      </c>
      <c r="F22" s="116">
        <v>0</v>
      </c>
      <c r="G22" s="116">
        <v>0</v>
      </c>
      <c r="H22" s="118" t="s">
        <v>1381</v>
      </c>
      <c r="I22" s="119" t="s">
        <v>56</v>
      </c>
      <c r="J22" s="119">
        <v>100</v>
      </c>
      <c r="K22" s="128">
        <v>100</v>
      </c>
      <c r="L22" s="253" t="s">
        <v>1382</v>
      </c>
      <c r="M22" s="121" t="s">
        <v>1383</v>
      </c>
    </row>
    <row r="23" spans="1:13" ht="46.8" x14ac:dyDescent="0.3">
      <c r="A23" s="466"/>
      <c r="B23" s="361"/>
      <c r="C23" s="114"/>
      <c r="D23" s="116">
        <v>0</v>
      </c>
      <c r="E23" s="116">
        <v>0</v>
      </c>
      <c r="F23" s="116">
        <v>0</v>
      </c>
      <c r="G23" s="116">
        <v>0</v>
      </c>
      <c r="H23" s="118" t="s">
        <v>1384</v>
      </c>
      <c r="I23" s="119" t="s">
        <v>29</v>
      </c>
      <c r="J23" s="119">
        <v>100</v>
      </c>
      <c r="K23" s="217">
        <v>0</v>
      </c>
      <c r="L23" s="307"/>
      <c r="M23" s="271" t="s">
        <v>1385</v>
      </c>
    </row>
    <row r="24" spans="1:13" ht="46.8" x14ac:dyDescent="0.3">
      <c r="A24" s="466"/>
      <c r="B24" s="361"/>
      <c r="C24" s="114"/>
      <c r="D24" s="116">
        <v>0</v>
      </c>
      <c r="E24" s="116">
        <v>0</v>
      </c>
      <c r="F24" s="116">
        <v>0</v>
      </c>
      <c r="G24" s="116">
        <v>0</v>
      </c>
      <c r="H24" s="118" t="s">
        <v>1386</v>
      </c>
      <c r="I24" s="119" t="s">
        <v>29</v>
      </c>
      <c r="J24" s="119">
        <v>15</v>
      </c>
      <c r="K24" s="128">
        <v>47</v>
      </c>
      <c r="L24" s="253" t="s">
        <v>1387</v>
      </c>
      <c r="M24" s="121"/>
    </row>
    <row r="25" spans="1:13" ht="46.8" x14ac:dyDescent="0.3">
      <c r="A25" s="466"/>
      <c r="B25" s="361"/>
      <c r="C25" s="114"/>
      <c r="D25" s="116">
        <v>0</v>
      </c>
      <c r="E25" s="116">
        <v>0</v>
      </c>
      <c r="F25" s="116">
        <v>0</v>
      </c>
      <c r="G25" s="116">
        <v>0</v>
      </c>
      <c r="H25" s="118" t="s">
        <v>1388</v>
      </c>
      <c r="I25" s="119" t="s">
        <v>29</v>
      </c>
      <c r="J25" s="119">
        <v>10</v>
      </c>
      <c r="K25" s="128">
        <v>38</v>
      </c>
      <c r="L25" s="253" t="s">
        <v>1389</v>
      </c>
      <c r="M25" s="121"/>
    </row>
    <row r="26" spans="1:13" ht="46.8" customHeight="1" x14ac:dyDescent="0.3">
      <c r="A26" s="466"/>
      <c r="B26" s="361"/>
      <c r="C26" s="114"/>
      <c r="D26" s="116">
        <v>0</v>
      </c>
      <c r="E26" s="116">
        <v>0</v>
      </c>
      <c r="F26" s="116">
        <v>0</v>
      </c>
      <c r="G26" s="116">
        <v>0</v>
      </c>
      <c r="H26" s="367" t="s">
        <v>1390</v>
      </c>
      <c r="I26" s="373" t="s">
        <v>1391</v>
      </c>
      <c r="J26" s="436">
        <v>60000</v>
      </c>
      <c r="K26" s="437">
        <v>15240</v>
      </c>
      <c r="L26" s="373"/>
      <c r="M26" s="371" t="s">
        <v>1392</v>
      </c>
    </row>
    <row r="27" spans="1:13" ht="15.6" x14ac:dyDescent="0.3">
      <c r="A27" s="466"/>
      <c r="B27" s="361"/>
      <c r="C27" s="114" t="s">
        <v>36</v>
      </c>
      <c r="D27" s="116">
        <v>0</v>
      </c>
      <c r="E27" s="116">
        <v>14.7</v>
      </c>
      <c r="F27" s="116">
        <v>14.7</v>
      </c>
      <c r="G27" s="116">
        <v>0</v>
      </c>
      <c r="H27" s="367"/>
      <c r="I27" s="373"/>
      <c r="J27" s="436"/>
      <c r="K27" s="437"/>
      <c r="L27" s="373"/>
      <c r="M27" s="371"/>
    </row>
    <row r="28" spans="1:13" ht="15.6" x14ac:dyDescent="0.3">
      <c r="A28" s="466"/>
      <c r="B28" s="361"/>
      <c r="C28" s="114" t="s">
        <v>182</v>
      </c>
      <c r="D28" s="116">
        <v>0</v>
      </c>
      <c r="E28" s="116">
        <v>1</v>
      </c>
      <c r="F28" s="116">
        <v>0.7</v>
      </c>
      <c r="G28" s="116">
        <v>0.3</v>
      </c>
      <c r="H28" s="367"/>
      <c r="I28" s="373"/>
      <c r="J28" s="436"/>
      <c r="K28" s="437"/>
      <c r="L28" s="373"/>
      <c r="M28" s="371"/>
    </row>
    <row r="29" spans="1:13" ht="15.6" x14ac:dyDescent="0.3">
      <c r="A29" s="466"/>
      <c r="B29" s="361"/>
      <c r="C29" s="114" t="s">
        <v>27</v>
      </c>
      <c r="D29" s="116">
        <v>5378.5</v>
      </c>
      <c r="E29" s="116">
        <v>5721.9</v>
      </c>
      <c r="F29" s="116">
        <v>5393.1</v>
      </c>
      <c r="G29" s="116">
        <v>328.8</v>
      </c>
      <c r="H29" s="367"/>
      <c r="I29" s="373"/>
      <c r="J29" s="436"/>
      <c r="K29" s="437"/>
      <c r="L29" s="373"/>
      <c r="M29" s="371"/>
    </row>
    <row r="30" spans="1:13" ht="15.6" x14ac:dyDescent="0.3">
      <c r="A30" s="466"/>
      <c r="B30" s="361"/>
      <c r="C30" s="114" t="s">
        <v>242</v>
      </c>
      <c r="D30" s="116">
        <v>0</v>
      </c>
      <c r="E30" s="116">
        <v>16.7</v>
      </c>
      <c r="F30" s="116">
        <v>15.6</v>
      </c>
      <c r="G30" s="116">
        <v>1.2</v>
      </c>
      <c r="H30" s="367"/>
      <c r="I30" s="373"/>
      <c r="J30" s="436"/>
      <c r="K30" s="437"/>
      <c r="L30" s="373"/>
      <c r="M30" s="371"/>
    </row>
    <row r="31" spans="1:13" ht="156" customHeight="1" x14ac:dyDescent="0.3">
      <c r="A31" s="467" t="s">
        <v>1393</v>
      </c>
      <c r="B31" s="361" t="s">
        <v>1394</v>
      </c>
      <c r="C31" s="396" t="s">
        <v>27</v>
      </c>
      <c r="D31" s="397">
        <f>SUM(D32:D32)+519.4</f>
        <v>519.4</v>
      </c>
      <c r="E31" s="397">
        <f>SUM(E32:E32)+504.4</f>
        <v>504.4</v>
      </c>
      <c r="F31" s="397">
        <f>SUM(F32:F32)+477.7</f>
        <v>477.7</v>
      </c>
      <c r="G31" s="111">
        <f>SUM(G32:G32)+26.7</f>
        <v>26.7</v>
      </c>
      <c r="H31" s="105" t="s">
        <v>1395</v>
      </c>
      <c r="I31" s="106" t="s">
        <v>551</v>
      </c>
      <c r="J31" s="106">
        <v>31</v>
      </c>
      <c r="K31" s="117">
        <v>31</v>
      </c>
      <c r="L31" s="102"/>
      <c r="M31" s="108" t="s">
        <v>1396</v>
      </c>
    </row>
    <row r="32" spans="1:13" ht="62.4" x14ac:dyDescent="0.3">
      <c r="A32" s="467"/>
      <c r="B32" s="361"/>
      <c r="C32" s="396"/>
      <c r="D32" s="397"/>
      <c r="E32" s="397"/>
      <c r="F32" s="397"/>
      <c r="G32" s="116">
        <v>0</v>
      </c>
      <c r="H32" s="118" t="s">
        <v>1397</v>
      </c>
      <c r="I32" s="119" t="s">
        <v>551</v>
      </c>
      <c r="J32" s="119">
        <v>8</v>
      </c>
      <c r="K32" s="128">
        <v>8</v>
      </c>
      <c r="L32" s="114"/>
      <c r="M32" s="121" t="s">
        <v>1398</v>
      </c>
    </row>
    <row r="33" spans="1:13" ht="46.8" x14ac:dyDescent="0.3">
      <c r="A33" s="227" t="s">
        <v>1399</v>
      </c>
      <c r="B33" s="101" t="s">
        <v>1400</v>
      </c>
      <c r="C33" s="102" t="s">
        <v>27</v>
      </c>
      <c r="D33" s="104">
        <v>275</v>
      </c>
      <c r="E33" s="104">
        <v>275</v>
      </c>
      <c r="F33" s="104">
        <v>251.2</v>
      </c>
      <c r="G33" s="104">
        <v>23.8</v>
      </c>
      <c r="H33" s="105" t="s">
        <v>1401</v>
      </c>
      <c r="I33" s="106" t="s">
        <v>29</v>
      </c>
      <c r="J33" s="106">
        <v>10</v>
      </c>
      <c r="K33" s="117">
        <v>10</v>
      </c>
      <c r="L33" s="102"/>
      <c r="M33" s="108"/>
    </row>
    <row r="34" spans="1:13" ht="46.8" x14ac:dyDescent="0.3">
      <c r="A34" s="226" t="s">
        <v>1402</v>
      </c>
      <c r="B34" s="124" t="s">
        <v>1403</v>
      </c>
      <c r="C34" s="125"/>
      <c r="D34" s="99">
        <f>D35+D36+D37+D38+D40+D41+D42+D43+D44+D45+D46+D47+D48+D49+D50+D51+D52+D53+D54+D57</f>
        <v>397.50000000000011</v>
      </c>
      <c r="E34" s="99">
        <f>E35+E36+E37+E38+E40+E41+E42+E43+E44+E45+E46+E47+E48+E49+E50+E51+E52+E53+E54+E57+0.1</f>
        <v>432.60000000000014</v>
      </c>
      <c r="F34" s="99">
        <f>F35+F36+F37+F38+F40+F41+F42+F43+F44+F45+F46+F47+F48+F49+F50+F51+F52+F53+F54+F57+0.1</f>
        <v>431.50000000000006</v>
      </c>
      <c r="G34" s="99">
        <f>G35+G36+G37+G38+G40+G41+G42+G43+G44+G45+G46+G47+G48+G49+G50+G51+G52+G53+G54+G57</f>
        <v>1.1000000000000001</v>
      </c>
      <c r="H34" s="359"/>
      <c r="I34" s="359"/>
      <c r="J34" s="359"/>
      <c r="K34" s="359"/>
      <c r="L34" s="359"/>
      <c r="M34" s="359"/>
    </row>
    <row r="35" spans="1:13" ht="31.2" x14ac:dyDescent="0.3">
      <c r="A35" s="227" t="s">
        <v>1404</v>
      </c>
      <c r="B35" s="101" t="s">
        <v>1405</v>
      </c>
      <c r="C35" s="102" t="s">
        <v>1079</v>
      </c>
      <c r="D35" s="104">
        <v>14.7</v>
      </c>
      <c r="E35" s="104">
        <v>14.7</v>
      </c>
      <c r="F35" s="104">
        <v>14.7</v>
      </c>
      <c r="G35" s="104">
        <v>0</v>
      </c>
      <c r="H35" s="102"/>
      <c r="I35" s="106"/>
      <c r="J35" s="229"/>
      <c r="K35" s="306"/>
      <c r="L35" s="102"/>
      <c r="M35" s="108"/>
    </row>
    <row r="36" spans="1:13" ht="31.2" x14ac:dyDescent="0.3">
      <c r="A36" s="227" t="s">
        <v>1406</v>
      </c>
      <c r="B36" s="101" t="s">
        <v>1407</v>
      </c>
      <c r="C36" s="102" t="s">
        <v>1079</v>
      </c>
      <c r="D36" s="104">
        <v>0.5</v>
      </c>
      <c r="E36" s="104">
        <v>0.5</v>
      </c>
      <c r="F36" s="104">
        <v>0.5</v>
      </c>
      <c r="G36" s="104">
        <v>0</v>
      </c>
      <c r="H36" s="102"/>
      <c r="I36" s="106"/>
      <c r="J36" s="229"/>
      <c r="K36" s="306"/>
      <c r="L36" s="102"/>
      <c r="M36" s="108"/>
    </row>
    <row r="37" spans="1:13" ht="31.2" x14ac:dyDescent="0.3">
      <c r="A37" s="227" t="s">
        <v>1408</v>
      </c>
      <c r="B37" s="101" t="s">
        <v>1409</v>
      </c>
      <c r="C37" s="102" t="s">
        <v>1079</v>
      </c>
      <c r="D37" s="104">
        <v>28.5</v>
      </c>
      <c r="E37" s="104">
        <v>28.5</v>
      </c>
      <c r="F37" s="104">
        <v>28.5</v>
      </c>
      <c r="G37" s="104">
        <v>0</v>
      </c>
      <c r="H37" s="102"/>
      <c r="I37" s="106"/>
      <c r="J37" s="229"/>
      <c r="K37" s="306"/>
      <c r="L37" s="102"/>
      <c r="M37" s="108"/>
    </row>
    <row r="38" spans="1:13" ht="31.2" x14ac:dyDescent="0.3">
      <c r="A38" s="227" t="s">
        <v>1410</v>
      </c>
      <c r="B38" s="101" t="s">
        <v>1411</v>
      </c>
      <c r="C38" s="102"/>
      <c r="D38" s="111">
        <f>SUM(D39:D39)</f>
        <v>0</v>
      </c>
      <c r="E38" s="111">
        <f>SUM(E39:E39)</f>
        <v>23.7</v>
      </c>
      <c r="F38" s="111">
        <f>SUM(F39:F39)</f>
        <v>23.7</v>
      </c>
      <c r="G38" s="111">
        <f>SUM(G39:G39)</f>
        <v>0</v>
      </c>
      <c r="H38" s="102"/>
      <c r="I38" s="106"/>
      <c r="J38" s="229"/>
      <c r="K38" s="306"/>
      <c r="L38" s="102"/>
      <c r="M38" s="108"/>
    </row>
    <row r="39" spans="1:13" ht="15.6" x14ac:dyDescent="0.3">
      <c r="A39" s="228"/>
      <c r="B39" s="123"/>
      <c r="C39" s="114" t="s">
        <v>242</v>
      </c>
      <c r="D39" s="116">
        <v>0</v>
      </c>
      <c r="E39" s="116">
        <v>23.7</v>
      </c>
      <c r="F39" s="116">
        <v>23.7</v>
      </c>
      <c r="G39" s="116">
        <v>0</v>
      </c>
      <c r="H39" s="114"/>
      <c r="I39" s="119"/>
      <c r="J39" s="268"/>
      <c r="K39" s="269"/>
      <c r="L39" s="114"/>
      <c r="M39" s="121"/>
    </row>
    <row r="40" spans="1:13" ht="31.2" x14ac:dyDescent="0.3">
      <c r="A40" s="227" t="s">
        <v>1412</v>
      </c>
      <c r="B40" s="101" t="s">
        <v>1413</v>
      </c>
      <c r="C40" s="102" t="s">
        <v>1079</v>
      </c>
      <c r="D40" s="104">
        <v>57.8</v>
      </c>
      <c r="E40" s="104">
        <v>57.8</v>
      </c>
      <c r="F40" s="104">
        <v>57.8</v>
      </c>
      <c r="G40" s="104">
        <v>0</v>
      </c>
      <c r="H40" s="102"/>
      <c r="I40" s="106"/>
      <c r="J40" s="229"/>
      <c r="K40" s="306"/>
      <c r="L40" s="102"/>
      <c r="M40" s="108"/>
    </row>
    <row r="41" spans="1:13" ht="31.2" x14ac:dyDescent="0.3">
      <c r="A41" s="227" t="s">
        <v>1414</v>
      </c>
      <c r="B41" s="101" t="s">
        <v>1415</v>
      </c>
      <c r="C41" s="102" t="s">
        <v>1079</v>
      </c>
      <c r="D41" s="104">
        <v>1.7</v>
      </c>
      <c r="E41" s="104">
        <v>1.7</v>
      </c>
      <c r="F41" s="104">
        <v>1.7</v>
      </c>
      <c r="G41" s="104">
        <v>0</v>
      </c>
      <c r="H41" s="102"/>
      <c r="I41" s="106"/>
      <c r="J41" s="229"/>
      <c r="K41" s="306"/>
      <c r="L41" s="102"/>
      <c r="M41" s="108"/>
    </row>
    <row r="42" spans="1:13" ht="31.2" x14ac:dyDescent="0.3">
      <c r="A42" s="227" t="s">
        <v>1416</v>
      </c>
      <c r="B42" s="101" t="s">
        <v>1417</v>
      </c>
      <c r="C42" s="102" t="s">
        <v>1079</v>
      </c>
      <c r="D42" s="104">
        <v>15</v>
      </c>
      <c r="E42" s="104">
        <v>15</v>
      </c>
      <c r="F42" s="104">
        <v>15</v>
      </c>
      <c r="G42" s="104">
        <v>0</v>
      </c>
      <c r="H42" s="102"/>
      <c r="I42" s="106"/>
      <c r="J42" s="229"/>
      <c r="K42" s="306"/>
      <c r="L42" s="102"/>
      <c r="M42" s="108"/>
    </row>
    <row r="43" spans="1:13" ht="31.2" x14ac:dyDescent="0.3">
      <c r="A43" s="227" t="s">
        <v>1418</v>
      </c>
      <c r="B43" s="101" t="s">
        <v>1419</v>
      </c>
      <c r="C43" s="102" t="s">
        <v>1079</v>
      </c>
      <c r="D43" s="104">
        <v>17</v>
      </c>
      <c r="E43" s="104">
        <v>20</v>
      </c>
      <c r="F43" s="104">
        <v>20</v>
      </c>
      <c r="G43" s="104">
        <v>0</v>
      </c>
      <c r="H43" s="102"/>
      <c r="I43" s="106"/>
      <c r="J43" s="229"/>
      <c r="K43" s="306"/>
      <c r="L43" s="102"/>
      <c r="M43" s="108"/>
    </row>
    <row r="44" spans="1:13" ht="31.2" x14ac:dyDescent="0.3">
      <c r="A44" s="227" t="s">
        <v>1420</v>
      </c>
      <c r="B44" s="101" t="s">
        <v>1421</v>
      </c>
      <c r="C44" s="102" t="s">
        <v>1079</v>
      </c>
      <c r="D44" s="104">
        <v>73.3</v>
      </c>
      <c r="E44" s="104">
        <v>73.3</v>
      </c>
      <c r="F44" s="104">
        <v>73.3</v>
      </c>
      <c r="G44" s="104">
        <v>0</v>
      </c>
      <c r="H44" s="102"/>
      <c r="I44" s="106"/>
      <c r="J44" s="229"/>
      <c r="K44" s="306"/>
      <c r="L44" s="102"/>
      <c r="M44" s="108"/>
    </row>
    <row r="45" spans="1:13" ht="31.2" x14ac:dyDescent="0.3">
      <c r="A45" s="227" t="s">
        <v>1422</v>
      </c>
      <c r="B45" s="101" t="s">
        <v>1423</v>
      </c>
      <c r="C45" s="102" t="s">
        <v>1079</v>
      </c>
      <c r="D45" s="104">
        <v>15.9</v>
      </c>
      <c r="E45" s="104">
        <v>15.9</v>
      </c>
      <c r="F45" s="104">
        <v>15.9</v>
      </c>
      <c r="G45" s="104">
        <v>0</v>
      </c>
      <c r="H45" s="102"/>
      <c r="I45" s="106"/>
      <c r="J45" s="229"/>
      <c r="K45" s="306"/>
      <c r="L45" s="102"/>
      <c r="M45" s="108"/>
    </row>
    <row r="46" spans="1:13" ht="24.6" customHeight="1" x14ac:dyDescent="0.3">
      <c r="A46" s="227" t="s">
        <v>1424</v>
      </c>
      <c r="B46" s="101" t="s">
        <v>1425</v>
      </c>
      <c r="C46" s="102" t="s">
        <v>1079</v>
      </c>
      <c r="D46" s="104">
        <v>38.4</v>
      </c>
      <c r="E46" s="104">
        <v>38.4</v>
      </c>
      <c r="F46" s="104">
        <v>38.4</v>
      </c>
      <c r="G46" s="104">
        <v>0</v>
      </c>
      <c r="H46" s="102"/>
      <c r="I46" s="106"/>
      <c r="J46" s="229"/>
      <c r="K46" s="306"/>
      <c r="L46" s="102"/>
      <c r="M46" s="108"/>
    </row>
    <row r="47" spans="1:13" ht="31.2" x14ac:dyDescent="0.3">
      <c r="A47" s="227" t="s">
        <v>1426</v>
      </c>
      <c r="B47" s="101" t="s">
        <v>1427</v>
      </c>
      <c r="C47" s="102" t="s">
        <v>1079</v>
      </c>
      <c r="D47" s="104">
        <v>7.6</v>
      </c>
      <c r="E47" s="104">
        <v>7.6</v>
      </c>
      <c r="F47" s="104">
        <v>7.6</v>
      </c>
      <c r="G47" s="104">
        <v>0</v>
      </c>
      <c r="H47" s="102"/>
      <c r="I47" s="106"/>
      <c r="J47" s="229"/>
      <c r="K47" s="306"/>
      <c r="L47" s="102"/>
      <c r="M47" s="108"/>
    </row>
    <row r="48" spans="1:13" ht="31.2" x14ac:dyDescent="0.3">
      <c r="A48" s="227" t="s">
        <v>1428</v>
      </c>
      <c r="B48" s="101" t="s">
        <v>1429</v>
      </c>
      <c r="C48" s="102" t="s">
        <v>1079</v>
      </c>
      <c r="D48" s="104">
        <v>4.3</v>
      </c>
      <c r="E48" s="104">
        <v>4.3</v>
      </c>
      <c r="F48" s="104">
        <v>3.9</v>
      </c>
      <c r="G48" s="104">
        <v>0.4</v>
      </c>
      <c r="H48" s="102"/>
      <c r="I48" s="106"/>
      <c r="J48" s="229"/>
      <c r="K48" s="306"/>
      <c r="L48" s="304"/>
      <c r="M48" s="108"/>
    </row>
    <row r="49" spans="1:13" ht="31.2" x14ac:dyDescent="0.3">
      <c r="A49" s="227" t="s">
        <v>1430</v>
      </c>
      <c r="B49" s="101" t="s">
        <v>1431</v>
      </c>
      <c r="C49" s="102" t="s">
        <v>1079</v>
      </c>
      <c r="D49" s="104">
        <v>16.600000000000001</v>
      </c>
      <c r="E49" s="104">
        <v>14.6</v>
      </c>
      <c r="F49" s="104">
        <v>14.1</v>
      </c>
      <c r="G49" s="104">
        <v>0.5</v>
      </c>
      <c r="H49" s="102"/>
      <c r="I49" s="106"/>
      <c r="J49" s="229"/>
      <c r="K49" s="306"/>
      <c r="L49" s="304"/>
      <c r="M49" s="108"/>
    </row>
    <row r="50" spans="1:13" ht="31.2" x14ac:dyDescent="0.3">
      <c r="A50" s="227" t="s">
        <v>1432</v>
      </c>
      <c r="B50" s="101" t="s">
        <v>1433</v>
      </c>
      <c r="C50" s="102" t="s">
        <v>1079</v>
      </c>
      <c r="D50" s="104">
        <v>0.1</v>
      </c>
      <c r="E50" s="104">
        <v>0.1</v>
      </c>
      <c r="F50" s="104">
        <v>0</v>
      </c>
      <c r="G50" s="104">
        <v>0.1</v>
      </c>
      <c r="H50" s="102"/>
      <c r="I50" s="106"/>
      <c r="J50" s="229"/>
      <c r="K50" s="306"/>
      <c r="L50" s="304"/>
      <c r="M50" s="108"/>
    </row>
    <row r="51" spans="1:13" ht="31.2" x14ac:dyDescent="0.3">
      <c r="A51" s="227" t="s">
        <v>1434</v>
      </c>
      <c r="B51" s="101" t="s">
        <v>1435</v>
      </c>
      <c r="C51" s="102" t="s">
        <v>1079</v>
      </c>
      <c r="D51" s="104">
        <v>19.5</v>
      </c>
      <c r="E51" s="104">
        <v>16.8</v>
      </c>
      <c r="F51" s="104">
        <v>16.8</v>
      </c>
      <c r="G51" s="104">
        <v>0</v>
      </c>
      <c r="H51" s="102"/>
      <c r="I51" s="106"/>
      <c r="J51" s="229"/>
      <c r="K51" s="306"/>
      <c r="L51" s="304"/>
      <c r="M51" s="108"/>
    </row>
    <row r="52" spans="1:13" ht="41.4" customHeight="1" x14ac:dyDescent="0.3">
      <c r="A52" s="227" t="s">
        <v>1436</v>
      </c>
      <c r="B52" s="101" t="s">
        <v>1437</v>
      </c>
      <c r="C52" s="102" t="s">
        <v>1079</v>
      </c>
      <c r="D52" s="104">
        <v>20.100000000000001</v>
      </c>
      <c r="E52" s="104">
        <v>32.799999999999997</v>
      </c>
      <c r="F52" s="104">
        <v>32.799999999999997</v>
      </c>
      <c r="G52" s="104">
        <v>0</v>
      </c>
      <c r="H52" s="102"/>
      <c r="I52" s="106"/>
      <c r="J52" s="229"/>
      <c r="K52" s="306"/>
      <c r="L52" s="304"/>
      <c r="M52" s="108"/>
    </row>
    <row r="53" spans="1:13" ht="75" customHeight="1" x14ac:dyDescent="0.3">
      <c r="A53" s="227" t="s">
        <v>1438</v>
      </c>
      <c r="B53" s="101" t="s">
        <v>1439</v>
      </c>
      <c r="C53" s="102" t="s">
        <v>1079</v>
      </c>
      <c r="D53" s="104">
        <v>0.3</v>
      </c>
      <c r="E53" s="104">
        <v>0.6</v>
      </c>
      <c r="F53" s="104">
        <v>0.5</v>
      </c>
      <c r="G53" s="104">
        <v>0.1</v>
      </c>
      <c r="H53" s="102"/>
      <c r="I53" s="106"/>
      <c r="J53" s="229"/>
      <c r="K53" s="306"/>
      <c r="L53" s="102"/>
      <c r="M53" s="108"/>
    </row>
    <row r="54" spans="1:13" ht="52.2" customHeight="1" x14ac:dyDescent="0.3">
      <c r="A54" s="441" t="s">
        <v>1440</v>
      </c>
      <c r="B54" s="361" t="s">
        <v>1441</v>
      </c>
      <c r="C54" s="102" t="s">
        <v>1079</v>
      </c>
      <c r="D54" s="111">
        <f>SUM(D55:D56)+13.8</f>
        <v>13.8</v>
      </c>
      <c r="E54" s="111">
        <f>SUM(E55:E56)+13.8</f>
        <v>13.8</v>
      </c>
      <c r="F54" s="111">
        <f>SUM(F55:F56)+13.8</f>
        <v>13.8</v>
      </c>
      <c r="G54" s="111">
        <f>SUM(G55:G56)</f>
        <v>0</v>
      </c>
      <c r="H54" s="105" t="s">
        <v>1442</v>
      </c>
      <c r="I54" s="106" t="s">
        <v>29</v>
      </c>
      <c r="J54" s="106">
        <v>300</v>
      </c>
      <c r="K54" s="117">
        <v>181</v>
      </c>
      <c r="L54" s="105"/>
      <c r="M54" s="108" t="s">
        <v>1443</v>
      </c>
    </row>
    <row r="55" spans="1:13" ht="55.8" customHeight="1" x14ac:dyDescent="0.3">
      <c r="A55" s="441"/>
      <c r="B55" s="361"/>
      <c r="C55" s="114"/>
      <c r="D55" s="116">
        <v>0</v>
      </c>
      <c r="E55" s="116">
        <v>0</v>
      </c>
      <c r="F55" s="116">
        <v>0</v>
      </c>
      <c r="G55" s="116">
        <v>0</v>
      </c>
      <c r="H55" s="118" t="s">
        <v>1444</v>
      </c>
      <c r="I55" s="119" t="s">
        <v>29</v>
      </c>
      <c r="J55" s="119">
        <v>10</v>
      </c>
      <c r="K55" s="128">
        <v>0</v>
      </c>
      <c r="L55" s="178"/>
      <c r="M55" s="121" t="s">
        <v>1443</v>
      </c>
    </row>
    <row r="56" spans="1:13" ht="78" x14ac:dyDescent="0.3">
      <c r="A56" s="441"/>
      <c r="B56" s="361"/>
      <c r="C56" s="114"/>
      <c r="D56" s="116">
        <v>0</v>
      </c>
      <c r="E56" s="116">
        <v>0</v>
      </c>
      <c r="F56" s="116">
        <v>0</v>
      </c>
      <c r="G56" s="116">
        <v>0</v>
      </c>
      <c r="H56" s="118" t="s">
        <v>1445</v>
      </c>
      <c r="I56" s="119" t="s">
        <v>29</v>
      </c>
      <c r="J56" s="119">
        <v>300</v>
      </c>
      <c r="K56" s="128">
        <v>245</v>
      </c>
      <c r="L56" s="178"/>
      <c r="M56" s="121" t="s">
        <v>1446</v>
      </c>
    </row>
    <row r="57" spans="1:13" ht="55.2" customHeight="1" x14ac:dyDescent="0.3">
      <c r="A57" s="100" t="s">
        <v>1447</v>
      </c>
      <c r="B57" s="101" t="s">
        <v>1448</v>
      </c>
      <c r="C57" s="102" t="s">
        <v>1079</v>
      </c>
      <c r="D57" s="104">
        <v>52.4</v>
      </c>
      <c r="E57" s="104">
        <v>52.4</v>
      </c>
      <c r="F57" s="104">
        <v>52.4</v>
      </c>
      <c r="G57" s="104">
        <v>0</v>
      </c>
      <c r="H57" s="105" t="s">
        <v>1449</v>
      </c>
      <c r="I57" s="106" t="s">
        <v>253</v>
      </c>
      <c r="J57" s="106">
        <v>1</v>
      </c>
      <c r="K57" s="117">
        <v>1</v>
      </c>
      <c r="L57" s="105"/>
      <c r="M57" s="108"/>
    </row>
    <row r="58" spans="1:13" ht="62.4" x14ac:dyDescent="0.3">
      <c r="A58" s="226" t="s">
        <v>1450</v>
      </c>
      <c r="B58" s="124" t="s">
        <v>1451</v>
      </c>
      <c r="C58" s="125"/>
      <c r="D58" s="99">
        <f>D59+D63</f>
        <v>749.59999999999991</v>
      </c>
      <c r="E58" s="99">
        <f>E59+E63</f>
        <v>549.59999999999991</v>
      </c>
      <c r="F58" s="99">
        <f>F59+F63</f>
        <v>142.60000000000002</v>
      </c>
      <c r="G58" s="99">
        <f>G59+G63</f>
        <v>407</v>
      </c>
      <c r="H58" s="359"/>
      <c r="I58" s="359"/>
      <c r="J58" s="359"/>
      <c r="K58" s="359"/>
      <c r="L58" s="359"/>
      <c r="M58" s="359"/>
    </row>
    <row r="59" spans="1:13" ht="111" customHeight="1" x14ac:dyDescent="0.3">
      <c r="A59" s="467" t="s">
        <v>1452</v>
      </c>
      <c r="B59" s="361" t="s">
        <v>1453</v>
      </c>
      <c r="C59" s="102"/>
      <c r="D59" s="111">
        <f>SUM(D60:D62)</f>
        <v>481.2</v>
      </c>
      <c r="E59" s="111">
        <f>SUM(E60:E62)</f>
        <v>281.2</v>
      </c>
      <c r="F59" s="111">
        <f>SUM(F60:F62)</f>
        <v>100.4</v>
      </c>
      <c r="G59" s="111">
        <f>SUM(G60:G62)</f>
        <v>180.8</v>
      </c>
      <c r="H59" s="361" t="s">
        <v>1454</v>
      </c>
      <c r="I59" s="364" t="s">
        <v>29</v>
      </c>
      <c r="J59" s="364">
        <v>5</v>
      </c>
      <c r="K59" s="379">
        <v>2</v>
      </c>
      <c r="L59" s="361" t="s">
        <v>1455</v>
      </c>
      <c r="M59" s="362" t="s">
        <v>1456</v>
      </c>
    </row>
    <row r="60" spans="1:13" ht="15.6" x14ac:dyDescent="0.3">
      <c r="A60" s="467"/>
      <c r="B60" s="361"/>
      <c r="C60" s="114" t="s">
        <v>27</v>
      </c>
      <c r="D60" s="116">
        <v>45.5</v>
      </c>
      <c r="E60" s="116">
        <v>45.5</v>
      </c>
      <c r="F60" s="116">
        <v>16.3</v>
      </c>
      <c r="G60" s="116">
        <v>29.2</v>
      </c>
      <c r="H60" s="361"/>
      <c r="I60" s="364"/>
      <c r="J60" s="364"/>
      <c r="K60" s="379"/>
      <c r="L60" s="361"/>
      <c r="M60" s="362"/>
    </row>
    <row r="61" spans="1:13" ht="15.6" x14ac:dyDescent="0.3">
      <c r="A61" s="467"/>
      <c r="B61" s="361"/>
      <c r="C61" s="114" t="s">
        <v>36</v>
      </c>
      <c r="D61" s="116">
        <v>63.7</v>
      </c>
      <c r="E61" s="116">
        <v>63.7</v>
      </c>
      <c r="F61" s="116">
        <v>45.4</v>
      </c>
      <c r="G61" s="116">
        <v>18.3</v>
      </c>
      <c r="H61" s="361"/>
      <c r="I61" s="364"/>
      <c r="J61" s="364"/>
      <c r="K61" s="379"/>
      <c r="L61" s="361"/>
      <c r="M61" s="362"/>
    </row>
    <row r="62" spans="1:13" ht="24.6" customHeight="1" x14ac:dyDescent="0.3">
      <c r="A62" s="467"/>
      <c r="B62" s="361"/>
      <c r="C62" s="114" t="s">
        <v>200</v>
      </c>
      <c r="D62" s="116">
        <v>372</v>
      </c>
      <c r="E62" s="116">
        <v>172</v>
      </c>
      <c r="F62" s="116">
        <v>38.700000000000003</v>
      </c>
      <c r="G62" s="116">
        <v>133.30000000000001</v>
      </c>
      <c r="H62" s="361"/>
      <c r="I62" s="364"/>
      <c r="J62" s="364"/>
      <c r="K62" s="379"/>
      <c r="L62" s="361"/>
      <c r="M62" s="362"/>
    </row>
    <row r="63" spans="1:13" ht="40.799999999999997" customHeight="1" x14ac:dyDescent="0.3">
      <c r="A63" s="466" t="s">
        <v>1457</v>
      </c>
      <c r="B63" s="361" t="s">
        <v>1458</v>
      </c>
      <c r="C63" s="102"/>
      <c r="D63" s="111">
        <f>SUM(D64:D65)</f>
        <v>268.39999999999998</v>
      </c>
      <c r="E63" s="111">
        <f>SUM(E64:E65)</f>
        <v>268.39999999999998</v>
      </c>
      <c r="F63" s="111">
        <f>SUM(F64:F65)</f>
        <v>42.2</v>
      </c>
      <c r="G63" s="111">
        <f>SUM(G64:G65)</f>
        <v>226.20000000000002</v>
      </c>
      <c r="H63" s="361" t="s">
        <v>1459</v>
      </c>
      <c r="I63" s="364" t="s">
        <v>29</v>
      </c>
      <c r="J63" s="364">
        <v>1</v>
      </c>
      <c r="K63" s="378">
        <v>0</v>
      </c>
      <c r="L63" s="406" t="s">
        <v>1460</v>
      </c>
      <c r="M63" s="407" t="s">
        <v>1461</v>
      </c>
    </row>
    <row r="64" spans="1:13" ht="48.6" customHeight="1" x14ac:dyDescent="0.3">
      <c r="A64" s="466"/>
      <c r="B64" s="361"/>
      <c r="C64" s="114" t="s">
        <v>36</v>
      </c>
      <c r="D64" s="116">
        <v>75.5</v>
      </c>
      <c r="E64" s="116">
        <v>75.5</v>
      </c>
      <c r="F64" s="116">
        <v>0.1</v>
      </c>
      <c r="G64" s="116">
        <v>75.400000000000006</v>
      </c>
      <c r="H64" s="361"/>
      <c r="I64" s="364"/>
      <c r="J64" s="364"/>
      <c r="K64" s="378"/>
      <c r="L64" s="406"/>
      <c r="M64" s="407"/>
    </row>
    <row r="65" spans="1:13" ht="33.6" customHeight="1" x14ac:dyDescent="0.3">
      <c r="A65" s="466"/>
      <c r="B65" s="361"/>
      <c r="C65" s="114" t="s">
        <v>27</v>
      </c>
      <c r="D65" s="116">
        <v>192.9</v>
      </c>
      <c r="E65" s="116">
        <v>192.9</v>
      </c>
      <c r="F65" s="116">
        <v>42.1</v>
      </c>
      <c r="G65" s="116">
        <v>150.80000000000001</v>
      </c>
      <c r="H65" s="361"/>
      <c r="I65" s="364"/>
      <c r="J65" s="364"/>
      <c r="K65" s="378"/>
      <c r="L65" s="406"/>
      <c r="M65" s="407"/>
    </row>
    <row r="66" spans="1:13" ht="62.4" x14ac:dyDescent="0.3">
      <c r="A66" s="226" t="s">
        <v>1462</v>
      </c>
      <c r="B66" s="124" t="s">
        <v>1463</v>
      </c>
      <c r="C66" s="125"/>
      <c r="D66" s="99">
        <f>SUM(D67:D67)</f>
        <v>70.099999999999994</v>
      </c>
      <c r="E66" s="99">
        <f>SUM(E67:E67)</f>
        <v>70.099999999999994</v>
      </c>
      <c r="F66" s="99">
        <f>SUM(F67:F67)</f>
        <v>58.4</v>
      </c>
      <c r="G66" s="99">
        <f>SUM(G67:G67)</f>
        <v>11.7</v>
      </c>
      <c r="H66" s="359"/>
      <c r="I66" s="359"/>
      <c r="J66" s="359"/>
      <c r="K66" s="359"/>
      <c r="L66" s="359"/>
      <c r="M66" s="359"/>
    </row>
    <row r="67" spans="1:13" ht="408.6" customHeight="1" x14ac:dyDescent="0.3">
      <c r="A67" s="100" t="s">
        <v>1464</v>
      </c>
      <c r="B67" s="101" t="s">
        <v>1465</v>
      </c>
      <c r="C67" s="102" t="s">
        <v>27</v>
      </c>
      <c r="D67" s="104">
        <v>70.099999999999994</v>
      </c>
      <c r="E67" s="104">
        <v>70.099999999999994</v>
      </c>
      <c r="F67" s="104">
        <v>58.4</v>
      </c>
      <c r="G67" s="104">
        <v>11.7</v>
      </c>
      <c r="H67" s="105" t="s">
        <v>1466</v>
      </c>
      <c r="I67" s="106" t="s">
        <v>56</v>
      </c>
      <c r="J67" s="106">
        <v>100</v>
      </c>
      <c r="K67" s="230">
        <v>100</v>
      </c>
      <c r="L67" s="203" t="s">
        <v>1467</v>
      </c>
      <c r="M67" s="274" t="s">
        <v>1468</v>
      </c>
    </row>
    <row r="68" spans="1:13" ht="51.6" customHeight="1" x14ac:dyDescent="0.3">
      <c r="A68" s="225" t="s">
        <v>1469</v>
      </c>
      <c r="B68" s="137" t="s">
        <v>1470</v>
      </c>
      <c r="C68" s="138"/>
      <c r="D68" s="96">
        <f>D69+D76</f>
        <v>482.29999999999995</v>
      </c>
      <c r="E68" s="96">
        <f>E69+E76</f>
        <v>549.59999999999991</v>
      </c>
      <c r="F68" s="96">
        <f>F69+F76</f>
        <v>506.20000000000005</v>
      </c>
      <c r="G68" s="96">
        <f>G69+G76+0.1</f>
        <v>43.499999999999993</v>
      </c>
      <c r="H68" s="357"/>
      <c r="I68" s="357"/>
      <c r="J68" s="357"/>
      <c r="K68" s="357"/>
      <c r="L68" s="357"/>
      <c r="M68" s="357"/>
    </row>
    <row r="69" spans="1:13" ht="77.400000000000006" customHeight="1" x14ac:dyDescent="0.3">
      <c r="A69" s="226" t="s">
        <v>1471</v>
      </c>
      <c r="B69" s="124" t="s">
        <v>1472</v>
      </c>
      <c r="C69" s="125"/>
      <c r="D69" s="99">
        <f>D70+D73</f>
        <v>431.29999999999995</v>
      </c>
      <c r="E69" s="99">
        <f>E70+E73</f>
        <v>426.29999999999995</v>
      </c>
      <c r="F69" s="99">
        <f>F70+F73</f>
        <v>400.1</v>
      </c>
      <c r="G69" s="99">
        <f>G70+G73</f>
        <v>26.199999999999996</v>
      </c>
      <c r="H69" s="359"/>
      <c r="I69" s="359"/>
      <c r="J69" s="359"/>
      <c r="K69" s="359"/>
      <c r="L69" s="359"/>
      <c r="M69" s="359"/>
    </row>
    <row r="70" spans="1:13" ht="46.8" customHeight="1" x14ac:dyDescent="0.3">
      <c r="A70" s="466" t="s">
        <v>1473</v>
      </c>
      <c r="B70" s="361" t="s">
        <v>1474</v>
      </c>
      <c r="C70" s="102"/>
      <c r="D70" s="111">
        <f>SUM(D71:D72)</f>
        <v>40</v>
      </c>
      <c r="E70" s="111">
        <f>SUM(E71:E72)</f>
        <v>35</v>
      </c>
      <c r="F70" s="111">
        <f>SUM(F71:F72)</f>
        <v>35</v>
      </c>
      <c r="G70" s="111">
        <f>SUM(G71:G72)</f>
        <v>0</v>
      </c>
      <c r="H70" s="105" t="s">
        <v>1475</v>
      </c>
      <c r="I70" s="106" t="s">
        <v>29</v>
      </c>
      <c r="J70" s="106">
        <v>1</v>
      </c>
      <c r="K70" s="139">
        <v>0</v>
      </c>
      <c r="L70" s="105"/>
      <c r="M70" s="108" t="s">
        <v>1476</v>
      </c>
    </row>
    <row r="71" spans="1:13" ht="409.6" customHeight="1" x14ac:dyDescent="0.3">
      <c r="A71" s="466"/>
      <c r="B71" s="361"/>
      <c r="C71" s="114"/>
      <c r="D71" s="116">
        <v>0</v>
      </c>
      <c r="E71" s="116">
        <v>0</v>
      </c>
      <c r="F71" s="116">
        <v>0</v>
      </c>
      <c r="G71" s="116">
        <v>0</v>
      </c>
      <c r="H71" s="367" t="s">
        <v>1477</v>
      </c>
      <c r="I71" s="373" t="s">
        <v>29</v>
      </c>
      <c r="J71" s="373">
        <v>14</v>
      </c>
      <c r="K71" s="376">
        <v>8</v>
      </c>
      <c r="L71" s="403" t="s">
        <v>1478</v>
      </c>
      <c r="M71" s="457" t="s">
        <v>1479</v>
      </c>
    </row>
    <row r="72" spans="1:13" ht="15.6" x14ac:dyDescent="0.3">
      <c r="A72" s="466"/>
      <c r="B72" s="361"/>
      <c r="C72" s="114" t="s">
        <v>27</v>
      </c>
      <c r="D72" s="116">
        <v>40</v>
      </c>
      <c r="E72" s="116">
        <v>35</v>
      </c>
      <c r="F72" s="116">
        <v>35</v>
      </c>
      <c r="G72" s="116">
        <v>0</v>
      </c>
      <c r="H72" s="367"/>
      <c r="I72" s="373"/>
      <c r="J72" s="373"/>
      <c r="K72" s="376"/>
      <c r="L72" s="403"/>
      <c r="M72" s="457"/>
    </row>
    <row r="73" spans="1:13" ht="93.6" customHeight="1" x14ac:dyDescent="0.3">
      <c r="A73" s="466" t="s">
        <v>1480</v>
      </c>
      <c r="B73" s="361" t="s">
        <v>1481</v>
      </c>
      <c r="C73" s="102"/>
      <c r="D73" s="111">
        <f>SUM(D74:D75)</f>
        <v>391.29999999999995</v>
      </c>
      <c r="E73" s="111">
        <f>SUM(E74:E75)</f>
        <v>391.29999999999995</v>
      </c>
      <c r="F73" s="111">
        <f>SUM(F74:F75)+0.1</f>
        <v>365.1</v>
      </c>
      <c r="G73" s="111">
        <f>SUM(G74:G75)-0.1</f>
        <v>26.199999999999996</v>
      </c>
      <c r="H73" s="361" t="s">
        <v>1482</v>
      </c>
      <c r="I73" s="364" t="s">
        <v>29</v>
      </c>
      <c r="J73" s="364">
        <v>1</v>
      </c>
      <c r="K73" s="360">
        <v>1</v>
      </c>
      <c r="L73" s="361" t="s">
        <v>1483</v>
      </c>
      <c r="M73" s="422"/>
    </row>
    <row r="74" spans="1:13" ht="15.6" x14ac:dyDescent="0.3">
      <c r="A74" s="466"/>
      <c r="B74" s="361"/>
      <c r="C74" s="114" t="s">
        <v>27</v>
      </c>
      <c r="D74" s="116">
        <v>316.89999999999998</v>
      </c>
      <c r="E74" s="116">
        <v>316.89999999999998</v>
      </c>
      <c r="F74" s="116">
        <v>302.7</v>
      </c>
      <c r="G74" s="116">
        <v>14.2</v>
      </c>
      <c r="H74" s="361"/>
      <c r="I74" s="364"/>
      <c r="J74" s="364"/>
      <c r="K74" s="360"/>
      <c r="L74" s="361"/>
      <c r="M74" s="422"/>
    </row>
    <row r="75" spans="1:13" ht="15.6" x14ac:dyDescent="0.3">
      <c r="A75" s="466"/>
      <c r="B75" s="361"/>
      <c r="C75" s="114" t="s">
        <v>36</v>
      </c>
      <c r="D75" s="116">
        <v>74.400000000000006</v>
      </c>
      <c r="E75" s="116">
        <v>74.400000000000006</v>
      </c>
      <c r="F75" s="116">
        <v>62.3</v>
      </c>
      <c r="G75" s="116">
        <v>12.1</v>
      </c>
      <c r="H75" s="361"/>
      <c r="I75" s="364"/>
      <c r="J75" s="364"/>
      <c r="K75" s="360"/>
      <c r="L75" s="361"/>
      <c r="M75" s="422"/>
    </row>
    <row r="76" spans="1:13" ht="46.8" x14ac:dyDescent="0.3">
      <c r="A76" s="226" t="s">
        <v>1484</v>
      </c>
      <c r="B76" s="124" t="s">
        <v>1485</v>
      </c>
      <c r="C76" s="125"/>
      <c r="D76" s="99">
        <f>D77+D80+D84</f>
        <v>51</v>
      </c>
      <c r="E76" s="99">
        <f>E77+E80+E84</f>
        <v>123.30000000000001</v>
      </c>
      <c r="F76" s="99">
        <f>F77+F80+F84</f>
        <v>106.10000000000001</v>
      </c>
      <c r="G76" s="99">
        <f>G77+G80+G84-0.1</f>
        <v>17.199999999999996</v>
      </c>
      <c r="H76" s="359"/>
      <c r="I76" s="359"/>
      <c r="J76" s="359"/>
      <c r="K76" s="359"/>
      <c r="L76" s="359"/>
      <c r="M76" s="359"/>
    </row>
    <row r="77" spans="1:13" ht="152.4" customHeight="1" x14ac:dyDescent="0.3">
      <c r="A77" s="466" t="s">
        <v>1486</v>
      </c>
      <c r="B77" s="361" t="s">
        <v>1487</v>
      </c>
      <c r="C77" s="364" t="s">
        <v>689</v>
      </c>
      <c r="D77" s="397">
        <f>SUM(D78:D79)</f>
        <v>0</v>
      </c>
      <c r="E77" s="397">
        <f>SUM(E78:E79)+72.3</f>
        <v>72.3</v>
      </c>
      <c r="F77" s="397">
        <f>SUM(F78:F79)+68.5</f>
        <v>68.5</v>
      </c>
      <c r="G77" s="111">
        <f>SUM(G78:G79)+3.9</f>
        <v>3.9</v>
      </c>
      <c r="H77" s="105" t="s">
        <v>1488</v>
      </c>
      <c r="I77" s="106" t="s">
        <v>29</v>
      </c>
      <c r="J77" s="308">
        <v>12</v>
      </c>
      <c r="K77" s="107">
        <v>11</v>
      </c>
      <c r="L77" s="406" t="s">
        <v>1489</v>
      </c>
      <c r="M77" s="362" t="s">
        <v>1490</v>
      </c>
    </row>
    <row r="78" spans="1:13" ht="46.8" x14ac:dyDescent="0.3">
      <c r="A78" s="466"/>
      <c r="B78" s="361"/>
      <c r="C78" s="364"/>
      <c r="D78" s="397"/>
      <c r="E78" s="397"/>
      <c r="F78" s="397"/>
      <c r="G78" s="116">
        <v>0</v>
      </c>
      <c r="H78" s="118" t="s">
        <v>1491</v>
      </c>
      <c r="I78" s="119" t="s">
        <v>29</v>
      </c>
      <c r="J78" s="119">
        <v>8</v>
      </c>
      <c r="K78" s="128">
        <v>8</v>
      </c>
      <c r="L78" s="406"/>
      <c r="M78" s="362"/>
    </row>
    <row r="79" spans="1:13" ht="66.599999999999994" customHeight="1" x14ac:dyDescent="0.3">
      <c r="A79" s="466"/>
      <c r="B79" s="361"/>
      <c r="C79" s="364"/>
      <c r="D79" s="397"/>
      <c r="E79" s="397"/>
      <c r="F79" s="397"/>
      <c r="G79" s="116">
        <v>0</v>
      </c>
      <c r="H79" s="118" t="s">
        <v>1492</v>
      </c>
      <c r="I79" s="119" t="s">
        <v>29</v>
      </c>
      <c r="J79" s="256">
        <v>3000</v>
      </c>
      <c r="K79" s="252">
        <v>4638</v>
      </c>
      <c r="L79" s="406"/>
      <c r="M79" s="362"/>
    </row>
    <row r="80" spans="1:13" ht="46.8" customHeight="1" x14ac:dyDescent="0.3">
      <c r="A80" s="466" t="s">
        <v>1493</v>
      </c>
      <c r="B80" s="361" t="s">
        <v>1494</v>
      </c>
      <c r="C80" s="102"/>
      <c r="D80" s="111">
        <f>SUM(D81:D83)</f>
        <v>34.6</v>
      </c>
      <c r="E80" s="111">
        <f>SUM(E81:E83)</f>
        <v>34.6</v>
      </c>
      <c r="F80" s="111">
        <f>SUM(F81:F83)</f>
        <v>33.4</v>
      </c>
      <c r="G80" s="111">
        <f>SUM(G81:G83)</f>
        <v>1.2</v>
      </c>
      <c r="H80" s="105" t="s">
        <v>1495</v>
      </c>
      <c r="I80" s="106" t="s">
        <v>29</v>
      </c>
      <c r="J80" s="106">
        <v>2</v>
      </c>
      <c r="K80" s="107">
        <v>1</v>
      </c>
      <c r="L80" s="105" t="s">
        <v>1496</v>
      </c>
      <c r="M80" s="108" t="s">
        <v>1497</v>
      </c>
    </row>
    <row r="81" spans="1:13" ht="360.6" customHeight="1" x14ac:dyDescent="0.3">
      <c r="A81" s="466"/>
      <c r="B81" s="361"/>
      <c r="C81" s="114"/>
      <c r="D81" s="116">
        <v>0</v>
      </c>
      <c r="E81" s="116">
        <v>0</v>
      </c>
      <c r="F81" s="116">
        <v>0</v>
      </c>
      <c r="G81" s="116">
        <v>0</v>
      </c>
      <c r="H81" s="118" t="s">
        <v>1488</v>
      </c>
      <c r="I81" s="119" t="s">
        <v>29</v>
      </c>
      <c r="J81" s="119">
        <v>45</v>
      </c>
      <c r="K81" s="120">
        <v>14</v>
      </c>
      <c r="L81" s="367" t="s">
        <v>1498</v>
      </c>
      <c r="M81" s="371" t="s">
        <v>1499</v>
      </c>
    </row>
    <row r="82" spans="1:13" ht="46.8" customHeight="1" x14ac:dyDescent="0.3">
      <c r="A82" s="466"/>
      <c r="B82" s="361"/>
      <c r="C82" s="114"/>
      <c r="D82" s="116">
        <v>0</v>
      </c>
      <c r="E82" s="116">
        <v>0</v>
      </c>
      <c r="F82" s="116">
        <v>0</v>
      </c>
      <c r="G82" s="116">
        <v>0</v>
      </c>
      <c r="H82" s="367" t="s">
        <v>1500</v>
      </c>
      <c r="I82" s="373" t="s">
        <v>29</v>
      </c>
      <c r="J82" s="373">
        <v>8</v>
      </c>
      <c r="K82" s="374">
        <v>8</v>
      </c>
      <c r="L82" s="367"/>
      <c r="M82" s="371"/>
    </row>
    <row r="83" spans="1:13" ht="28.8" customHeight="1" x14ac:dyDescent="0.3">
      <c r="A83" s="466"/>
      <c r="B83" s="361"/>
      <c r="C83" s="114" t="s">
        <v>27</v>
      </c>
      <c r="D83" s="116">
        <v>34.6</v>
      </c>
      <c r="E83" s="116">
        <v>34.6</v>
      </c>
      <c r="F83" s="116">
        <v>33.4</v>
      </c>
      <c r="G83" s="116">
        <v>1.2</v>
      </c>
      <c r="H83" s="367"/>
      <c r="I83" s="373"/>
      <c r="J83" s="373"/>
      <c r="K83" s="374"/>
      <c r="L83" s="367"/>
      <c r="M83" s="371"/>
    </row>
    <row r="84" spans="1:13" ht="46.8" x14ac:dyDescent="0.3">
      <c r="A84" s="227" t="s">
        <v>1501</v>
      </c>
      <c r="B84" s="101" t="s">
        <v>1502</v>
      </c>
      <c r="C84" s="102" t="s">
        <v>27</v>
      </c>
      <c r="D84" s="104">
        <v>16.399999999999999</v>
      </c>
      <c r="E84" s="104">
        <v>16.399999999999999</v>
      </c>
      <c r="F84" s="104">
        <v>4.2</v>
      </c>
      <c r="G84" s="104">
        <v>12.2</v>
      </c>
      <c r="H84" s="105" t="s">
        <v>1503</v>
      </c>
      <c r="I84" s="106" t="s">
        <v>29</v>
      </c>
      <c r="J84" s="106">
        <v>4</v>
      </c>
      <c r="K84" s="117">
        <v>4</v>
      </c>
      <c r="L84" s="197" t="s">
        <v>1504</v>
      </c>
      <c r="M84" s="198"/>
    </row>
    <row r="85" spans="1:13" ht="69.599999999999994" customHeight="1" x14ac:dyDescent="0.3">
      <c r="A85" s="225" t="s">
        <v>1505</v>
      </c>
      <c r="B85" s="137" t="s">
        <v>1506</v>
      </c>
      <c r="C85" s="138"/>
      <c r="D85" s="96">
        <f>D86+D98</f>
        <v>3886.1</v>
      </c>
      <c r="E85" s="96">
        <f>E86+E98</f>
        <v>3932</v>
      </c>
      <c r="F85" s="96">
        <f>F86+F98</f>
        <v>3921.1</v>
      </c>
      <c r="G85" s="96">
        <f>G86+G98</f>
        <v>10.9</v>
      </c>
      <c r="H85" s="357"/>
      <c r="I85" s="357"/>
      <c r="J85" s="357"/>
      <c r="K85" s="357"/>
      <c r="L85" s="357"/>
      <c r="M85" s="357"/>
    </row>
    <row r="86" spans="1:13" ht="60.6" customHeight="1" x14ac:dyDescent="0.3">
      <c r="A86" s="226" t="s">
        <v>1507</v>
      </c>
      <c r="B86" s="124" t="s">
        <v>1508</v>
      </c>
      <c r="C86" s="125"/>
      <c r="D86" s="99">
        <f>D87+D91+D93+D94+D97</f>
        <v>3862.5</v>
      </c>
      <c r="E86" s="99">
        <f>E87+E91+E93+E94+E97</f>
        <v>3917.5</v>
      </c>
      <c r="F86" s="99">
        <f>F87+F91+F93+F94+F97-0.1</f>
        <v>3921.1</v>
      </c>
      <c r="G86" s="99">
        <f>G87+G91+G93+G94+G97+0.1</f>
        <v>-3.5999999999999992</v>
      </c>
      <c r="H86" s="359"/>
      <c r="I86" s="359"/>
      <c r="J86" s="359"/>
      <c r="K86" s="359"/>
      <c r="L86" s="359"/>
      <c r="M86" s="359"/>
    </row>
    <row r="87" spans="1:13" ht="78" customHeight="1" x14ac:dyDescent="0.3">
      <c r="A87" s="466" t="s">
        <v>1509</v>
      </c>
      <c r="B87" s="361" t="s">
        <v>1510</v>
      </c>
      <c r="C87" s="102"/>
      <c r="D87" s="111">
        <f>SUM(D88:D90)</f>
        <v>2913</v>
      </c>
      <c r="E87" s="111">
        <f>SUM(E88:E90)</f>
        <v>2913</v>
      </c>
      <c r="F87" s="111">
        <f>SUM(F88:F90)+0.1</f>
        <v>2909.2999999999997</v>
      </c>
      <c r="G87" s="111">
        <f>SUM(G88:G90)-0.1</f>
        <v>3.7</v>
      </c>
      <c r="H87" s="105" t="s">
        <v>1511</v>
      </c>
      <c r="I87" s="106" t="s">
        <v>29</v>
      </c>
      <c r="J87" s="106">
        <v>4</v>
      </c>
      <c r="K87" s="117">
        <v>5</v>
      </c>
      <c r="L87" s="105"/>
      <c r="M87" s="108"/>
    </row>
    <row r="88" spans="1:13" ht="46.8" customHeight="1" x14ac:dyDescent="0.3">
      <c r="A88" s="466"/>
      <c r="B88" s="361"/>
      <c r="C88" s="114"/>
      <c r="D88" s="116">
        <v>0</v>
      </c>
      <c r="E88" s="116">
        <v>0</v>
      </c>
      <c r="F88" s="116">
        <v>0</v>
      </c>
      <c r="G88" s="116">
        <v>0</v>
      </c>
      <c r="H88" s="367" t="s">
        <v>1512</v>
      </c>
      <c r="I88" s="373" t="s">
        <v>56</v>
      </c>
      <c r="J88" s="373">
        <v>100</v>
      </c>
      <c r="K88" s="376">
        <v>95</v>
      </c>
      <c r="L88" s="367"/>
      <c r="M88" s="371" t="s">
        <v>1513</v>
      </c>
    </row>
    <row r="89" spans="1:13" ht="15.6" x14ac:dyDescent="0.3">
      <c r="A89" s="466"/>
      <c r="B89" s="361"/>
      <c r="C89" s="114" t="s">
        <v>36</v>
      </c>
      <c r="D89" s="116">
        <v>2842.1</v>
      </c>
      <c r="E89" s="116">
        <v>2842.1</v>
      </c>
      <c r="F89" s="116">
        <v>2842</v>
      </c>
      <c r="G89" s="116">
        <v>0.1</v>
      </c>
      <c r="H89" s="367"/>
      <c r="I89" s="373"/>
      <c r="J89" s="373"/>
      <c r="K89" s="376"/>
      <c r="L89" s="367"/>
      <c r="M89" s="371"/>
    </row>
    <row r="90" spans="1:13" ht="15.6" x14ac:dyDescent="0.3">
      <c r="A90" s="466"/>
      <c r="B90" s="361"/>
      <c r="C90" s="114" t="s">
        <v>27</v>
      </c>
      <c r="D90" s="116">
        <v>70.900000000000006</v>
      </c>
      <c r="E90" s="116">
        <v>70.900000000000006</v>
      </c>
      <c r="F90" s="116">
        <v>67.2</v>
      </c>
      <c r="G90" s="116">
        <v>3.7</v>
      </c>
      <c r="H90" s="367"/>
      <c r="I90" s="373"/>
      <c r="J90" s="373"/>
      <c r="K90" s="376"/>
      <c r="L90" s="367"/>
      <c r="M90" s="371"/>
    </row>
    <row r="91" spans="1:13" ht="62.4" customHeight="1" x14ac:dyDescent="0.3">
      <c r="A91" s="466" t="s">
        <v>1514</v>
      </c>
      <c r="B91" s="361" t="s">
        <v>1515</v>
      </c>
      <c r="C91" s="102"/>
      <c r="D91" s="111">
        <f>SUM(D92:D92)</f>
        <v>160</v>
      </c>
      <c r="E91" s="111">
        <f>SUM(E92:E92)</f>
        <v>160</v>
      </c>
      <c r="F91" s="111">
        <f>SUM(F92:F92)</f>
        <v>160</v>
      </c>
      <c r="G91" s="111">
        <f>SUM(G92:G92)</f>
        <v>0</v>
      </c>
      <c r="H91" s="361" t="s">
        <v>1516</v>
      </c>
      <c r="I91" s="364" t="s">
        <v>56</v>
      </c>
      <c r="J91" s="364">
        <v>100</v>
      </c>
      <c r="K91" s="360">
        <v>100</v>
      </c>
      <c r="L91" s="412"/>
      <c r="M91" s="444"/>
    </row>
    <row r="92" spans="1:13" ht="15.6" x14ac:dyDescent="0.3">
      <c r="A92" s="466"/>
      <c r="B92" s="361"/>
      <c r="C92" s="114" t="s">
        <v>27</v>
      </c>
      <c r="D92" s="116">
        <v>160</v>
      </c>
      <c r="E92" s="116">
        <v>160</v>
      </c>
      <c r="F92" s="116">
        <v>160</v>
      </c>
      <c r="G92" s="116">
        <v>0</v>
      </c>
      <c r="H92" s="361"/>
      <c r="I92" s="364"/>
      <c r="J92" s="364"/>
      <c r="K92" s="360"/>
      <c r="L92" s="412"/>
      <c r="M92" s="444"/>
    </row>
    <row r="93" spans="1:13" ht="124.8" x14ac:dyDescent="0.3">
      <c r="A93" s="227" t="s">
        <v>1517</v>
      </c>
      <c r="B93" s="101" t="s">
        <v>1518</v>
      </c>
      <c r="C93" s="102" t="s">
        <v>27</v>
      </c>
      <c r="D93" s="104">
        <v>28</v>
      </c>
      <c r="E93" s="104">
        <v>28</v>
      </c>
      <c r="F93" s="104">
        <v>20.399999999999999</v>
      </c>
      <c r="G93" s="104">
        <v>7.6</v>
      </c>
      <c r="H93" s="105" t="s">
        <v>1519</v>
      </c>
      <c r="I93" s="106" t="s">
        <v>56</v>
      </c>
      <c r="J93" s="106">
        <v>100</v>
      </c>
      <c r="K93" s="107">
        <v>72.849999999999994</v>
      </c>
      <c r="L93" s="105" t="s">
        <v>1520</v>
      </c>
      <c r="M93" s="108" t="s">
        <v>1521</v>
      </c>
    </row>
    <row r="94" spans="1:13" ht="271.2" customHeight="1" x14ac:dyDescent="0.3">
      <c r="A94" s="467" t="s">
        <v>1522</v>
      </c>
      <c r="B94" s="361" t="s">
        <v>1523</v>
      </c>
      <c r="C94" s="102"/>
      <c r="D94" s="111">
        <f>SUM(D95:D96)</f>
        <v>745</v>
      </c>
      <c r="E94" s="111">
        <f>SUM(E95:E96)</f>
        <v>800</v>
      </c>
      <c r="F94" s="111">
        <f>SUM(F95:F96)</f>
        <v>827.30000000000007</v>
      </c>
      <c r="G94" s="111">
        <f>SUM(G95:G96)</f>
        <v>-27.3</v>
      </c>
      <c r="H94" s="361" t="s">
        <v>1524</v>
      </c>
      <c r="I94" s="396" t="s">
        <v>56</v>
      </c>
      <c r="J94" s="364">
        <v>100</v>
      </c>
      <c r="K94" s="360">
        <v>103.4</v>
      </c>
      <c r="L94" s="361" t="s">
        <v>1525</v>
      </c>
      <c r="M94" s="362" t="s">
        <v>1526</v>
      </c>
    </row>
    <row r="95" spans="1:13" ht="15.6" x14ac:dyDescent="0.3">
      <c r="A95" s="467"/>
      <c r="B95" s="361"/>
      <c r="C95" s="114" t="s">
        <v>36</v>
      </c>
      <c r="D95" s="116">
        <v>190.6</v>
      </c>
      <c r="E95" s="116">
        <v>190.6</v>
      </c>
      <c r="F95" s="116">
        <v>190.6</v>
      </c>
      <c r="G95" s="116">
        <v>0</v>
      </c>
      <c r="H95" s="361"/>
      <c r="I95" s="396"/>
      <c r="J95" s="364"/>
      <c r="K95" s="360"/>
      <c r="L95" s="361"/>
      <c r="M95" s="362"/>
    </row>
    <row r="96" spans="1:13" ht="15.6" x14ac:dyDescent="0.3">
      <c r="A96" s="467"/>
      <c r="B96" s="361"/>
      <c r="C96" s="114" t="s">
        <v>27</v>
      </c>
      <c r="D96" s="116">
        <v>554.4</v>
      </c>
      <c r="E96" s="116">
        <v>609.4</v>
      </c>
      <c r="F96" s="116">
        <v>636.70000000000005</v>
      </c>
      <c r="G96" s="116">
        <v>-27.3</v>
      </c>
      <c r="H96" s="361"/>
      <c r="I96" s="396"/>
      <c r="J96" s="364"/>
      <c r="K96" s="360"/>
      <c r="L96" s="361"/>
      <c r="M96" s="362"/>
    </row>
    <row r="97" spans="1:13" ht="77.400000000000006" customHeight="1" x14ac:dyDescent="0.3">
      <c r="A97" s="227" t="s">
        <v>1527</v>
      </c>
      <c r="B97" s="101" t="s">
        <v>1528</v>
      </c>
      <c r="C97" s="102" t="s">
        <v>27</v>
      </c>
      <c r="D97" s="104">
        <v>16.5</v>
      </c>
      <c r="E97" s="104">
        <v>16.5</v>
      </c>
      <c r="F97" s="104">
        <v>4.2</v>
      </c>
      <c r="G97" s="104">
        <v>12.3</v>
      </c>
      <c r="H97" s="105" t="s">
        <v>1529</v>
      </c>
      <c r="I97" s="106" t="s">
        <v>56</v>
      </c>
      <c r="J97" s="106">
        <v>100</v>
      </c>
      <c r="K97" s="107">
        <v>25.45</v>
      </c>
      <c r="L97" s="105" t="s">
        <v>1530</v>
      </c>
      <c r="M97" s="108" t="s">
        <v>1531</v>
      </c>
    </row>
    <row r="98" spans="1:13" ht="62.4" x14ac:dyDescent="0.3">
      <c r="A98" s="226" t="s">
        <v>1532</v>
      </c>
      <c r="B98" s="124" t="s">
        <v>1533</v>
      </c>
      <c r="C98" s="125"/>
      <c r="D98" s="99">
        <f>SUM(D99:D100)</f>
        <v>23.6</v>
      </c>
      <c r="E98" s="99">
        <f>SUM(E99:E100)</f>
        <v>14.5</v>
      </c>
      <c r="F98" s="99">
        <f>SUM(F99:F100)</f>
        <v>0</v>
      </c>
      <c r="G98" s="99">
        <f>SUM(G99:G100)</f>
        <v>14.5</v>
      </c>
      <c r="H98" s="359"/>
      <c r="I98" s="359"/>
      <c r="J98" s="359"/>
      <c r="K98" s="359"/>
      <c r="L98" s="359"/>
      <c r="M98" s="359"/>
    </row>
    <row r="99" spans="1:13" ht="76.8" customHeight="1" x14ac:dyDescent="0.3">
      <c r="A99" s="100" t="s">
        <v>1534</v>
      </c>
      <c r="B99" s="101" t="s">
        <v>1535</v>
      </c>
      <c r="C99" s="102" t="s">
        <v>27</v>
      </c>
      <c r="D99" s="104">
        <v>14.5</v>
      </c>
      <c r="E99" s="303">
        <v>14.5</v>
      </c>
      <c r="F99" s="303">
        <v>0</v>
      </c>
      <c r="G99" s="104">
        <v>14.5</v>
      </c>
      <c r="H99" s="102"/>
      <c r="I99" s="106"/>
      <c r="J99" s="229"/>
      <c r="K99" s="306"/>
      <c r="L99" s="102"/>
      <c r="M99" s="309" t="s">
        <v>1536</v>
      </c>
    </row>
    <row r="100" spans="1:13" ht="140.4" x14ac:dyDescent="0.3">
      <c r="A100" s="310" t="s">
        <v>1537</v>
      </c>
      <c r="B100" s="234" t="s">
        <v>1538</v>
      </c>
      <c r="C100" s="183" t="s">
        <v>27</v>
      </c>
      <c r="D100" s="235">
        <v>9.1</v>
      </c>
      <c r="E100" s="311">
        <v>0</v>
      </c>
      <c r="F100" s="311">
        <v>0</v>
      </c>
      <c r="G100" s="235">
        <v>0</v>
      </c>
      <c r="H100" s="109" t="s">
        <v>1539</v>
      </c>
      <c r="I100" s="112"/>
      <c r="J100" s="112">
        <v>5</v>
      </c>
      <c r="K100" s="140">
        <v>0</v>
      </c>
      <c r="L100" s="183"/>
      <c r="M100" s="312" t="s">
        <v>1540</v>
      </c>
    </row>
    <row r="101" spans="1:13" x14ac:dyDescent="0.3">
      <c r="A101" s="205"/>
      <c r="B101" s="205"/>
      <c r="C101" s="206"/>
      <c r="D101" s="207"/>
      <c r="E101" s="207"/>
      <c r="F101" s="207"/>
      <c r="G101" s="207"/>
      <c r="H101" s="206"/>
      <c r="I101" s="208"/>
      <c r="J101" s="209"/>
      <c r="K101" s="209"/>
      <c r="L101" s="206"/>
      <c r="M101" s="206"/>
    </row>
    <row r="102" spans="1:13" x14ac:dyDescent="0.3">
      <c r="A102" s="205"/>
      <c r="B102" s="205"/>
      <c r="C102" s="206"/>
      <c r="D102" s="207"/>
      <c r="E102" s="207"/>
      <c r="F102" s="207"/>
      <c r="G102" s="207"/>
      <c r="H102" s="206"/>
      <c r="I102" s="208"/>
      <c r="J102" s="209"/>
      <c r="K102" s="209"/>
      <c r="L102" s="206"/>
      <c r="M102" s="206"/>
    </row>
    <row r="103" spans="1:13" ht="78" x14ac:dyDescent="0.3">
      <c r="A103" s="150" t="s">
        <v>5</v>
      </c>
      <c r="B103" s="150" t="s">
        <v>101</v>
      </c>
      <c r="C103" s="150" t="s">
        <v>222</v>
      </c>
      <c r="D103" s="150" t="s">
        <v>223</v>
      </c>
      <c r="E103" s="150" t="s">
        <v>104</v>
      </c>
      <c r="F103" s="150" t="s">
        <v>669</v>
      </c>
      <c r="K103" s="258"/>
      <c r="L103" s="214" t="s">
        <v>101</v>
      </c>
      <c r="M103" s="214" t="s">
        <v>105</v>
      </c>
    </row>
    <row r="104" spans="1:13" ht="46.8" x14ac:dyDescent="0.3">
      <c r="A104" s="154" t="s">
        <v>106</v>
      </c>
      <c r="B104" s="123" t="s">
        <v>107</v>
      </c>
      <c r="C104" s="155">
        <f>SUM(C105:C110)</f>
        <v>11759.800000000001</v>
      </c>
      <c r="D104" s="155">
        <f>SUM(D105:D110)</f>
        <v>11995.3</v>
      </c>
      <c r="E104" s="155">
        <f>SUM(E105:E110)-0.1</f>
        <v>11144.3</v>
      </c>
      <c r="F104" s="155">
        <f>SUM(F105:F110)</f>
        <v>851</v>
      </c>
      <c r="K104" s="220"/>
      <c r="L104" s="261" t="s">
        <v>108</v>
      </c>
      <c r="M104" s="262">
        <v>28</v>
      </c>
    </row>
    <row r="105" spans="1:13" ht="31.2" x14ac:dyDescent="0.3">
      <c r="A105" s="154" t="s">
        <v>27</v>
      </c>
      <c r="B105" s="123" t="s">
        <v>109</v>
      </c>
      <c r="C105" s="116">
        <v>7742.7</v>
      </c>
      <c r="D105" s="116">
        <v>8112</v>
      </c>
      <c r="E105" s="116">
        <v>7502.7</v>
      </c>
      <c r="F105" s="116">
        <v>609.29999999999995</v>
      </c>
      <c r="K105" s="221"/>
      <c r="L105" s="261" t="s">
        <v>110</v>
      </c>
      <c r="M105" s="262">
        <v>8</v>
      </c>
    </row>
    <row r="106" spans="1:13" ht="46.8" x14ac:dyDescent="0.3">
      <c r="A106" s="154" t="s">
        <v>1079</v>
      </c>
      <c r="B106" s="123" t="s">
        <v>1142</v>
      </c>
      <c r="C106" s="116">
        <v>397.5</v>
      </c>
      <c r="D106" s="116">
        <v>408.8</v>
      </c>
      <c r="E106" s="116">
        <v>407.8</v>
      </c>
      <c r="F106" s="116">
        <v>1.1000000000000001</v>
      </c>
      <c r="K106" s="222"/>
      <c r="L106" s="261" t="s">
        <v>112</v>
      </c>
      <c r="M106" s="262">
        <v>2</v>
      </c>
    </row>
    <row r="107" spans="1:13" ht="31.2" x14ac:dyDescent="0.3">
      <c r="A107" s="154" t="s">
        <v>242</v>
      </c>
      <c r="B107" s="123" t="s">
        <v>375</v>
      </c>
      <c r="C107" s="116">
        <v>0</v>
      </c>
      <c r="D107" s="116">
        <v>40.5</v>
      </c>
      <c r="E107" s="116">
        <v>39.299999999999997</v>
      </c>
      <c r="F107" s="116">
        <v>1.2</v>
      </c>
      <c r="K107" s="212"/>
      <c r="L107" s="213" t="s">
        <v>114</v>
      </c>
      <c r="M107" s="214">
        <v>38</v>
      </c>
    </row>
    <row r="108" spans="1:13" ht="31.2" x14ac:dyDescent="0.3">
      <c r="A108" s="154" t="s">
        <v>200</v>
      </c>
      <c r="B108" s="123" t="s">
        <v>225</v>
      </c>
      <c r="C108" s="116">
        <v>372</v>
      </c>
      <c r="D108" s="116">
        <v>172</v>
      </c>
      <c r="E108" s="116">
        <v>38.700000000000003</v>
      </c>
      <c r="F108" s="116">
        <v>133.30000000000001</v>
      </c>
    </row>
    <row r="109" spans="1:13" ht="31.2" x14ac:dyDescent="0.3">
      <c r="A109" s="154" t="s">
        <v>182</v>
      </c>
      <c r="B109" s="123" t="s">
        <v>226</v>
      </c>
      <c r="C109" s="116">
        <v>1</v>
      </c>
      <c r="D109" s="116">
        <v>1</v>
      </c>
      <c r="E109" s="116">
        <v>0.7</v>
      </c>
      <c r="F109" s="116">
        <v>0.3</v>
      </c>
    </row>
    <row r="110" spans="1:13" ht="46.8" x14ac:dyDescent="0.3">
      <c r="A110" s="154" t="s">
        <v>36</v>
      </c>
      <c r="B110" s="123" t="s">
        <v>111</v>
      </c>
      <c r="C110" s="116">
        <v>3246.6</v>
      </c>
      <c r="D110" s="116">
        <v>3261</v>
      </c>
      <c r="E110" s="116">
        <v>3155.2</v>
      </c>
      <c r="F110" s="116">
        <v>105.8</v>
      </c>
    </row>
    <row r="111" spans="1:13" ht="31.2" x14ac:dyDescent="0.3">
      <c r="A111" s="154" t="s">
        <v>614</v>
      </c>
      <c r="B111" s="123" t="s">
        <v>615</v>
      </c>
      <c r="C111" s="155">
        <f>SUM(C112:C112)</f>
        <v>0</v>
      </c>
      <c r="D111" s="155">
        <f>SUM(D112:D112)</f>
        <v>72.3</v>
      </c>
      <c r="E111" s="155">
        <f>SUM(E112:E112)</f>
        <v>68.5</v>
      </c>
      <c r="F111" s="155">
        <f>SUM(F112:F112)</f>
        <v>3.9</v>
      </c>
    </row>
    <row r="112" spans="1:13" ht="31.2" x14ac:dyDescent="0.3">
      <c r="A112" s="154" t="s">
        <v>689</v>
      </c>
      <c r="B112" s="123" t="s">
        <v>775</v>
      </c>
      <c r="C112" s="116">
        <v>0</v>
      </c>
      <c r="D112" s="116">
        <v>72.3</v>
      </c>
      <c r="E112" s="116">
        <v>68.5</v>
      </c>
      <c r="F112" s="116">
        <v>3.9</v>
      </c>
    </row>
    <row r="113" spans="1:6" ht="15.6" x14ac:dyDescent="0.3">
      <c r="A113" s="163"/>
      <c r="B113" s="195" t="s">
        <v>113</v>
      </c>
      <c r="C113" s="165">
        <f>C104+C111</f>
        <v>11759.800000000001</v>
      </c>
      <c r="D113" s="165">
        <f>D104+D111</f>
        <v>12067.599999999999</v>
      </c>
      <c r="E113" s="165">
        <f>E104+E111</f>
        <v>11212.8</v>
      </c>
      <c r="F113" s="165">
        <f>F104+F111</f>
        <v>854.9</v>
      </c>
    </row>
  </sheetData>
  <mergeCells count="115">
    <mergeCell ref="H98:M98"/>
    <mergeCell ref="A91:A92"/>
    <mergeCell ref="B91:B92"/>
    <mergeCell ref="H91:H92"/>
    <mergeCell ref="I91:I92"/>
    <mergeCell ref="J91:J92"/>
    <mergeCell ref="K91:K92"/>
    <mergeCell ref="L91:L92"/>
    <mergeCell ref="M91:M92"/>
    <mergeCell ref="A94:A96"/>
    <mergeCell ref="B94:B96"/>
    <mergeCell ref="H94:H96"/>
    <mergeCell ref="I94:I96"/>
    <mergeCell ref="J94:J96"/>
    <mergeCell ref="K94:K96"/>
    <mergeCell ref="L94:L96"/>
    <mergeCell ref="M94:M96"/>
    <mergeCell ref="H85:M85"/>
    <mergeCell ref="H86:M86"/>
    <mergeCell ref="A87:A90"/>
    <mergeCell ref="B87:B90"/>
    <mergeCell ref="H88:H90"/>
    <mergeCell ref="I88:I90"/>
    <mergeCell ref="J88:J90"/>
    <mergeCell ref="K88:K90"/>
    <mergeCell ref="L88:L90"/>
    <mergeCell ref="M88:M90"/>
    <mergeCell ref="A77:A79"/>
    <mergeCell ref="B77:B79"/>
    <mergeCell ref="C77:C79"/>
    <mergeCell ref="D77:D79"/>
    <mergeCell ref="E77:E79"/>
    <mergeCell ref="F77:F79"/>
    <mergeCell ref="L77:L79"/>
    <mergeCell ref="M77:M79"/>
    <mergeCell ref="A80:A83"/>
    <mergeCell ref="B80:B83"/>
    <mergeCell ref="L81:L83"/>
    <mergeCell ref="M81:M83"/>
    <mergeCell ref="H82:H83"/>
    <mergeCell ref="I82:I83"/>
    <mergeCell ref="J82:J83"/>
    <mergeCell ref="K82:K83"/>
    <mergeCell ref="A73:A75"/>
    <mergeCell ref="B73:B75"/>
    <mergeCell ref="H73:H75"/>
    <mergeCell ref="I73:I75"/>
    <mergeCell ref="J73:J75"/>
    <mergeCell ref="K73:K75"/>
    <mergeCell ref="L73:L75"/>
    <mergeCell ref="M73:M75"/>
    <mergeCell ref="H76:M76"/>
    <mergeCell ref="H68:M68"/>
    <mergeCell ref="H69:M69"/>
    <mergeCell ref="A70:A72"/>
    <mergeCell ref="B70:B72"/>
    <mergeCell ref="H71:H72"/>
    <mergeCell ref="I71:I72"/>
    <mergeCell ref="J71:J72"/>
    <mergeCell ref="K71:K72"/>
    <mergeCell ref="L71:L72"/>
    <mergeCell ref="M71:M72"/>
    <mergeCell ref="A63:A65"/>
    <mergeCell ref="B63:B65"/>
    <mergeCell ref="H63:H65"/>
    <mergeCell ref="I63:I65"/>
    <mergeCell ref="J63:J65"/>
    <mergeCell ref="K63:K65"/>
    <mergeCell ref="L63:L65"/>
    <mergeCell ref="M63:M65"/>
    <mergeCell ref="H66:M66"/>
    <mergeCell ref="H58:M58"/>
    <mergeCell ref="A59:A62"/>
    <mergeCell ref="B59:B62"/>
    <mergeCell ref="H59:H62"/>
    <mergeCell ref="I59:I62"/>
    <mergeCell ref="J59:J62"/>
    <mergeCell ref="K59:K62"/>
    <mergeCell ref="L59:L62"/>
    <mergeCell ref="M59:M62"/>
    <mergeCell ref="A31:A32"/>
    <mergeCell ref="B31:B32"/>
    <mergeCell ref="C31:C32"/>
    <mergeCell ref="D31:D32"/>
    <mergeCell ref="E31:E32"/>
    <mergeCell ref="F31:F32"/>
    <mergeCell ref="H34:M34"/>
    <mergeCell ref="A54:A56"/>
    <mergeCell ref="B54:B56"/>
    <mergeCell ref="H12:M12"/>
    <mergeCell ref="H13:M13"/>
    <mergeCell ref="H14:M14"/>
    <mergeCell ref="A15:A30"/>
    <mergeCell ref="B15:B30"/>
    <mergeCell ref="H26:H30"/>
    <mergeCell ref="I26:I30"/>
    <mergeCell ref="J26:J30"/>
    <mergeCell ref="K26:K30"/>
    <mergeCell ref="L26:L30"/>
    <mergeCell ref="M26:M30"/>
    <mergeCell ref="A5:M5"/>
    <mergeCell ref="A6:M6"/>
    <mergeCell ref="A9:A11"/>
    <mergeCell ref="B9:B11"/>
    <mergeCell ref="C9:C11"/>
    <mergeCell ref="D9:D11"/>
    <mergeCell ref="E9:E11"/>
    <mergeCell ref="F9:F11"/>
    <mergeCell ref="G9:G11"/>
    <mergeCell ref="H9:M9"/>
    <mergeCell ref="H10:H11"/>
    <mergeCell ref="I10:I11"/>
    <mergeCell ref="J10:K10"/>
    <mergeCell ref="L10:L11"/>
    <mergeCell ref="M10:M11"/>
  </mergeCells>
  <pageMargins left="0.4" right="0.4" top="0.4" bottom="0.4" header="0.51180555555555496" footer="0.51180555555555496"/>
  <pageSetup paperSize="9" firstPageNumber="0"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7"/>
  <sheetViews>
    <sheetView topLeftCell="A55" zoomScale="50" zoomScaleNormal="50" workbookViewId="0">
      <selection activeCell="O56" sqref="O56"/>
    </sheetView>
  </sheetViews>
  <sheetFormatPr defaultColWidth="9.109375" defaultRowHeight="14.4" x14ac:dyDescent="0.3"/>
  <cols>
    <col min="1" max="1" width="7" style="86" customWidth="1"/>
    <col min="2" max="2" width="23.88671875" style="86" customWidth="1"/>
    <col min="3" max="3" width="9.6640625" style="86" customWidth="1"/>
    <col min="4" max="4" width="10.6640625" style="86" customWidth="1"/>
    <col min="5" max="5" width="11.33203125" style="86" customWidth="1"/>
    <col min="6" max="6" width="11" style="86" customWidth="1"/>
    <col min="7" max="7" width="0.44140625" style="86" hidden="1" customWidth="1"/>
    <col min="8" max="8" width="15.33203125" style="86" customWidth="1"/>
    <col min="9" max="9" width="5.6640625" style="86" customWidth="1"/>
    <col min="10" max="11" width="8" style="86" customWidth="1"/>
    <col min="12" max="12" width="22.6640625" style="86" customWidth="1"/>
    <col min="13" max="13" width="30.6640625" style="86" customWidth="1"/>
    <col min="14" max="1024" width="9.109375" style="86"/>
  </cols>
  <sheetData>
    <row r="1" spans="1:14" ht="14.4" customHeight="1" x14ac:dyDescent="0.3">
      <c r="L1" s="343" t="s">
        <v>0</v>
      </c>
      <c r="M1" s="343"/>
    </row>
    <row r="2" spans="1:14" ht="14.4" customHeight="1" x14ac:dyDescent="0.3">
      <c r="L2" s="343" t="s">
        <v>1</v>
      </c>
      <c r="M2" s="343"/>
    </row>
    <row r="3" spans="1:14" ht="14.4" customHeight="1" x14ac:dyDescent="0.3">
      <c r="L3" s="343" t="s">
        <v>2</v>
      </c>
      <c r="M3" s="343"/>
    </row>
    <row r="4" spans="1:14" s="87" customFormat="1" ht="12" customHeight="1" x14ac:dyDescent="0.25"/>
    <row r="5" spans="1:14" s="90" customFormat="1" ht="15.6" x14ac:dyDescent="0.3">
      <c r="A5" s="344" t="s">
        <v>3</v>
      </c>
      <c r="B5" s="344"/>
      <c r="C5" s="344"/>
      <c r="D5" s="344"/>
      <c r="E5" s="344"/>
      <c r="F5" s="344"/>
      <c r="G5" s="344"/>
      <c r="H5" s="344"/>
      <c r="I5" s="344"/>
      <c r="J5" s="344"/>
      <c r="K5" s="344"/>
      <c r="L5" s="344"/>
      <c r="M5" s="344"/>
      <c r="N5" s="89"/>
    </row>
    <row r="6" spans="1:14" ht="15.6" x14ac:dyDescent="0.3">
      <c r="A6" s="344" t="s">
        <v>115</v>
      </c>
      <c r="B6" s="344"/>
      <c r="C6" s="344"/>
      <c r="D6" s="344"/>
      <c r="E6" s="344"/>
      <c r="F6" s="344"/>
      <c r="G6" s="344"/>
      <c r="H6" s="344"/>
      <c r="I6" s="344"/>
      <c r="J6" s="344"/>
      <c r="K6" s="344"/>
      <c r="L6" s="344"/>
      <c r="M6" s="344"/>
      <c r="N6" s="89"/>
    </row>
    <row r="7" spans="1:14" ht="15.6" x14ac:dyDescent="0.3">
      <c r="A7" s="88"/>
      <c r="B7" s="88"/>
      <c r="C7" s="88"/>
      <c r="D7" s="88"/>
      <c r="E7" s="88"/>
      <c r="F7" s="88"/>
      <c r="G7" s="88"/>
      <c r="H7" s="88"/>
      <c r="I7" s="88"/>
      <c r="J7" s="88"/>
      <c r="K7" s="88"/>
      <c r="L7" s="88"/>
      <c r="M7" s="88"/>
      <c r="N7" s="89"/>
    </row>
    <row r="9" spans="1:14" ht="15.6" customHeight="1" x14ac:dyDescent="0.3">
      <c r="A9" s="345" t="s">
        <v>5</v>
      </c>
      <c r="B9" s="346" t="s">
        <v>6</v>
      </c>
      <c r="C9" s="347" t="s">
        <v>7</v>
      </c>
      <c r="D9" s="348" t="s">
        <v>8</v>
      </c>
      <c r="E9" s="348"/>
      <c r="F9" s="348"/>
      <c r="G9" s="349" t="s">
        <v>9</v>
      </c>
      <c r="H9" s="348" t="s">
        <v>10</v>
      </c>
      <c r="I9" s="348"/>
      <c r="J9" s="348"/>
      <c r="K9" s="348"/>
      <c r="L9" s="346" t="s">
        <v>11</v>
      </c>
      <c r="M9" s="350" t="s">
        <v>12</v>
      </c>
    </row>
    <row r="10" spans="1:14" ht="15.75" customHeight="1" x14ac:dyDescent="0.3">
      <c r="A10" s="345"/>
      <c r="B10" s="346"/>
      <c r="C10" s="347"/>
      <c r="D10" s="351" t="s">
        <v>13</v>
      </c>
      <c r="E10" s="351" t="s">
        <v>14</v>
      </c>
      <c r="F10" s="351" t="s">
        <v>15</v>
      </c>
      <c r="G10" s="349"/>
      <c r="H10" s="351" t="s">
        <v>16</v>
      </c>
      <c r="I10" s="351"/>
      <c r="J10" s="352" t="s">
        <v>17</v>
      </c>
      <c r="K10" s="353" t="s">
        <v>18</v>
      </c>
      <c r="L10" s="346"/>
      <c r="M10" s="350"/>
    </row>
    <row r="11" spans="1:14" ht="60" customHeight="1" x14ac:dyDescent="0.3">
      <c r="A11" s="345"/>
      <c r="B11" s="346"/>
      <c r="C11" s="347"/>
      <c r="D11" s="351"/>
      <c r="E11" s="351"/>
      <c r="F11" s="351"/>
      <c r="G11" s="349"/>
      <c r="H11" s="351"/>
      <c r="I11" s="351"/>
      <c r="J11" s="352"/>
      <c r="K11" s="353"/>
      <c r="L11" s="346"/>
      <c r="M11" s="350"/>
    </row>
    <row r="12" spans="1:14" ht="18" customHeight="1" x14ac:dyDescent="0.3">
      <c r="A12" s="91" t="s">
        <v>116</v>
      </c>
      <c r="B12" s="354" t="s">
        <v>117</v>
      </c>
      <c r="C12" s="354"/>
      <c r="D12" s="92">
        <f>D13+D38+D48</f>
        <v>8516.2999999999993</v>
      </c>
      <c r="E12" s="92">
        <f>E13+E38+E48</f>
        <v>7390.5</v>
      </c>
      <c r="F12" s="92">
        <f>F13+F38+F48</f>
        <v>6558.5</v>
      </c>
      <c r="G12" s="93">
        <f>G13+G38+G48+0.1</f>
        <v>832.00000000000011</v>
      </c>
      <c r="H12" s="355"/>
      <c r="I12" s="355"/>
      <c r="J12" s="355"/>
      <c r="K12" s="355"/>
      <c r="L12" s="355"/>
      <c r="M12" s="355"/>
    </row>
    <row r="13" spans="1:14" ht="48.75" customHeight="1" x14ac:dyDescent="0.3">
      <c r="A13" s="94" t="s">
        <v>118</v>
      </c>
      <c r="B13" s="356" t="s">
        <v>119</v>
      </c>
      <c r="C13" s="356"/>
      <c r="D13" s="95">
        <f>D14+D23</f>
        <v>4035</v>
      </c>
      <c r="E13" s="95">
        <f>E14+E23</f>
        <v>4094.8</v>
      </c>
      <c r="F13" s="95">
        <f>F14+F23</f>
        <v>4055.9000000000005</v>
      </c>
      <c r="G13" s="96">
        <f>G14+G23</f>
        <v>38.800000000000004</v>
      </c>
      <c r="H13" s="357"/>
      <c r="I13" s="357"/>
      <c r="J13" s="357"/>
      <c r="K13" s="357"/>
      <c r="L13" s="357"/>
      <c r="M13" s="357"/>
    </row>
    <row r="14" spans="1:14" ht="49.5" customHeight="1" x14ac:dyDescent="0.3">
      <c r="A14" s="97" t="s">
        <v>120</v>
      </c>
      <c r="B14" s="358" t="s">
        <v>121</v>
      </c>
      <c r="C14" s="358"/>
      <c r="D14" s="98">
        <f>D15+D16+D18+D20+D21</f>
        <v>745.1</v>
      </c>
      <c r="E14" s="98">
        <f>E15+E16+E18+E20+E21</f>
        <v>762</v>
      </c>
      <c r="F14" s="98">
        <f>F15+F16+F18+F20+F21</f>
        <v>755.3</v>
      </c>
      <c r="G14" s="99">
        <f>G15+G16+G18+G20+G21</f>
        <v>6.7</v>
      </c>
      <c r="H14" s="359"/>
      <c r="I14" s="359"/>
      <c r="J14" s="359"/>
      <c r="K14" s="359"/>
      <c r="L14" s="359"/>
      <c r="M14" s="359"/>
    </row>
    <row r="15" spans="1:14" ht="409.5" customHeight="1" x14ac:dyDescent="0.3">
      <c r="A15" s="100" t="s">
        <v>122</v>
      </c>
      <c r="B15" s="101" t="s">
        <v>123</v>
      </c>
      <c r="C15" s="102" t="s">
        <v>27</v>
      </c>
      <c r="D15" s="103">
        <v>63.7</v>
      </c>
      <c r="E15" s="103">
        <v>61.7</v>
      </c>
      <c r="F15" s="103">
        <v>61.4</v>
      </c>
      <c r="G15" s="104">
        <v>0.3</v>
      </c>
      <c r="H15" s="105" t="s">
        <v>124</v>
      </c>
      <c r="I15" s="106" t="s">
        <v>29</v>
      </c>
      <c r="J15" s="106">
        <v>50</v>
      </c>
      <c r="K15" s="107">
        <v>37</v>
      </c>
      <c r="L15" s="105" t="s">
        <v>125</v>
      </c>
      <c r="M15" s="108" t="s">
        <v>126</v>
      </c>
    </row>
    <row r="16" spans="1:14" ht="104.25" customHeight="1" x14ac:dyDescent="0.3">
      <c r="A16" s="363" t="s">
        <v>127</v>
      </c>
      <c r="B16" s="361" t="s">
        <v>128</v>
      </c>
      <c r="C16" s="102"/>
      <c r="D16" s="110">
        <f>SUM(D17:D17)</f>
        <v>26.2</v>
      </c>
      <c r="E16" s="110">
        <f>SUM(E17:E17)</f>
        <v>26.2</v>
      </c>
      <c r="F16" s="110">
        <f>SUM(F17:F17)</f>
        <v>26.2</v>
      </c>
      <c r="G16" s="111">
        <f>SUM(G17:G17)</f>
        <v>0</v>
      </c>
      <c r="H16" s="361" t="s">
        <v>129</v>
      </c>
      <c r="I16" s="364" t="s">
        <v>29</v>
      </c>
      <c r="J16" s="364">
        <v>11</v>
      </c>
      <c r="K16" s="360">
        <v>11</v>
      </c>
      <c r="L16" s="361" t="s">
        <v>130</v>
      </c>
      <c r="M16" s="362" t="s">
        <v>131</v>
      </c>
    </row>
    <row r="17" spans="1:13" ht="66.75" customHeight="1" x14ac:dyDescent="0.3">
      <c r="A17" s="363"/>
      <c r="B17" s="361"/>
      <c r="C17" s="114" t="s">
        <v>27</v>
      </c>
      <c r="D17" s="115">
        <v>26.2</v>
      </c>
      <c r="E17" s="115">
        <v>26.2</v>
      </c>
      <c r="F17" s="115">
        <v>26.2</v>
      </c>
      <c r="G17" s="116">
        <v>0</v>
      </c>
      <c r="H17" s="361"/>
      <c r="I17" s="364"/>
      <c r="J17" s="364"/>
      <c r="K17" s="360"/>
      <c r="L17" s="361"/>
      <c r="M17" s="362"/>
    </row>
    <row r="18" spans="1:13" ht="46.8" customHeight="1" x14ac:dyDescent="0.3">
      <c r="A18" s="363" t="s">
        <v>132</v>
      </c>
      <c r="B18" s="361" t="s">
        <v>133</v>
      </c>
      <c r="C18" s="102" t="s">
        <v>27</v>
      </c>
      <c r="D18" s="110">
        <f>SUM(D19:D19)+9.1</f>
        <v>9.1</v>
      </c>
      <c r="E18" s="110">
        <f>SUM(E19:E19)+9.1</f>
        <v>9.1</v>
      </c>
      <c r="F18" s="110">
        <f>SUM(F19:F19)+8</f>
        <v>8</v>
      </c>
      <c r="G18" s="111">
        <f>SUM(G19:G19)+1.1</f>
        <v>1.1000000000000001</v>
      </c>
      <c r="H18" s="105" t="s">
        <v>134</v>
      </c>
      <c r="I18" s="106" t="s">
        <v>29</v>
      </c>
      <c r="J18" s="106" t="s">
        <v>135</v>
      </c>
      <c r="K18" s="117" t="s">
        <v>136</v>
      </c>
      <c r="L18" s="105"/>
      <c r="M18" s="108"/>
    </row>
    <row r="19" spans="1:13" ht="334.5" customHeight="1" x14ac:dyDescent="0.3">
      <c r="A19" s="363"/>
      <c r="B19" s="361"/>
      <c r="C19" s="114"/>
      <c r="D19" s="115">
        <v>0</v>
      </c>
      <c r="E19" s="115">
        <v>0</v>
      </c>
      <c r="F19" s="115">
        <v>0</v>
      </c>
      <c r="G19" s="116">
        <v>0</v>
      </c>
      <c r="H19" s="118" t="s">
        <v>137</v>
      </c>
      <c r="I19" s="119" t="s">
        <v>29</v>
      </c>
      <c r="J19" s="119">
        <v>12</v>
      </c>
      <c r="K19" s="120">
        <v>9</v>
      </c>
      <c r="L19" s="118" t="s">
        <v>138</v>
      </c>
      <c r="M19" s="121" t="s">
        <v>139</v>
      </c>
    </row>
    <row r="20" spans="1:13" ht="216" customHeight="1" x14ac:dyDescent="0.3">
      <c r="A20" s="100" t="s">
        <v>140</v>
      </c>
      <c r="B20" s="101" t="s">
        <v>141</v>
      </c>
      <c r="C20" s="102" t="s">
        <v>27</v>
      </c>
      <c r="D20" s="103">
        <v>250</v>
      </c>
      <c r="E20" s="103">
        <v>250</v>
      </c>
      <c r="F20" s="103">
        <v>250</v>
      </c>
      <c r="G20" s="104">
        <v>0</v>
      </c>
      <c r="H20" s="105" t="s">
        <v>142</v>
      </c>
      <c r="I20" s="106" t="s">
        <v>29</v>
      </c>
      <c r="J20" s="106">
        <v>7</v>
      </c>
      <c r="K20" s="117">
        <v>7</v>
      </c>
      <c r="L20" s="105" t="s">
        <v>143</v>
      </c>
      <c r="M20" s="108" t="s">
        <v>144</v>
      </c>
    </row>
    <row r="21" spans="1:13" ht="409.5" customHeight="1" x14ac:dyDescent="0.3">
      <c r="A21" s="100" t="s">
        <v>145</v>
      </c>
      <c r="B21" s="101" t="s">
        <v>146</v>
      </c>
      <c r="C21" s="102"/>
      <c r="D21" s="110">
        <f>SUM(D22:D22)</f>
        <v>396.1</v>
      </c>
      <c r="E21" s="110">
        <f>SUM(E22:E22)</f>
        <v>415</v>
      </c>
      <c r="F21" s="110">
        <f>SUM(F22:F22)</f>
        <v>409.7</v>
      </c>
      <c r="G21" s="111">
        <f>SUM(G22:G22)</f>
        <v>5.3</v>
      </c>
      <c r="H21" s="105" t="s">
        <v>147</v>
      </c>
      <c r="I21" s="106" t="s">
        <v>29</v>
      </c>
      <c r="J21" s="106">
        <v>16</v>
      </c>
      <c r="K21" s="117">
        <v>16</v>
      </c>
      <c r="L21" s="365" t="s">
        <v>148</v>
      </c>
      <c r="M21" s="108" t="s">
        <v>149</v>
      </c>
    </row>
    <row r="22" spans="1:13" ht="142.5" customHeight="1" x14ac:dyDescent="0.3">
      <c r="A22" s="122"/>
      <c r="B22" s="123"/>
      <c r="C22" s="114" t="s">
        <v>27</v>
      </c>
      <c r="D22" s="115">
        <v>396.1</v>
      </c>
      <c r="E22" s="115">
        <v>415</v>
      </c>
      <c r="F22" s="115">
        <v>409.7</v>
      </c>
      <c r="G22" s="116">
        <v>5.3</v>
      </c>
      <c r="H22" s="118"/>
      <c r="I22" s="119"/>
      <c r="J22" s="119"/>
      <c r="K22" s="119"/>
      <c r="L22" s="365"/>
      <c r="M22" s="121"/>
    </row>
    <row r="23" spans="1:13" ht="62.4" x14ac:dyDescent="0.3">
      <c r="A23" s="97" t="s">
        <v>150</v>
      </c>
      <c r="B23" s="124" t="s">
        <v>151</v>
      </c>
      <c r="C23" s="125"/>
      <c r="D23" s="98">
        <f>D24+D35</f>
        <v>3289.9</v>
      </c>
      <c r="E23" s="98">
        <f>E24+E35</f>
        <v>3332.8</v>
      </c>
      <c r="F23" s="98">
        <f>F24+F35</f>
        <v>3300.6000000000004</v>
      </c>
      <c r="G23" s="99">
        <f>G24+G35</f>
        <v>32.1</v>
      </c>
      <c r="H23" s="366"/>
      <c r="I23" s="366"/>
      <c r="J23" s="366"/>
      <c r="K23" s="366"/>
      <c r="L23" s="366"/>
      <c r="M23" s="366"/>
    </row>
    <row r="24" spans="1:13" ht="174.75" customHeight="1" x14ac:dyDescent="0.3">
      <c r="A24" s="363" t="s">
        <v>152</v>
      </c>
      <c r="B24" s="361" t="s">
        <v>153</v>
      </c>
      <c r="C24" s="102"/>
      <c r="D24" s="110">
        <f>SUM(D25:D34)</f>
        <v>3249.5</v>
      </c>
      <c r="E24" s="110">
        <f>SUM(E25:E34)</f>
        <v>3295.8</v>
      </c>
      <c r="F24" s="110">
        <f>SUM(F25:F34)</f>
        <v>3263.6000000000004</v>
      </c>
      <c r="G24" s="111">
        <f>SUM(G25:G34)-0.1</f>
        <v>32.1</v>
      </c>
      <c r="H24" s="105" t="s">
        <v>154</v>
      </c>
      <c r="I24" s="106" t="s">
        <v>29</v>
      </c>
      <c r="J24" s="106" t="s">
        <v>155</v>
      </c>
      <c r="K24" s="126" t="s">
        <v>156</v>
      </c>
      <c r="L24" s="127" t="s">
        <v>157</v>
      </c>
      <c r="M24" s="108"/>
    </row>
    <row r="25" spans="1:13" ht="207.75" customHeight="1" x14ac:dyDescent="0.3">
      <c r="A25" s="363"/>
      <c r="B25" s="361"/>
      <c r="C25" s="114"/>
      <c r="D25" s="115">
        <v>0</v>
      </c>
      <c r="E25" s="115">
        <v>0</v>
      </c>
      <c r="F25" s="115">
        <v>0</v>
      </c>
      <c r="G25" s="116">
        <v>0</v>
      </c>
      <c r="H25" s="118" t="s">
        <v>158</v>
      </c>
      <c r="I25" s="119" t="s">
        <v>29</v>
      </c>
      <c r="J25" s="119" t="s">
        <v>159</v>
      </c>
      <c r="K25" s="128" t="s">
        <v>160</v>
      </c>
      <c r="L25" s="118" t="s">
        <v>161</v>
      </c>
      <c r="M25" s="121" t="s">
        <v>162</v>
      </c>
    </row>
    <row r="26" spans="1:13" ht="99" customHeight="1" x14ac:dyDescent="0.3">
      <c r="A26" s="363"/>
      <c r="B26" s="361"/>
      <c r="C26" s="114"/>
      <c r="D26" s="115">
        <v>0</v>
      </c>
      <c r="E26" s="115">
        <v>0</v>
      </c>
      <c r="F26" s="115">
        <v>0</v>
      </c>
      <c r="G26" s="116">
        <v>0</v>
      </c>
      <c r="H26" s="118" t="s">
        <v>163</v>
      </c>
      <c r="I26" s="119" t="s">
        <v>29</v>
      </c>
      <c r="J26" s="119">
        <v>63</v>
      </c>
      <c r="K26" s="128">
        <v>66</v>
      </c>
      <c r="L26" s="118" t="s">
        <v>164</v>
      </c>
      <c r="M26" s="121"/>
    </row>
    <row r="27" spans="1:13" ht="156" x14ac:dyDescent="0.3">
      <c r="A27" s="363"/>
      <c r="B27" s="361"/>
      <c r="C27" s="114"/>
      <c r="D27" s="115">
        <v>0</v>
      </c>
      <c r="E27" s="115">
        <v>0</v>
      </c>
      <c r="F27" s="115">
        <v>0</v>
      </c>
      <c r="G27" s="116">
        <v>0</v>
      </c>
      <c r="H27" s="118" t="s">
        <v>165</v>
      </c>
      <c r="I27" s="119" t="s">
        <v>29</v>
      </c>
      <c r="J27" s="119">
        <v>272</v>
      </c>
      <c r="K27" s="128">
        <v>285</v>
      </c>
      <c r="L27" s="118" t="s">
        <v>166</v>
      </c>
      <c r="M27" s="121"/>
    </row>
    <row r="28" spans="1:13" ht="68.25" customHeight="1" x14ac:dyDescent="0.3">
      <c r="A28" s="363"/>
      <c r="B28" s="361"/>
      <c r="C28" s="114"/>
      <c r="D28" s="115">
        <v>0</v>
      </c>
      <c r="E28" s="115">
        <v>0</v>
      </c>
      <c r="F28" s="115">
        <v>0</v>
      </c>
      <c r="G28" s="116">
        <v>0</v>
      </c>
      <c r="H28" s="118" t="s">
        <v>167</v>
      </c>
      <c r="I28" s="119" t="s">
        <v>29</v>
      </c>
      <c r="J28" s="119" t="s">
        <v>168</v>
      </c>
      <c r="K28" s="129" t="s">
        <v>169</v>
      </c>
      <c r="L28" s="118" t="s">
        <v>170</v>
      </c>
      <c r="M28" s="121"/>
    </row>
    <row r="29" spans="1:13" ht="222.75" customHeight="1" x14ac:dyDescent="0.3">
      <c r="A29" s="363"/>
      <c r="B29" s="361"/>
      <c r="C29" s="114"/>
      <c r="D29" s="115">
        <v>0</v>
      </c>
      <c r="E29" s="115">
        <v>0</v>
      </c>
      <c r="F29" s="115">
        <v>0</v>
      </c>
      <c r="G29" s="116">
        <v>0</v>
      </c>
      <c r="H29" s="118" t="s">
        <v>171</v>
      </c>
      <c r="I29" s="119" t="s">
        <v>29</v>
      </c>
      <c r="J29" s="130" t="s">
        <v>172</v>
      </c>
      <c r="K29" s="131" t="s">
        <v>173</v>
      </c>
      <c r="L29" s="118" t="s">
        <v>174</v>
      </c>
      <c r="M29" s="121" t="s">
        <v>175</v>
      </c>
    </row>
    <row r="30" spans="1:13" ht="70.5" customHeight="1" x14ac:dyDescent="0.3">
      <c r="A30" s="363"/>
      <c r="B30" s="361"/>
      <c r="C30" s="114"/>
      <c r="D30" s="115">
        <v>0</v>
      </c>
      <c r="E30" s="115">
        <v>0</v>
      </c>
      <c r="F30" s="115">
        <v>0</v>
      </c>
      <c r="G30" s="116">
        <v>0</v>
      </c>
      <c r="H30" s="118" t="s">
        <v>176</v>
      </c>
      <c r="I30" s="119" t="s">
        <v>29</v>
      </c>
      <c r="J30" s="119">
        <v>30</v>
      </c>
      <c r="K30" s="120">
        <v>29</v>
      </c>
      <c r="L30" s="118"/>
      <c r="M30" s="121" t="s">
        <v>177</v>
      </c>
    </row>
    <row r="31" spans="1:13" ht="94.5" customHeight="1" x14ac:dyDescent="0.3">
      <c r="A31" s="363"/>
      <c r="B31" s="361"/>
      <c r="C31" s="114"/>
      <c r="D31" s="115">
        <v>0</v>
      </c>
      <c r="E31" s="115">
        <v>0</v>
      </c>
      <c r="F31" s="115">
        <v>0</v>
      </c>
      <c r="G31" s="116">
        <v>0</v>
      </c>
      <c r="H31" s="367" t="s">
        <v>178</v>
      </c>
      <c r="I31" s="368" t="s">
        <v>29</v>
      </c>
      <c r="J31" s="369" t="s">
        <v>179</v>
      </c>
      <c r="K31" s="370" t="s">
        <v>180</v>
      </c>
      <c r="L31" s="367" t="s">
        <v>181</v>
      </c>
      <c r="M31" s="371"/>
    </row>
    <row r="32" spans="1:13" ht="15.6" x14ac:dyDescent="0.3">
      <c r="A32" s="363"/>
      <c r="B32" s="361"/>
      <c r="C32" s="114" t="s">
        <v>36</v>
      </c>
      <c r="D32" s="115">
        <v>68.900000000000006</v>
      </c>
      <c r="E32" s="115">
        <v>68.900000000000006</v>
      </c>
      <c r="F32" s="115">
        <v>57.5</v>
      </c>
      <c r="G32" s="116">
        <v>11.4</v>
      </c>
      <c r="H32" s="367"/>
      <c r="I32" s="368"/>
      <c r="J32" s="369"/>
      <c r="K32" s="370"/>
      <c r="L32" s="367"/>
      <c r="M32" s="371"/>
    </row>
    <row r="33" spans="1:13" ht="15.6" x14ac:dyDescent="0.3">
      <c r="A33" s="363"/>
      <c r="B33" s="361"/>
      <c r="C33" s="114" t="s">
        <v>27</v>
      </c>
      <c r="D33" s="115">
        <v>3075.2</v>
      </c>
      <c r="E33" s="115">
        <v>3099.6</v>
      </c>
      <c r="F33" s="115">
        <v>3084.3</v>
      </c>
      <c r="G33" s="116">
        <v>15.3</v>
      </c>
      <c r="H33" s="367"/>
      <c r="I33" s="368"/>
      <c r="J33" s="369"/>
      <c r="K33" s="370"/>
      <c r="L33" s="367"/>
      <c r="M33" s="371"/>
    </row>
    <row r="34" spans="1:13" ht="33" customHeight="1" x14ac:dyDescent="0.3">
      <c r="A34" s="363"/>
      <c r="B34" s="361"/>
      <c r="C34" s="114" t="s">
        <v>182</v>
      </c>
      <c r="D34" s="115">
        <v>105.4</v>
      </c>
      <c r="E34" s="115">
        <v>127.3</v>
      </c>
      <c r="F34" s="115">
        <v>121.8</v>
      </c>
      <c r="G34" s="116">
        <v>5.5</v>
      </c>
      <c r="H34" s="367"/>
      <c r="I34" s="368"/>
      <c r="J34" s="369"/>
      <c r="K34" s="370"/>
      <c r="L34" s="367"/>
      <c r="M34" s="371"/>
    </row>
    <row r="35" spans="1:13" ht="36" customHeight="1" x14ac:dyDescent="0.3">
      <c r="A35" s="363" t="s">
        <v>183</v>
      </c>
      <c r="B35" s="372" t="s">
        <v>184</v>
      </c>
      <c r="C35" s="102"/>
      <c r="D35" s="110">
        <f>SUM(D36:D37)</f>
        <v>40.4</v>
      </c>
      <c r="E35" s="110">
        <f>SUM(E36:E37)</f>
        <v>37</v>
      </c>
      <c r="F35" s="110">
        <f>SUM(F36:F37)</f>
        <v>37</v>
      </c>
      <c r="G35" s="111">
        <f>SUM(G36:G37)</f>
        <v>0</v>
      </c>
      <c r="H35" s="105" t="s">
        <v>185</v>
      </c>
      <c r="I35" s="106" t="s">
        <v>56</v>
      </c>
      <c r="J35" s="106">
        <v>100</v>
      </c>
      <c r="K35" s="117">
        <v>100</v>
      </c>
      <c r="L35" s="361" t="s">
        <v>186</v>
      </c>
      <c r="M35" s="362" t="s">
        <v>187</v>
      </c>
    </row>
    <row r="36" spans="1:13" ht="78.75" customHeight="1" x14ac:dyDescent="0.3">
      <c r="A36" s="363"/>
      <c r="B36" s="372"/>
      <c r="C36" s="114"/>
      <c r="D36" s="115">
        <v>0</v>
      </c>
      <c r="E36" s="115">
        <v>0</v>
      </c>
      <c r="F36" s="115">
        <v>0</v>
      </c>
      <c r="G36" s="116">
        <v>0</v>
      </c>
      <c r="H36" s="367" t="s">
        <v>188</v>
      </c>
      <c r="I36" s="373" t="s">
        <v>29</v>
      </c>
      <c r="J36" s="373">
        <v>1</v>
      </c>
      <c r="K36" s="374">
        <v>1</v>
      </c>
      <c r="L36" s="361"/>
      <c r="M36" s="362"/>
    </row>
    <row r="37" spans="1:13" ht="47.25" customHeight="1" x14ac:dyDescent="0.3">
      <c r="A37" s="363"/>
      <c r="B37" s="372"/>
      <c r="C37" s="114" t="s">
        <v>27</v>
      </c>
      <c r="D37" s="115">
        <v>40.4</v>
      </c>
      <c r="E37" s="115">
        <v>37</v>
      </c>
      <c r="F37" s="115">
        <v>37</v>
      </c>
      <c r="G37" s="116">
        <v>0</v>
      </c>
      <c r="H37" s="367"/>
      <c r="I37" s="373"/>
      <c r="J37" s="373"/>
      <c r="K37" s="374"/>
      <c r="L37" s="361"/>
      <c r="M37" s="362"/>
    </row>
    <row r="38" spans="1:13" ht="30" customHeight="1" x14ac:dyDescent="0.3">
      <c r="A38" s="94" t="s">
        <v>189</v>
      </c>
      <c r="B38" s="137" t="s">
        <v>190</v>
      </c>
      <c r="C38" s="138"/>
      <c r="D38" s="95">
        <f>SUM(D39:D39)</f>
        <v>3897</v>
      </c>
      <c r="E38" s="95">
        <f>SUM(E39:E39)</f>
        <v>3001</v>
      </c>
      <c r="F38" s="95">
        <f>SUM(F39:F39)</f>
        <v>2489.6999999999998</v>
      </c>
      <c r="G38" s="96">
        <f>SUM(G39:G39)</f>
        <v>511.3</v>
      </c>
      <c r="H38" s="375"/>
      <c r="I38" s="375"/>
      <c r="J38" s="375"/>
      <c r="K38" s="375"/>
      <c r="L38" s="375"/>
      <c r="M38" s="375"/>
    </row>
    <row r="39" spans="1:13" ht="46.8" x14ac:dyDescent="0.3">
      <c r="A39" s="97" t="s">
        <v>191</v>
      </c>
      <c r="B39" s="124" t="s">
        <v>192</v>
      </c>
      <c r="C39" s="125"/>
      <c r="D39" s="98">
        <f>D40+D45</f>
        <v>3897</v>
      </c>
      <c r="E39" s="98">
        <f>E40+E45</f>
        <v>3001</v>
      </c>
      <c r="F39" s="98">
        <f>F40+F45</f>
        <v>2489.6999999999998</v>
      </c>
      <c r="G39" s="99">
        <f>G40+G45</f>
        <v>511.3</v>
      </c>
      <c r="H39" s="366"/>
      <c r="I39" s="366"/>
      <c r="J39" s="366"/>
      <c r="K39" s="366"/>
      <c r="L39" s="366"/>
      <c r="M39" s="366"/>
    </row>
    <row r="40" spans="1:13" ht="249.6" customHeight="1" x14ac:dyDescent="0.3">
      <c r="A40" s="363" t="s">
        <v>193</v>
      </c>
      <c r="B40" s="361" t="s">
        <v>194</v>
      </c>
      <c r="C40" s="102"/>
      <c r="D40" s="110">
        <f>SUM(D41:D44)</f>
        <v>3323</v>
      </c>
      <c r="E40" s="110">
        <f>SUM(E41:E44)</f>
        <v>2777</v>
      </c>
      <c r="F40" s="110">
        <f>SUM(F41:F44)</f>
        <v>2489.6999999999998</v>
      </c>
      <c r="G40" s="111">
        <f>SUM(G41:G44)</f>
        <v>287.3</v>
      </c>
      <c r="H40" s="105" t="s">
        <v>185</v>
      </c>
      <c r="I40" s="106" t="s">
        <v>56</v>
      </c>
      <c r="J40" s="106">
        <v>100</v>
      </c>
      <c r="K40" s="107">
        <v>92.2</v>
      </c>
      <c r="L40" s="105" t="s">
        <v>195</v>
      </c>
      <c r="M40" s="108" t="s">
        <v>196</v>
      </c>
    </row>
    <row r="41" spans="1:13" ht="53.25" customHeight="1" x14ac:dyDescent="0.3">
      <c r="A41" s="363"/>
      <c r="B41" s="361"/>
      <c r="C41" s="114"/>
      <c r="D41" s="115">
        <v>0</v>
      </c>
      <c r="E41" s="115">
        <v>0</v>
      </c>
      <c r="F41" s="115">
        <v>0</v>
      </c>
      <c r="G41" s="116">
        <v>0</v>
      </c>
      <c r="H41" s="367" t="s">
        <v>197</v>
      </c>
      <c r="I41" s="373" t="s">
        <v>56</v>
      </c>
      <c r="J41" s="373">
        <v>100</v>
      </c>
      <c r="K41" s="376">
        <v>45</v>
      </c>
      <c r="L41" s="367" t="s">
        <v>198</v>
      </c>
      <c r="M41" s="371" t="s">
        <v>199</v>
      </c>
    </row>
    <row r="42" spans="1:13" ht="15.6" x14ac:dyDescent="0.3">
      <c r="A42" s="363"/>
      <c r="B42" s="361"/>
      <c r="C42" s="114" t="s">
        <v>27</v>
      </c>
      <c r="D42" s="115">
        <v>1370</v>
      </c>
      <c r="E42" s="115">
        <v>807</v>
      </c>
      <c r="F42" s="115">
        <v>675.7</v>
      </c>
      <c r="G42" s="116">
        <v>131.30000000000001</v>
      </c>
      <c r="H42" s="367"/>
      <c r="I42" s="373"/>
      <c r="J42" s="373"/>
      <c r="K42" s="376"/>
      <c r="L42" s="367"/>
      <c r="M42" s="371"/>
    </row>
    <row r="43" spans="1:13" ht="15.6" x14ac:dyDescent="0.3">
      <c r="A43" s="363"/>
      <c r="B43" s="361"/>
      <c r="C43" s="114" t="s">
        <v>200</v>
      </c>
      <c r="D43" s="115">
        <v>1110</v>
      </c>
      <c r="E43" s="115">
        <v>1110</v>
      </c>
      <c r="F43" s="115">
        <v>954</v>
      </c>
      <c r="G43" s="116">
        <v>156</v>
      </c>
      <c r="H43" s="367"/>
      <c r="I43" s="373"/>
      <c r="J43" s="373"/>
      <c r="K43" s="376"/>
      <c r="L43" s="367"/>
      <c r="M43" s="371"/>
    </row>
    <row r="44" spans="1:13" ht="33" customHeight="1" x14ac:dyDescent="0.3">
      <c r="A44" s="363"/>
      <c r="B44" s="361"/>
      <c r="C44" s="114" t="s">
        <v>201</v>
      </c>
      <c r="D44" s="115">
        <v>843</v>
      </c>
      <c r="E44" s="115">
        <v>860</v>
      </c>
      <c r="F44" s="115">
        <v>860</v>
      </c>
      <c r="G44" s="116">
        <v>0</v>
      </c>
      <c r="H44" s="367"/>
      <c r="I44" s="373"/>
      <c r="J44" s="373"/>
      <c r="K44" s="376"/>
      <c r="L44" s="367"/>
      <c r="M44" s="371"/>
    </row>
    <row r="45" spans="1:13" ht="94.5" customHeight="1" x14ac:dyDescent="0.3">
      <c r="A45" s="363" t="s">
        <v>202</v>
      </c>
      <c r="B45" s="361" t="s">
        <v>203</v>
      </c>
      <c r="C45" s="102"/>
      <c r="D45" s="110">
        <f>SUM(D46:D47)</f>
        <v>574</v>
      </c>
      <c r="E45" s="110">
        <f>SUM(E46:E47)</f>
        <v>224</v>
      </c>
      <c r="F45" s="110">
        <f>SUM(F46:F47)</f>
        <v>0</v>
      </c>
      <c r="G45" s="111">
        <f>SUM(G46:G47)</f>
        <v>224</v>
      </c>
      <c r="H45" s="105" t="s">
        <v>204</v>
      </c>
      <c r="I45" s="106" t="s">
        <v>29</v>
      </c>
      <c r="J45" s="106">
        <v>1</v>
      </c>
      <c r="K45" s="139">
        <v>0</v>
      </c>
      <c r="L45" s="105" t="s">
        <v>205</v>
      </c>
      <c r="M45" s="362" t="s">
        <v>206</v>
      </c>
    </row>
    <row r="46" spans="1:13" ht="47.25" customHeight="1" x14ac:dyDescent="0.3">
      <c r="A46" s="363"/>
      <c r="B46" s="361"/>
      <c r="C46" s="114"/>
      <c r="D46" s="115">
        <v>0</v>
      </c>
      <c r="E46" s="115">
        <v>0</v>
      </c>
      <c r="F46" s="115">
        <v>0</v>
      </c>
      <c r="G46" s="116">
        <v>0</v>
      </c>
      <c r="H46" s="367" t="s">
        <v>207</v>
      </c>
      <c r="I46" s="373" t="s">
        <v>29</v>
      </c>
      <c r="J46" s="373">
        <v>1</v>
      </c>
      <c r="K46" s="377">
        <v>0</v>
      </c>
      <c r="L46" s="367" t="s">
        <v>208</v>
      </c>
      <c r="M46" s="362"/>
    </row>
    <row r="47" spans="1:13" ht="15.6" x14ac:dyDescent="0.3">
      <c r="A47" s="363"/>
      <c r="B47" s="361"/>
      <c r="C47" s="114" t="s">
        <v>27</v>
      </c>
      <c r="D47" s="115">
        <v>574</v>
      </c>
      <c r="E47" s="115">
        <v>224</v>
      </c>
      <c r="F47" s="115">
        <v>0</v>
      </c>
      <c r="G47" s="116">
        <v>224</v>
      </c>
      <c r="H47" s="367"/>
      <c r="I47" s="373"/>
      <c r="J47" s="373"/>
      <c r="K47" s="377"/>
      <c r="L47" s="367"/>
      <c r="M47" s="362"/>
    </row>
    <row r="48" spans="1:13" ht="62.4" x14ac:dyDescent="0.3">
      <c r="A48" s="94" t="s">
        <v>209</v>
      </c>
      <c r="B48" s="137" t="s">
        <v>210</v>
      </c>
      <c r="C48" s="138"/>
      <c r="D48" s="95">
        <f>SUM(D49:D49)</f>
        <v>584.29999999999995</v>
      </c>
      <c r="E48" s="95">
        <f>SUM(E49:E49)</f>
        <v>294.7</v>
      </c>
      <c r="F48" s="95">
        <f>SUM(F49:F49)</f>
        <v>12.9</v>
      </c>
      <c r="G48" s="96">
        <f>SUM(G49:G49)</f>
        <v>281.8</v>
      </c>
      <c r="H48" s="375"/>
      <c r="I48" s="375"/>
      <c r="J48" s="375"/>
      <c r="K48" s="375"/>
      <c r="L48" s="375"/>
      <c r="M48" s="375"/>
    </row>
    <row r="49" spans="1:13" ht="78" x14ac:dyDescent="0.3">
      <c r="A49" s="97" t="s">
        <v>211</v>
      </c>
      <c r="B49" s="124" t="s">
        <v>212</v>
      </c>
      <c r="C49" s="125"/>
      <c r="D49" s="98">
        <f>D50+D53</f>
        <v>584.29999999999995</v>
      </c>
      <c r="E49" s="98">
        <f>E50+E53</f>
        <v>294.7</v>
      </c>
      <c r="F49" s="98">
        <f>F50+F53</f>
        <v>12.9</v>
      </c>
      <c r="G49" s="99">
        <f>G50+G53</f>
        <v>281.8</v>
      </c>
      <c r="H49" s="366"/>
      <c r="I49" s="366"/>
      <c r="J49" s="366"/>
      <c r="K49" s="366"/>
      <c r="L49" s="366"/>
      <c r="M49" s="366"/>
    </row>
    <row r="50" spans="1:13" ht="78.75" customHeight="1" x14ac:dyDescent="0.3">
      <c r="A50" s="363" t="s">
        <v>213</v>
      </c>
      <c r="B50" s="361" t="s">
        <v>214</v>
      </c>
      <c r="C50" s="102"/>
      <c r="D50" s="110">
        <f>SUM(D51:D52)</f>
        <v>301.40000000000003</v>
      </c>
      <c r="E50" s="110">
        <f>SUM(E51:E52)</f>
        <v>11.8</v>
      </c>
      <c r="F50" s="110">
        <f>SUM(F51:F52)</f>
        <v>0</v>
      </c>
      <c r="G50" s="111">
        <f>SUM(G51:G52)</f>
        <v>11.8</v>
      </c>
      <c r="H50" s="361" t="s">
        <v>215</v>
      </c>
      <c r="I50" s="364" t="s">
        <v>56</v>
      </c>
      <c r="J50" s="364">
        <v>100</v>
      </c>
      <c r="K50" s="378">
        <v>0</v>
      </c>
      <c r="L50" s="361" t="s">
        <v>216</v>
      </c>
      <c r="M50" s="362" t="s">
        <v>217</v>
      </c>
    </row>
    <row r="51" spans="1:13" ht="15.6" x14ac:dyDescent="0.3">
      <c r="A51" s="363"/>
      <c r="B51" s="361"/>
      <c r="C51" s="114" t="s">
        <v>200</v>
      </c>
      <c r="D51" s="115">
        <v>289.60000000000002</v>
      </c>
      <c r="E51" s="115">
        <v>0</v>
      </c>
      <c r="F51" s="115">
        <v>0</v>
      </c>
      <c r="G51" s="116">
        <v>0</v>
      </c>
      <c r="H51" s="361"/>
      <c r="I51" s="364"/>
      <c r="J51" s="364"/>
      <c r="K51" s="378"/>
      <c r="L51" s="361"/>
      <c r="M51" s="362"/>
    </row>
    <row r="52" spans="1:13" ht="15.6" x14ac:dyDescent="0.3">
      <c r="A52" s="363"/>
      <c r="B52" s="361"/>
      <c r="C52" s="114" t="s">
        <v>36</v>
      </c>
      <c r="D52" s="115">
        <v>11.8</v>
      </c>
      <c r="E52" s="115">
        <v>11.8</v>
      </c>
      <c r="F52" s="115">
        <v>0</v>
      </c>
      <c r="G52" s="116">
        <v>11.8</v>
      </c>
      <c r="H52" s="361"/>
      <c r="I52" s="364"/>
      <c r="J52" s="364"/>
      <c r="K52" s="378"/>
      <c r="L52" s="361"/>
      <c r="M52" s="362"/>
    </row>
    <row r="53" spans="1:13" ht="299.25" customHeight="1" x14ac:dyDescent="0.3">
      <c r="A53" s="363" t="s">
        <v>218</v>
      </c>
      <c r="B53" s="361" t="s">
        <v>219</v>
      </c>
      <c r="C53" s="102"/>
      <c r="D53" s="110">
        <f>SUM(D54:D55)</f>
        <v>282.89999999999998</v>
      </c>
      <c r="E53" s="110">
        <f>SUM(E54:E55)</f>
        <v>282.89999999999998</v>
      </c>
      <c r="F53" s="110">
        <f>SUM(F54:F55)</f>
        <v>12.9</v>
      </c>
      <c r="G53" s="111">
        <f>SUM(G54:G55)</f>
        <v>270</v>
      </c>
      <c r="H53" s="361" t="s">
        <v>215</v>
      </c>
      <c r="I53" s="364" t="s">
        <v>56</v>
      </c>
      <c r="J53" s="364">
        <v>100</v>
      </c>
      <c r="K53" s="379">
        <v>60</v>
      </c>
      <c r="L53" s="361" t="s">
        <v>220</v>
      </c>
      <c r="M53" s="362" t="s">
        <v>221</v>
      </c>
    </row>
    <row r="54" spans="1:13" ht="15.6" x14ac:dyDescent="0.3">
      <c r="A54" s="363"/>
      <c r="B54" s="361"/>
      <c r="C54" s="114" t="s">
        <v>36</v>
      </c>
      <c r="D54" s="115">
        <v>113.4</v>
      </c>
      <c r="E54" s="115">
        <v>113.4</v>
      </c>
      <c r="F54" s="115">
        <v>0</v>
      </c>
      <c r="G54" s="116">
        <v>113.4</v>
      </c>
      <c r="H54" s="361"/>
      <c r="I54" s="364"/>
      <c r="J54" s="364"/>
      <c r="K54" s="379"/>
      <c r="L54" s="361"/>
      <c r="M54" s="362"/>
    </row>
    <row r="55" spans="1:13" ht="15.6" x14ac:dyDescent="0.3">
      <c r="A55" s="363"/>
      <c r="B55" s="361"/>
      <c r="C55" s="133" t="s">
        <v>27</v>
      </c>
      <c r="D55" s="142">
        <v>169.5</v>
      </c>
      <c r="E55" s="142">
        <v>169.5</v>
      </c>
      <c r="F55" s="142">
        <v>12.9</v>
      </c>
      <c r="G55" s="143">
        <v>156.6</v>
      </c>
      <c r="H55" s="361"/>
      <c r="I55" s="364"/>
      <c r="J55" s="364"/>
      <c r="K55" s="379"/>
      <c r="L55" s="361"/>
      <c r="M55" s="362"/>
    </row>
    <row r="56" spans="1:13" ht="15.6" x14ac:dyDescent="0.3">
      <c r="A56" s="144"/>
      <c r="B56" s="145"/>
      <c r="C56" s="146"/>
      <c r="D56" s="147"/>
      <c r="E56" s="147"/>
      <c r="F56" s="147"/>
      <c r="G56" s="147"/>
      <c r="H56" s="146"/>
      <c r="I56" s="148"/>
      <c r="J56" s="149"/>
      <c r="K56" s="149"/>
      <c r="L56" s="146"/>
      <c r="M56" s="146"/>
    </row>
    <row r="57" spans="1:13" ht="15.6" customHeight="1" x14ac:dyDescent="0.3">
      <c r="A57" s="144"/>
      <c r="B57" s="380" t="s">
        <v>100</v>
      </c>
      <c r="C57" s="380"/>
      <c r="D57" s="380"/>
      <c r="E57" s="380"/>
      <c r="F57" s="147"/>
      <c r="G57" s="147"/>
      <c r="H57" s="146"/>
      <c r="I57" s="148"/>
      <c r="J57" s="149"/>
      <c r="K57" s="149"/>
      <c r="L57" s="146"/>
      <c r="M57" s="146"/>
    </row>
    <row r="58" spans="1:13" ht="15.6" x14ac:dyDescent="0.3">
      <c r="A58" s="144"/>
      <c r="B58" s="145"/>
      <c r="C58" s="146"/>
      <c r="D58" s="147"/>
      <c r="E58" s="147"/>
      <c r="F58" s="147"/>
      <c r="G58" s="147"/>
      <c r="H58" s="146"/>
      <c r="I58" s="148"/>
      <c r="J58" s="149"/>
      <c r="K58" s="149"/>
      <c r="L58" s="146"/>
      <c r="M58" s="146"/>
    </row>
    <row r="59" spans="1:13" ht="101.25" customHeight="1" x14ac:dyDescent="0.3">
      <c r="A59" s="150" t="s">
        <v>5</v>
      </c>
      <c r="B59" s="150" t="s">
        <v>101</v>
      </c>
      <c r="C59" s="150" t="s">
        <v>222</v>
      </c>
      <c r="D59" s="150" t="s">
        <v>223</v>
      </c>
      <c r="E59" s="150" t="s">
        <v>104</v>
      </c>
      <c r="F59" s="150" t="s">
        <v>9</v>
      </c>
      <c r="G59" s="151"/>
      <c r="H59" s="151"/>
      <c r="I59" s="151"/>
      <c r="J59" s="151"/>
      <c r="K59" s="152"/>
      <c r="L59" s="153" t="s">
        <v>101</v>
      </c>
      <c r="M59" s="153" t="s">
        <v>105</v>
      </c>
    </row>
    <row r="60" spans="1:13" ht="46.8" x14ac:dyDescent="0.3">
      <c r="A60" s="154" t="s">
        <v>106</v>
      </c>
      <c r="B60" s="123" t="s">
        <v>107</v>
      </c>
      <c r="C60" s="155">
        <f>SUM(C61:C65)</f>
        <v>8516.2999999999993</v>
      </c>
      <c r="D60" s="155">
        <f>SUM(D61:D65)</f>
        <v>7390.5000000000009</v>
      </c>
      <c r="E60" s="155">
        <f>SUM(E61:E65)</f>
        <v>6558.5</v>
      </c>
      <c r="F60" s="155">
        <f>SUM(F61:F65)</f>
        <v>832</v>
      </c>
      <c r="G60" s="151"/>
      <c r="H60" s="151"/>
      <c r="I60" s="151"/>
      <c r="J60" s="151"/>
      <c r="K60" s="156"/>
      <c r="L60" s="157" t="s">
        <v>108</v>
      </c>
      <c r="M60" s="153">
        <v>4</v>
      </c>
    </row>
    <row r="61" spans="1:13" ht="62.4" x14ac:dyDescent="0.3">
      <c r="A61" s="154" t="s">
        <v>27</v>
      </c>
      <c r="B61" s="123" t="s">
        <v>109</v>
      </c>
      <c r="C61" s="116">
        <v>5974.2</v>
      </c>
      <c r="D61" s="116">
        <v>5099.1000000000004</v>
      </c>
      <c r="E61" s="116">
        <v>4565.2</v>
      </c>
      <c r="F61" s="116">
        <v>533.9</v>
      </c>
      <c r="G61" s="151"/>
      <c r="H61" s="151"/>
      <c r="I61" s="151"/>
      <c r="J61" s="151"/>
      <c r="K61" s="158"/>
      <c r="L61" s="157" t="s">
        <v>110</v>
      </c>
      <c r="M61" s="153">
        <v>5</v>
      </c>
    </row>
    <row r="62" spans="1:13" ht="62.4" x14ac:dyDescent="0.3">
      <c r="A62" s="154" t="s">
        <v>201</v>
      </c>
      <c r="B62" s="123" t="s">
        <v>224</v>
      </c>
      <c r="C62" s="116">
        <v>843</v>
      </c>
      <c r="D62" s="116">
        <v>860</v>
      </c>
      <c r="E62" s="116">
        <v>860</v>
      </c>
      <c r="F62" s="116">
        <v>0</v>
      </c>
      <c r="G62" s="151"/>
      <c r="H62" s="151"/>
      <c r="I62" s="151"/>
      <c r="J62" s="151"/>
      <c r="K62" s="159"/>
      <c r="L62" s="157" t="s">
        <v>112</v>
      </c>
      <c r="M62" s="153">
        <v>2</v>
      </c>
    </row>
    <row r="63" spans="1:13" ht="31.2" x14ac:dyDescent="0.3">
      <c r="A63" s="154" t="s">
        <v>200</v>
      </c>
      <c r="B63" s="123" t="s">
        <v>225</v>
      </c>
      <c r="C63" s="116">
        <v>1399.6</v>
      </c>
      <c r="D63" s="116">
        <v>1110</v>
      </c>
      <c r="E63" s="116">
        <v>954</v>
      </c>
      <c r="F63" s="116">
        <v>156</v>
      </c>
      <c r="G63" s="151"/>
      <c r="H63" s="151"/>
      <c r="I63" s="151"/>
      <c r="J63" s="151"/>
      <c r="K63" s="160"/>
      <c r="L63" s="161" t="s">
        <v>114</v>
      </c>
      <c r="M63" s="162">
        <v>11</v>
      </c>
    </row>
    <row r="64" spans="1:13" ht="31.2" x14ac:dyDescent="0.3">
      <c r="A64" s="154" t="s">
        <v>182</v>
      </c>
      <c r="B64" s="123" t="s">
        <v>226</v>
      </c>
      <c r="C64" s="116">
        <v>105.4</v>
      </c>
      <c r="D64" s="116">
        <v>127.3</v>
      </c>
      <c r="E64" s="116">
        <v>121.8</v>
      </c>
      <c r="F64" s="116">
        <v>5.5</v>
      </c>
      <c r="G64" s="151"/>
      <c r="H64" s="151"/>
      <c r="I64" s="151"/>
      <c r="J64" s="151"/>
      <c r="K64" s="151"/>
      <c r="L64" s="151"/>
      <c r="M64" s="151"/>
    </row>
    <row r="65" spans="1:13" ht="46.8" x14ac:dyDescent="0.3">
      <c r="A65" s="154" t="s">
        <v>36</v>
      </c>
      <c r="B65" s="123" t="s">
        <v>111</v>
      </c>
      <c r="C65" s="116">
        <v>194.1</v>
      </c>
      <c r="D65" s="116">
        <v>194.1</v>
      </c>
      <c r="E65" s="116">
        <v>57.5</v>
      </c>
      <c r="F65" s="116">
        <v>136.6</v>
      </c>
      <c r="G65" s="151"/>
      <c r="H65" s="151"/>
      <c r="I65" s="151"/>
      <c r="J65" s="151"/>
      <c r="K65" s="151"/>
      <c r="L65" s="151"/>
      <c r="M65" s="151"/>
    </row>
    <row r="66" spans="1:13" ht="15.6" x14ac:dyDescent="0.3">
      <c r="A66" s="163"/>
      <c r="B66" s="164" t="s">
        <v>113</v>
      </c>
      <c r="C66" s="165">
        <f>SUM(C60:C60)</f>
        <v>8516.2999999999993</v>
      </c>
      <c r="D66" s="165">
        <f>SUM(D60:D60)</f>
        <v>7390.5000000000009</v>
      </c>
      <c r="E66" s="165">
        <f>SUM(E60:E60)</f>
        <v>6558.5</v>
      </c>
      <c r="F66" s="165">
        <f>SUM(F60:F60)</f>
        <v>832</v>
      </c>
      <c r="G66" s="151"/>
      <c r="H66" s="151"/>
      <c r="I66" s="151"/>
      <c r="J66" s="151"/>
      <c r="K66" s="151"/>
      <c r="L66" s="151"/>
      <c r="M66" s="151"/>
    </row>
    <row r="67" spans="1:13" ht="15.6" x14ac:dyDescent="0.3">
      <c r="A67" s="151"/>
      <c r="B67" s="151"/>
      <c r="C67" s="151"/>
      <c r="D67" s="151"/>
      <c r="E67" s="151"/>
      <c r="F67" s="151"/>
      <c r="G67" s="151"/>
      <c r="H67" s="151"/>
      <c r="I67" s="151"/>
      <c r="J67" s="151"/>
      <c r="K67" s="151"/>
      <c r="L67" s="151"/>
      <c r="M67" s="151"/>
    </row>
  </sheetData>
  <mergeCells count="90">
    <mergeCell ref="K53:K55"/>
    <mergeCell ref="L53:L55"/>
    <mergeCell ref="M53:M55"/>
    <mergeCell ref="B57:E57"/>
    <mergeCell ref="A53:A55"/>
    <mergeCell ref="B53:B55"/>
    <mergeCell ref="H53:H55"/>
    <mergeCell ref="I53:I55"/>
    <mergeCell ref="J53:J55"/>
    <mergeCell ref="H48:M48"/>
    <mergeCell ref="H49:M49"/>
    <mergeCell ref="A50:A52"/>
    <mergeCell ref="B50:B52"/>
    <mergeCell ref="H50:H52"/>
    <mergeCell ref="I50:I52"/>
    <mergeCell ref="J50:J52"/>
    <mergeCell ref="K50:K52"/>
    <mergeCell ref="L50:L52"/>
    <mergeCell ref="M50:M52"/>
    <mergeCell ref="A45:A47"/>
    <mergeCell ref="B45:B47"/>
    <mergeCell ref="M45:M47"/>
    <mergeCell ref="H46:H47"/>
    <mergeCell ref="I46:I47"/>
    <mergeCell ref="J46:J47"/>
    <mergeCell ref="K46:K47"/>
    <mergeCell ref="L46:L47"/>
    <mergeCell ref="H38:M38"/>
    <mergeCell ref="H39:M39"/>
    <mergeCell ref="A40:A44"/>
    <mergeCell ref="B40:B44"/>
    <mergeCell ref="H41:H44"/>
    <mergeCell ref="I41:I44"/>
    <mergeCell ref="J41:J44"/>
    <mergeCell ref="K41:K44"/>
    <mergeCell ref="L41:L44"/>
    <mergeCell ref="M41:M44"/>
    <mergeCell ref="A35:A37"/>
    <mergeCell ref="B35:B37"/>
    <mergeCell ref="L35:L37"/>
    <mergeCell ref="M35:M37"/>
    <mergeCell ref="H36:H37"/>
    <mergeCell ref="I36:I37"/>
    <mergeCell ref="J36:J37"/>
    <mergeCell ref="K36:K37"/>
    <mergeCell ref="L21:L22"/>
    <mergeCell ref="H23:M23"/>
    <mergeCell ref="A24:A34"/>
    <mergeCell ref="B24:B34"/>
    <mergeCell ref="H31:H34"/>
    <mergeCell ref="I31:I34"/>
    <mergeCell ref="J31:J34"/>
    <mergeCell ref="K31:K34"/>
    <mergeCell ref="L31:L34"/>
    <mergeCell ref="M31:M34"/>
    <mergeCell ref="K16:K17"/>
    <mergeCell ref="L16:L17"/>
    <mergeCell ref="M16:M17"/>
    <mergeCell ref="A18:A19"/>
    <mergeCell ref="B18:B19"/>
    <mergeCell ref="A16:A17"/>
    <mergeCell ref="B16:B17"/>
    <mergeCell ref="H16:H17"/>
    <mergeCell ref="I16:I17"/>
    <mergeCell ref="J16:J17"/>
    <mergeCell ref="B12:C12"/>
    <mergeCell ref="H12:M12"/>
    <mergeCell ref="B13:C13"/>
    <mergeCell ref="H13:M13"/>
    <mergeCell ref="B14:C14"/>
    <mergeCell ref="H14:M14"/>
    <mergeCell ref="H9:K9"/>
    <mergeCell ref="L9:L11"/>
    <mergeCell ref="M9:M11"/>
    <mergeCell ref="D10:D11"/>
    <mergeCell ref="E10:E11"/>
    <mergeCell ref="F10:F11"/>
    <mergeCell ref="H10:I11"/>
    <mergeCell ref="J10:J11"/>
    <mergeCell ref="K10:K11"/>
    <mergeCell ref="A9:A11"/>
    <mergeCell ref="B9:B11"/>
    <mergeCell ref="C9:C11"/>
    <mergeCell ref="D9:F9"/>
    <mergeCell ref="G9:G11"/>
    <mergeCell ref="L1:M1"/>
    <mergeCell ref="L2:M2"/>
    <mergeCell ref="L3:M3"/>
    <mergeCell ref="A5:M5"/>
    <mergeCell ref="A6:M6"/>
  </mergeCells>
  <pageMargins left="0.23611111111111099" right="0.23611111111111099" top="0.74791666666666701" bottom="0.74791666666666701" header="0.51180555555555496" footer="0.51180555555555496"/>
  <pageSetup paperSize="9" scale="85" firstPageNumber="0"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87"/>
  <sheetViews>
    <sheetView topLeftCell="A15" zoomScale="50" zoomScaleNormal="50" workbookViewId="0">
      <selection activeCell="K76" sqref="K76"/>
    </sheetView>
  </sheetViews>
  <sheetFormatPr defaultColWidth="9.109375" defaultRowHeight="14.4" x14ac:dyDescent="0.3"/>
  <cols>
    <col min="1" max="1" width="9.6640625" style="86" customWidth="1"/>
    <col min="2" max="2" width="32.109375" style="86" customWidth="1"/>
    <col min="3" max="3" width="10.44140625" style="86" customWidth="1"/>
    <col min="4" max="4" width="12.6640625" style="86" customWidth="1"/>
    <col min="5" max="5" width="12.33203125" style="86" customWidth="1"/>
    <col min="6" max="6" width="12.109375" style="86" customWidth="1"/>
    <col min="7" max="7" width="0.88671875" style="86" hidden="1" customWidth="1"/>
    <col min="8" max="8" width="16.88671875" style="86" customWidth="1"/>
    <col min="9" max="9" width="6.109375" style="86" customWidth="1"/>
    <col min="10" max="10" width="8" style="86" customWidth="1"/>
    <col min="11" max="11" width="8.5546875" style="86" customWidth="1"/>
    <col min="12" max="12" width="36.44140625" style="86" customWidth="1"/>
    <col min="13" max="13" width="49.88671875" style="86" customWidth="1"/>
    <col min="14" max="1024" width="9.109375" style="86"/>
  </cols>
  <sheetData>
    <row r="1" spans="1:13" x14ac:dyDescent="0.3">
      <c r="M1" s="87" t="s">
        <v>0</v>
      </c>
    </row>
    <row r="2" spans="1:13" x14ac:dyDescent="0.3">
      <c r="M2" s="87" t="s">
        <v>1</v>
      </c>
    </row>
    <row r="3" spans="1:13" x14ac:dyDescent="0.3">
      <c r="M3" s="87" t="s">
        <v>2</v>
      </c>
    </row>
    <row r="4" spans="1:13" s="90" customFormat="1" ht="12" customHeight="1" x14ac:dyDescent="0.3">
      <c r="A4" s="381"/>
      <c r="B4" s="381"/>
      <c r="C4" s="381"/>
      <c r="D4" s="381"/>
      <c r="E4" s="381"/>
      <c r="F4" s="381"/>
      <c r="G4" s="381"/>
      <c r="H4" s="381"/>
      <c r="I4" s="381"/>
      <c r="J4" s="381"/>
      <c r="K4" s="381"/>
      <c r="L4" s="381"/>
      <c r="M4" s="381"/>
    </row>
    <row r="5" spans="1:13" ht="15.6" x14ac:dyDescent="0.3">
      <c r="A5" s="344" t="s">
        <v>3</v>
      </c>
      <c r="B5" s="344"/>
      <c r="C5" s="344"/>
      <c r="D5" s="344"/>
      <c r="E5" s="344"/>
      <c r="F5" s="344"/>
      <c r="G5" s="344"/>
      <c r="H5" s="344"/>
      <c r="I5" s="344"/>
      <c r="J5" s="344"/>
      <c r="K5" s="344"/>
      <c r="L5" s="344"/>
      <c r="M5" s="344"/>
    </row>
    <row r="6" spans="1:13" ht="15.6" x14ac:dyDescent="0.3">
      <c r="A6" s="344" t="s">
        <v>227</v>
      </c>
      <c r="B6" s="344"/>
      <c r="C6" s="344"/>
      <c r="D6" s="344"/>
      <c r="E6" s="344"/>
      <c r="F6" s="344"/>
      <c r="G6" s="344"/>
      <c r="H6" s="344"/>
      <c r="I6" s="344"/>
      <c r="J6" s="344"/>
      <c r="K6" s="344"/>
      <c r="L6" s="344"/>
      <c r="M6" s="344"/>
    </row>
    <row r="7" spans="1:13" ht="15.6" x14ac:dyDescent="0.3">
      <c r="A7" s="88"/>
      <c r="B7" s="88"/>
      <c r="C7" s="88"/>
      <c r="D7" s="88"/>
      <c r="E7" s="88"/>
      <c r="F7" s="88"/>
      <c r="G7" s="88"/>
      <c r="H7" s="88"/>
      <c r="I7" s="88"/>
      <c r="J7" s="88"/>
      <c r="K7" s="88"/>
      <c r="L7" s="88"/>
      <c r="M7" s="88"/>
    </row>
    <row r="9" spans="1:13" ht="15.6" customHeight="1" x14ac:dyDescent="0.3">
      <c r="A9" s="382" t="s">
        <v>5</v>
      </c>
      <c r="B9" s="383" t="s">
        <v>6</v>
      </c>
      <c r="C9" s="383" t="s">
        <v>7</v>
      </c>
      <c r="D9" s="384" t="s">
        <v>8</v>
      </c>
      <c r="E9" s="384"/>
      <c r="F9" s="384"/>
      <c r="G9" s="383" t="s">
        <v>9</v>
      </c>
      <c r="H9" s="384" t="s">
        <v>10</v>
      </c>
      <c r="I9" s="384"/>
      <c r="J9" s="384"/>
      <c r="K9" s="384"/>
      <c r="L9" s="385" t="s">
        <v>11</v>
      </c>
      <c r="M9" s="387" t="s">
        <v>12</v>
      </c>
    </row>
    <row r="10" spans="1:13" ht="15.75" customHeight="1" x14ac:dyDescent="0.3">
      <c r="A10" s="382"/>
      <c r="B10" s="383"/>
      <c r="C10" s="383"/>
      <c r="D10" s="388" t="s">
        <v>13</v>
      </c>
      <c r="E10" s="388" t="s">
        <v>14</v>
      </c>
      <c r="F10" s="388" t="s">
        <v>15</v>
      </c>
      <c r="G10" s="383"/>
      <c r="H10" s="388" t="s">
        <v>16</v>
      </c>
      <c r="I10" s="388"/>
      <c r="J10" s="388" t="s">
        <v>17</v>
      </c>
      <c r="K10" s="386" t="s">
        <v>18</v>
      </c>
      <c r="L10" s="385"/>
      <c r="M10" s="387"/>
    </row>
    <row r="11" spans="1:13" ht="31.5" customHeight="1" x14ac:dyDescent="0.3">
      <c r="A11" s="382"/>
      <c r="B11" s="383"/>
      <c r="C11" s="383"/>
      <c r="D11" s="388"/>
      <c r="E11" s="388"/>
      <c r="F11" s="388"/>
      <c r="G11" s="383"/>
      <c r="H11" s="388"/>
      <c r="I11" s="388"/>
      <c r="J11" s="388"/>
      <c r="K11" s="386"/>
      <c r="L11" s="386"/>
      <c r="M11" s="387"/>
    </row>
    <row r="12" spans="1:13" ht="27" customHeight="1" x14ac:dyDescent="0.3">
      <c r="A12" s="91" t="s">
        <v>228</v>
      </c>
      <c r="B12" s="167" t="s">
        <v>229</v>
      </c>
      <c r="C12" s="168"/>
      <c r="D12" s="93">
        <f>D13+D71</f>
        <v>6252.9000000000005</v>
      </c>
      <c r="E12" s="93">
        <f>E13+E71</f>
        <v>5297.5</v>
      </c>
      <c r="F12" s="93">
        <f>F13+F71</f>
        <v>4156.5000000000009</v>
      </c>
      <c r="G12" s="93">
        <f>G13+G71+0.1</f>
        <v>1140.9999999999998</v>
      </c>
      <c r="H12" s="355"/>
      <c r="I12" s="355"/>
      <c r="J12" s="355"/>
      <c r="K12" s="355"/>
      <c r="L12" s="355"/>
      <c r="M12" s="355"/>
    </row>
    <row r="13" spans="1:13" ht="51" customHeight="1" x14ac:dyDescent="0.3">
      <c r="A13" s="94" t="s">
        <v>230</v>
      </c>
      <c r="B13" s="356" t="s">
        <v>231</v>
      </c>
      <c r="C13" s="356"/>
      <c r="D13" s="96">
        <f>D14+D28+D35+D39+D46+D59+D66+0.1</f>
        <v>6226.5000000000009</v>
      </c>
      <c r="E13" s="96">
        <f>E14+E28+E35+E39+E46+E59+E66+0.1</f>
        <v>5271.1</v>
      </c>
      <c r="F13" s="96">
        <f>F14+F28+F35+F39+F46+F59+F66-0.2</f>
        <v>4138.6000000000013</v>
      </c>
      <c r="G13" s="96">
        <f>G14+G28+G35+G39+G46+G59+G66</f>
        <v>1132.3999999999999</v>
      </c>
      <c r="H13" s="357"/>
      <c r="I13" s="357"/>
      <c r="J13" s="357"/>
      <c r="K13" s="357"/>
      <c r="L13" s="357"/>
      <c r="M13" s="357"/>
    </row>
    <row r="14" spans="1:13" ht="37.5" customHeight="1" x14ac:dyDescent="0.3">
      <c r="A14" s="97" t="s">
        <v>232</v>
      </c>
      <c r="B14" s="358" t="s">
        <v>233</v>
      </c>
      <c r="C14" s="358"/>
      <c r="D14" s="99">
        <f>D15+D20+D24</f>
        <v>3902.1</v>
      </c>
      <c r="E14" s="99">
        <f>E15+E20+E24</f>
        <v>3900.6</v>
      </c>
      <c r="F14" s="99">
        <f>F15+F20+F24</f>
        <v>3131.3</v>
      </c>
      <c r="G14" s="99">
        <f>G15+G20+G24</f>
        <v>769.3</v>
      </c>
      <c r="H14" s="359"/>
      <c r="I14" s="359"/>
      <c r="J14" s="359"/>
      <c r="K14" s="359"/>
      <c r="L14" s="359"/>
      <c r="M14" s="359"/>
    </row>
    <row r="15" spans="1:13" ht="68.25" customHeight="1" x14ac:dyDescent="0.3">
      <c r="A15" s="363" t="s">
        <v>234</v>
      </c>
      <c r="B15" s="361" t="s">
        <v>235</v>
      </c>
      <c r="C15" s="102"/>
      <c r="D15" s="111">
        <f>SUM(D16:D19)</f>
        <v>3651.1</v>
      </c>
      <c r="E15" s="111">
        <f>SUM(E16:E19)</f>
        <v>3669.1</v>
      </c>
      <c r="F15" s="111">
        <f>SUM(F16:F19)+0.1</f>
        <v>3117.6</v>
      </c>
      <c r="G15" s="111">
        <f>SUM(G16:G19)-0.1</f>
        <v>551.5</v>
      </c>
      <c r="H15" s="105" t="s">
        <v>236</v>
      </c>
      <c r="I15" s="106" t="s">
        <v>29</v>
      </c>
      <c r="J15" s="169">
        <v>13</v>
      </c>
      <c r="K15" s="117">
        <v>213</v>
      </c>
      <c r="L15" s="105" t="s">
        <v>237</v>
      </c>
      <c r="M15" s="108"/>
    </row>
    <row r="16" spans="1:13" ht="241.5" customHeight="1" x14ac:dyDescent="0.3">
      <c r="A16" s="363"/>
      <c r="B16" s="361"/>
      <c r="C16" s="114"/>
      <c r="D16" s="116">
        <v>0</v>
      </c>
      <c r="E16" s="116">
        <v>0</v>
      </c>
      <c r="F16" s="116">
        <v>0</v>
      </c>
      <c r="G16" s="116">
        <v>0</v>
      </c>
      <c r="H16" s="118" t="s">
        <v>238</v>
      </c>
      <c r="I16" s="119" t="s">
        <v>239</v>
      </c>
      <c r="J16" s="170">
        <v>36</v>
      </c>
      <c r="K16" s="128">
        <v>39</v>
      </c>
      <c r="L16" s="118" t="s">
        <v>240</v>
      </c>
      <c r="M16" s="121" t="s">
        <v>241</v>
      </c>
    </row>
    <row r="17" spans="1:13" ht="21.75" customHeight="1" x14ac:dyDescent="0.3">
      <c r="A17" s="363"/>
      <c r="B17" s="361"/>
      <c r="C17" s="114" t="s">
        <v>242</v>
      </c>
      <c r="D17" s="116">
        <v>8.5</v>
      </c>
      <c r="E17" s="116">
        <v>26.5</v>
      </c>
      <c r="F17" s="116">
        <v>26.4</v>
      </c>
      <c r="G17" s="116">
        <v>0.1</v>
      </c>
      <c r="H17" s="367" t="s">
        <v>243</v>
      </c>
      <c r="I17" s="373" t="s">
        <v>29</v>
      </c>
      <c r="J17" s="373">
        <v>350</v>
      </c>
      <c r="K17" s="374">
        <v>500</v>
      </c>
      <c r="L17" s="367" t="s">
        <v>244</v>
      </c>
      <c r="M17" s="371"/>
    </row>
    <row r="18" spans="1:13" ht="15.6" x14ac:dyDescent="0.3">
      <c r="A18" s="363"/>
      <c r="B18" s="361"/>
      <c r="C18" s="114" t="s">
        <v>27</v>
      </c>
      <c r="D18" s="116">
        <v>3204.9</v>
      </c>
      <c r="E18" s="116">
        <v>3204.9</v>
      </c>
      <c r="F18" s="116">
        <v>2653.4</v>
      </c>
      <c r="G18" s="116">
        <v>551.5</v>
      </c>
      <c r="H18" s="367"/>
      <c r="I18" s="373"/>
      <c r="J18" s="373"/>
      <c r="K18" s="374"/>
      <c r="L18" s="367"/>
      <c r="M18" s="371"/>
    </row>
    <row r="19" spans="1:13" ht="15.6" x14ac:dyDescent="0.3">
      <c r="A19" s="363"/>
      <c r="B19" s="361"/>
      <c r="C19" s="114" t="s">
        <v>36</v>
      </c>
      <c r="D19" s="116">
        <v>437.7</v>
      </c>
      <c r="E19" s="116">
        <v>437.7</v>
      </c>
      <c r="F19" s="116">
        <v>437.7</v>
      </c>
      <c r="G19" s="116">
        <v>0</v>
      </c>
      <c r="H19" s="367"/>
      <c r="I19" s="373"/>
      <c r="J19" s="373"/>
      <c r="K19" s="374"/>
      <c r="L19" s="367"/>
      <c r="M19" s="371"/>
    </row>
    <row r="20" spans="1:13" ht="47.25" customHeight="1" x14ac:dyDescent="0.3">
      <c r="A20" s="363" t="s">
        <v>245</v>
      </c>
      <c r="B20" s="361" t="s">
        <v>246</v>
      </c>
      <c r="C20" s="102"/>
      <c r="D20" s="111">
        <f>SUM(D21:D23)</f>
        <v>32</v>
      </c>
      <c r="E20" s="111">
        <f>SUM(E21:E23)</f>
        <v>12.5</v>
      </c>
      <c r="F20" s="111">
        <f>SUM(F21:F23)-0.1</f>
        <v>12.4</v>
      </c>
      <c r="G20" s="111">
        <f>SUM(G21:G23)+0.1</f>
        <v>0.1</v>
      </c>
      <c r="H20" s="361" t="s">
        <v>247</v>
      </c>
      <c r="I20" s="364" t="s">
        <v>56</v>
      </c>
      <c r="J20" s="364">
        <v>100</v>
      </c>
      <c r="K20" s="360">
        <v>100</v>
      </c>
      <c r="L20" s="372" t="s">
        <v>248</v>
      </c>
      <c r="M20" s="389" t="s">
        <v>249</v>
      </c>
    </row>
    <row r="21" spans="1:13" ht="15.6" x14ac:dyDescent="0.3">
      <c r="A21" s="363"/>
      <c r="B21" s="361"/>
      <c r="C21" s="114" t="s">
        <v>27</v>
      </c>
      <c r="D21" s="116">
        <v>5</v>
      </c>
      <c r="E21" s="116">
        <v>5.4</v>
      </c>
      <c r="F21" s="116">
        <v>5.4</v>
      </c>
      <c r="G21" s="116">
        <v>0</v>
      </c>
      <c r="H21" s="361"/>
      <c r="I21" s="364"/>
      <c r="J21" s="364"/>
      <c r="K21" s="360"/>
      <c r="L21" s="372"/>
      <c r="M21" s="389"/>
    </row>
    <row r="22" spans="1:13" ht="15.6" x14ac:dyDescent="0.3">
      <c r="A22" s="363"/>
      <c r="B22" s="361"/>
      <c r="C22" s="114" t="s">
        <v>242</v>
      </c>
      <c r="D22" s="116">
        <v>23.5</v>
      </c>
      <c r="E22" s="116">
        <v>3.6</v>
      </c>
      <c r="F22" s="116">
        <v>3.6</v>
      </c>
      <c r="G22" s="116">
        <v>0</v>
      </c>
      <c r="H22" s="361"/>
      <c r="I22" s="364"/>
      <c r="J22" s="364"/>
      <c r="K22" s="360"/>
      <c r="L22" s="372"/>
      <c r="M22" s="389"/>
    </row>
    <row r="23" spans="1:13" ht="128.25" customHeight="1" x14ac:dyDescent="0.3">
      <c r="A23" s="363"/>
      <c r="B23" s="361"/>
      <c r="C23" s="114" t="s">
        <v>36</v>
      </c>
      <c r="D23" s="116">
        <v>3.5</v>
      </c>
      <c r="E23" s="116">
        <v>3.5</v>
      </c>
      <c r="F23" s="116">
        <v>3.5</v>
      </c>
      <c r="G23" s="116">
        <v>0</v>
      </c>
      <c r="H23" s="361"/>
      <c r="I23" s="364"/>
      <c r="J23" s="364"/>
      <c r="K23" s="360"/>
      <c r="L23" s="372"/>
      <c r="M23" s="389"/>
    </row>
    <row r="24" spans="1:13" ht="63" customHeight="1" x14ac:dyDescent="0.3">
      <c r="A24" s="363" t="s">
        <v>250</v>
      </c>
      <c r="B24" s="372" t="s">
        <v>251</v>
      </c>
      <c r="C24" s="102"/>
      <c r="D24" s="111">
        <f>SUM(D25:D25)</f>
        <v>219</v>
      </c>
      <c r="E24" s="111">
        <f>SUM(E25:E25)</f>
        <v>219</v>
      </c>
      <c r="F24" s="111">
        <f>SUM(F25:F25)</f>
        <v>1.3</v>
      </c>
      <c r="G24" s="111">
        <f>SUM(G25:G25)</f>
        <v>217.7</v>
      </c>
      <c r="H24" s="390" t="s">
        <v>252</v>
      </c>
      <c r="I24" s="391" t="s">
        <v>253</v>
      </c>
      <c r="J24" s="391">
        <v>289</v>
      </c>
      <c r="K24" s="392">
        <v>22</v>
      </c>
      <c r="L24" s="390" t="s">
        <v>254</v>
      </c>
      <c r="M24" s="393" t="s">
        <v>255</v>
      </c>
    </row>
    <row r="25" spans="1:13" ht="80.25" customHeight="1" x14ac:dyDescent="0.3">
      <c r="A25" s="363"/>
      <c r="B25" s="372"/>
      <c r="C25" s="114" t="s">
        <v>27</v>
      </c>
      <c r="D25" s="116">
        <v>219</v>
      </c>
      <c r="E25" s="116">
        <v>219</v>
      </c>
      <c r="F25" s="116">
        <v>1.3</v>
      </c>
      <c r="G25" s="116">
        <v>217.7</v>
      </c>
      <c r="H25" s="390"/>
      <c r="I25" s="391"/>
      <c r="J25" s="391"/>
      <c r="K25" s="392"/>
      <c r="L25" s="390"/>
      <c r="M25" s="393"/>
    </row>
    <row r="26" spans="1:13" ht="399.75" customHeight="1" x14ac:dyDescent="0.3">
      <c r="A26" s="363"/>
      <c r="B26" s="372"/>
      <c r="C26" s="171"/>
      <c r="D26" s="172"/>
      <c r="E26" s="172"/>
      <c r="F26" s="172"/>
      <c r="G26" s="173"/>
      <c r="H26" s="174" t="s">
        <v>256</v>
      </c>
      <c r="I26" s="175" t="s">
        <v>253</v>
      </c>
      <c r="J26" s="175">
        <v>1</v>
      </c>
      <c r="K26" s="176">
        <v>0</v>
      </c>
      <c r="L26" s="177"/>
      <c r="M26" s="174" t="s">
        <v>257</v>
      </c>
    </row>
    <row r="27" spans="1:13" ht="124.8" x14ac:dyDescent="0.3">
      <c r="A27" s="363"/>
      <c r="B27" s="372"/>
      <c r="C27" s="171"/>
      <c r="D27" s="172"/>
      <c r="E27" s="172"/>
      <c r="F27" s="172"/>
      <c r="G27" s="173"/>
      <c r="H27" s="178" t="s">
        <v>258</v>
      </c>
      <c r="I27" s="179" t="s">
        <v>29</v>
      </c>
      <c r="J27" s="179">
        <v>1</v>
      </c>
      <c r="K27" s="128">
        <v>1</v>
      </c>
      <c r="L27" s="178" t="s">
        <v>259</v>
      </c>
      <c r="M27" s="178"/>
    </row>
    <row r="28" spans="1:13" ht="46.8" x14ac:dyDescent="0.3">
      <c r="A28" s="97" t="s">
        <v>260</v>
      </c>
      <c r="B28" s="124" t="s">
        <v>261</v>
      </c>
      <c r="C28" s="125"/>
      <c r="D28" s="99">
        <f>D29+D30+D33+D34</f>
        <v>205.3</v>
      </c>
      <c r="E28" s="99">
        <f>E29+E30+E33+E34</f>
        <v>204.9</v>
      </c>
      <c r="F28" s="99">
        <f>F29+F30+F33+F34</f>
        <v>141.29999999999998</v>
      </c>
      <c r="G28" s="99">
        <f>G29+G30+G33+G34+0.1</f>
        <v>63.699999999999996</v>
      </c>
      <c r="H28" s="394"/>
      <c r="I28" s="394"/>
      <c r="J28" s="394"/>
      <c r="K28" s="394"/>
      <c r="L28" s="394"/>
      <c r="M28" s="394"/>
    </row>
    <row r="29" spans="1:13" ht="98.25" customHeight="1" x14ac:dyDescent="0.3">
      <c r="A29" s="100" t="s">
        <v>262</v>
      </c>
      <c r="B29" s="101" t="s">
        <v>263</v>
      </c>
      <c r="C29" s="102" t="s">
        <v>27</v>
      </c>
      <c r="D29" s="104">
        <v>20</v>
      </c>
      <c r="E29" s="104">
        <v>28.7</v>
      </c>
      <c r="F29" s="104">
        <v>28.7</v>
      </c>
      <c r="G29" s="104">
        <v>0</v>
      </c>
      <c r="H29" s="105" t="s">
        <v>264</v>
      </c>
      <c r="I29" s="106" t="s">
        <v>29</v>
      </c>
      <c r="J29" s="169">
        <v>3</v>
      </c>
      <c r="K29" s="117">
        <v>3</v>
      </c>
      <c r="L29" s="105" t="s">
        <v>265</v>
      </c>
      <c r="M29" s="180"/>
    </row>
    <row r="30" spans="1:13" ht="191.25" customHeight="1" x14ac:dyDescent="0.3">
      <c r="A30" s="363" t="s">
        <v>266</v>
      </c>
      <c r="B30" s="361" t="s">
        <v>267</v>
      </c>
      <c r="C30" s="102"/>
      <c r="D30" s="111">
        <f>SUM(D31:D32)</f>
        <v>124.8</v>
      </c>
      <c r="E30" s="111">
        <f>SUM(E31:E32)</f>
        <v>115.7</v>
      </c>
      <c r="F30" s="111">
        <f>SUM(F31:F32)</f>
        <v>99.5</v>
      </c>
      <c r="G30" s="111">
        <f>SUM(G31:G32)</f>
        <v>16.2</v>
      </c>
      <c r="H30" s="361" t="s">
        <v>268</v>
      </c>
      <c r="I30" s="364" t="s">
        <v>56</v>
      </c>
      <c r="J30" s="364">
        <v>100</v>
      </c>
      <c r="K30" s="379">
        <v>86</v>
      </c>
      <c r="L30" s="361" t="s">
        <v>269</v>
      </c>
      <c r="M30" s="362" t="s">
        <v>270</v>
      </c>
    </row>
    <row r="31" spans="1:13" ht="15.6" x14ac:dyDescent="0.3">
      <c r="A31" s="363"/>
      <c r="B31" s="361"/>
      <c r="C31" s="114" t="s">
        <v>36</v>
      </c>
      <c r="D31" s="116">
        <v>34.799999999999997</v>
      </c>
      <c r="E31" s="116">
        <v>34.799999999999997</v>
      </c>
      <c r="F31" s="116">
        <v>34.799999999999997</v>
      </c>
      <c r="G31" s="116">
        <v>0</v>
      </c>
      <c r="H31" s="361"/>
      <c r="I31" s="364"/>
      <c r="J31" s="364"/>
      <c r="K31" s="379"/>
      <c r="L31" s="361"/>
      <c r="M31" s="362"/>
    </row>
    <row r="32" spans="1:13" ht="15.6" x14ac:dyDescent="0.3">
      <c r="A32" s="363"/>
      <c r="B32" s="361"/>
      <c r="C32" s="114" t="s">
        <v>27</v>
      </c>
      <c r="D32" s="116">
        <v>90</v>
      </c>
      <c r="E32" s="116">
        <v>80.900000000000006</v>
      </c>
      <c r="F32" s="116">
        <v>64.7</v>
      </c>
      <c r="G32" s="116">
        <v>16.2</v>
      </c>
      <c r="H32" s="361"/>
      <c r="I32" s="364"/>
      <c r="J32" s="364"/>
      <c r="K32" s="379"/>
      <c r="L32" s="361"/>
      <c r="M32" s="362"/>
    </row>
    <row r="33" spans="1:13" ht="232.5" customHeight="1" x14ac:dyDescent="0.3">
      <c r="A33" s="100" t="s">
        <v>271</v>
      </c>
      <c r="B33" s="101" t="s">
        <v>272</v>
      </c>
      <c r="C33" s="102" t="s">
        <v>27</v>
      </c>
      <c r="D33" s="104">
        <v>15</v>
      </c>
      <c r="E33" s="104">
        <v>15</v>
      </c>
      <c r="F33" s="104">
        <v>13.1</v>
      </c>
      <c r="G33" s="104">
        <v>1.9</v>
      </c>
      <c r="H33" s="105" t="s">
        <v>273</v>
      </c>
      <c r="I33" s="106" t="s">
        <v>29</v>
      </c>
      <c r="J33" s="106">
        <v>100</v>
      </c>
      <c r="K33" s="117">
        <v>131</v>
      </c>
      <c r="L33" s="105" t="s">
        <v>274</v>
      </c>
      <c r="M33" s="108" t="s">
        <v>275</v>
      </c>
    </row>
    <row r="34" spans="1:13" ht="69" customHeight="1" x14ac:dyDescent="0.3">
      <c r="A34" s="100" t="s">
        <v>276</v>
      </c>
      <c r="B34" s="101" t="s">
        <v>277</v>
      </c>
      <c r="C34" s="102" t="s">
        <v>27</v>
      </c>
      <c r="D34" s="104">
        <v>45.5</v>
      </c>
      <c r="E34" s="104">
        <v>45.5</v>
      </c>
      <c r="F34" s="104">
        <v>0</v>
      </c>
      <c r="G34" s="104">
        <v>45.5</v>
      </c>
      <c r="H34" s="105" t="s">
        <v>278</v>
      </c>
      <c r="I34" s="106" t="s">
        <v>29</v>
      </c>
      <c r="J34" s="106">
        <v>3</v>
      </c>
      <c r="K34" s="139">
        <v>0</v>
      </c>
      <c r="L34" s="105"/>
      <c r="M34" s="108" t="s">
        <v>279</v>
      </c>
    </row>
    <row r="35" spans="1:13" ht="31.2" x14ac:dyDescent="0.3">
      <c r="A35" s="97" t="s">
        <v>280</v>
      </c>
      <c r="B35" s="124" t="s">
        <v>281</v>
      </c>
      <c r="C35" s="125"/>
      <c r="D35" s="99">
        <f>SUM(D36:D37)</f>
        <v>265.7</v>
      </c>
      <c r="E35" s="99">
        <f>SUM(E36:E37)</f>
        <v>265.7</v>
      </c>
      <c r="F35" s="99">
        <f>SUM(F36:F37)+0.1</f>
        <v>304.90000000000003</v>
      </c>
      <c r="G35" s="99">
        <f>SUM(G36:G37)-0.1</f>
        <v>-39.200000000000003</v>
      </c>
      <c r="H35" s="366"/>
      <c r="I35" s="366"/>
      <c r="J35" s="366"/>
      <c r="K35" s="366"/>
      <c r="L35" s="366"/>
      <c r="M35" s="366"/>
    </row>
    <row r="36" spans="1:13" ht="145.5" customHeight="1" x14ac:dyDescent="0.3">
      <c r="A36" s="100" t="s">
        <v>282</v>
      </c>
      <c r="B36" s="101" t="s">
        <v>283</v>
      </c>
      <c r="C36" s="102" t="s">
        <v>27</v>
      </c>
      <c r="D36" s="104">
        <v>20</v>
      </c>
      <c r="E36" s="104">
        <v>20</v>
      </c>
      <c r="F36" s="104">
        <v>19.100000000000001</v>
      </c>
      <c r="G36" s="104">
        <v>0.9</v>
      </c>
      <c r="H36" s="105" t="s">
        <v>284</v>
      </c>
      <c r="I36" s="106" t="s">
        <v>29</v>
      </c>
      <c r="J36" s="106">
        <v>3</v>
      </c>
      <c r="K36" s="117">
        <v>3</v>
      </c>
      <c r="L36" s="105" t="s">
        <v>285</v>
      </c>
      <c r="M36" s="181"/>
    </row>
    <row r="37" spans="1:13" ht="94.5" customHeight="1" x14ac:dyDescent="0.3">
      <c r="A37" s="363" t="s">
        <v>286</v>
      </c>
      <c r="B37" s="361" t="s">
        <v>287</v>
      </c>
      <c r="C37" s="102"/>
      <c r="D37" s="111">
        <f>SUM(D38:D38)</f>
        <v>245.7</v>
      </c>
      <c r="E37" s="111">
        <f>SUM(E38:E38)</f>
        <v>245.7</v>
      </c>
      <c r="F37" s="111">
        <f>SUM(F38:F38)</f>
        <v>285.7</v>
      </c>
      <c r="G37" s="111">
        <f>SUM(G38:G38)</f>
        <v>-40</v>
      </c>
      <c r="H37" s="361" t="s">
        <v>288</v>
      </c>
      <c r="I37" s="364" t="s">
        <v>289</v>
      </c>
      <c r="J37" s="364">
        <v>6</v>
      </c>
      <c r="K37" s="360">
        <v>6</v>
      </c>
      <c r="L37" s="361" t="s">
        <v>290</v>
      </c>
      <c r="M37" s="362"/>
    </row>
    <row r="38" spans="1:13" ht="63" customHeight="1" x14ac:dyDescent="0.3">
      <c r="A38" s="363"/>
      <c r="B38" s="361"/>
      <c r="C38" s="114" t="s">
        <v>27</v>
      </c>
      <c r="D38" s="116">
        <v>245.7</v>
      </c>
      <c r="E38" s="116">
        <v>245.7</v>
      </c>
      <c r="F38" s="116">
        <v>285.7</v>
      </c>
      <c r="G38" s="116">
        <v>-40</v>
      </c>
      <c r="H38" s="361"/>
      <c r="I38" s="364"/>
      <c r="J38" s="364"/>
      <c r="K38" s="360"/>
      <c r="L38" s="361"/>
      <c r="M38" s="362"/>
    </row>
    <row r="39" spans="1:13" ht="31.2" x14ac:dyDescent="0.3">
      <c r="A39" s="97" t="s">
        <v>291</v>
      </c>
      <c r="B39" s="124" t="s">
        <v>292</v>
      </c>
      <c r="C39" s="125"/>
      <c r="D39" s="99">
        <f>SUM(D40:D40)</f>
        <v>1202.4000000000001</v>
      </c>
      <c r="E39" s="99">
        <f>SUM(E40:E40)</f>
        <v>202.4</v>
      </c>
      <c r="F39" s="99">
        <f>SUM(F40:F40)</f>
        <v>141</v>
      </c>
      <c r="G39" s="99">
        <f>SUM(G40:G40)</f>
        <v>61.400000000000006</v>
      </c>
      <c r="H39" s="366"/>
      <c r="I39" s="366"/>
      <c r="J39" s="366"/>
      <c r="K39" s="366"/>
      <c r="L39" s="366"/>
      <c r="M39" s="366"/>
    </row>
    <row r="40" spans="1:13" ht="255.75" customHeight="1" x14ac:dyDescent="0.3">
      <c r="A40" s="363" t="s">
        <v>293</v>
      </c>
      <c r="B40" s="361" t="s">
        <v>294</v>
      </c>
      <c r="C40" s="102"/>
      <c r="D40" s="111">
        <f>SUM(D41:D45)</f>
        <v>1202.4000000000001</v>
      </c>
      <c r="E40" s="111">
        <f>SUM(E41:E45)</f>
        <v>202.4</v>
      </c>
      <c r="F40" s="111">
        <f>SUM(F41:F45)</f>
        <v>141</v>
      </c>
      <c r="G40" s="111">
        <f>SUM(G41:G45)</f>
        <v>61.400000000000006</v>
      </c>
      <c r="H40" s="105" t="s">
        <v>295</v>
      </c>
      <c r="I40" s="106" t="s">
        <v>296</v>
      </c>
      <c r="J40" s="169">
        <v>1</v>
      </c>
      <c r="K40" s="139">
        <v>0</v>
      </c>
      <c r="L40" s="105" t="s">
        <v>297</v>
      </c>
      <c r="M40" s="108" t="s">
        <v>298</v>
      </c>
    </row>
    <row r="41" spans="1:13" ht="46.5" customHeight="1" x14ac:dyDescent="0.3">
      <c r="A41" s="363"/>
      <c r="B41" s="361"/>
      <c r="C41" s="114"/>
      <c r="D41" s="116">
        <v>0</v>
      </c>
      <c r="E41" s="116">
        <v>0</v>
      </c>
      <c r="F41" s="116">
        <v>0</v>
      </c>
      <c r="G41" s="116">
        <v>0</v>
      </c>
      <c r="H41" s="367" t="s">
        <v>299</v>
      </c>
      <c r="I41" s="373" t="s">
        <v>296</v>
      </c>
      <c r="J41" s="373"/>
      <c r="K41" s="373"/>
      <c r="L41" s="367" t="s">
        <v>300</v>
      </c>
      <c r="M41" s="371" t="s">
        <v>301</v>
      </c>
    </row>
    <row r="42" spans="1:13" ht="15.6" x14ac:dyDescent="0.3">
      <c r="A42" s="363"/>
      <c r="B42" s="361"/>
      <c r="C42" s="114" t="s">
        <v>36</v>
      </c>
      <c r="D42" s="116">
        <v>5</v>
      </c>
      <c r="E42" s="116">
        <v>5</v>
      </c>
      <c r="F42" s="116">
        <v>5</v>
      </c>
      <c r="G42" s="116">
        <v>0</v>
      </c>
      <c r="H42" s="367"/>
      <c r="I42" s="373"/>
      <c r="J42" s="373"/>
      <c r="K42" s="373"/>
      <c r="L42" s="367"/>
      <c r="M42" s="371"/>
    </row>
    <row r="43" spans="1:13" ht="15.6" x14ac:dyDescent="0.3">
      <c r="A43" s="363"/>
      <c r="B43" s="361"/>
      <c r="C43" s="114" t="s">
        <v>200</v>
      </c>
      <c r="D43" s="116">
        <v>1083</v>
      </c>
      <c r="E43" s="116">
        <v>133</v>
      </c>
      <c r="F43" s="116">
        <v>129.19999999999999</v>
      </c>
      <c r="G43" s="116">
        <v>3.8</v>
      </c>
      <c r="H43" s="367"/>
      <c r="I43" s="373"/>
      <c r="J43" s="373"/>
      <c r="K43" s="373"/>
      <c r="L43" s="367"/>
      <c r="M43" s="371"/>
    </row>
    <row r="44" spans="1:13" ht="15.6" x14ac:dyDescent="0.3">
      <c r="A44" s="363"/>
      <c r="B44" s="361"/>
      <c r="C44" s="114" t="s">
        <v>242</v>
      </c>
      <c r="D44" s="116">
        <v>17</v>
      </c>
      <c r="E44" s="116">
        <v>17</v>
      </c>
      <c r="F44" s="116">
        <v>0</v>
      </c>
      <c r="G44" s="116">
        <v>17</v>
      </c>
      <c r="H44" s="367"/>
      <c r="I44" s="373"/>
      <c r="J44" s="373"/>
      <c r="K44" s="373"/>
      <c r="L44" s="367"/>
      <c r="M44" s="371"/>
    </row>
    <row r="45" spans="1:13" ht="15.6" x14ac:dyDescent="0.3">
      <c r="A45" s="363"/>
      <c r="B45" s="361"/>
      <c r="C45" s="114" t="s">
        <v>27</v>
      </c>
      <c r="D45" s="116">
        <v>97.4</v>
      </c>
      <c r="E45" s="116">
        <v>47.4</v>
      </c>
      <c r="F45" s="116">
        <v>6.8</v>
      </c>
      <c r="G45" s="116">
        <v>40.6</v>
      </c>
      <c r="H45" s="367"/>
      <c r="I45" s="373"/>
      <c r="J45" s="373"/>
      <c r="K45" s="373"/>
      <c r="L45" s="367"/>
      <c r="M45" s="371"/>
    </row>
    <row r="46" spans="1:13" ht="31.2" x14ac:dyDescent="0.3">
      <c r="A46" s="97" t="s">
        <v>302</v>
      </c>
      <c r="B46" s="124" t="s">
        <v>303</v>
      </c>
      <c r="C46" s="125"/>
      <c r="D46" s="99">
        <f>D47+D52+D53+D54</f>
        <v>432.7</v>
      </c>
      <c r="E46" s="99">
        <f>E47+E52+E53+E54</f>
        <v>496.5</v>
      </c>
      <c r="F46" s="99">
        <f>F47+F52+F53+F54</f>
        <v>360.20000000000005</v>
      </c>
      <c r="G46" s="99">
        <f>G47+G52+G53+G54</f>
        <v>136.4</v>
      </c>
      <c r="H46" s="366"/>
      <c r="I46" s="366"/>
      <c r="J46" s="366"/>
      <c r="K46" s="366"/>
      <c r="L46" s="366"/>
      <c r="M46" s="366"/>
    </row>
    <row r="47" spans="1:13" ht="78" customHeight="1" x14ac:dyDescent="0.3">
      <c r="A47" s="363" t="s">
        <v>304</v>
      </c>
      <c r="B47" s="361" t="s">
        <v>305</v>
      </c>
      <c r="C47" s="102"/>
      <c r="D47" s="111">
        <f>SUM(D48:D51)</f>
        <v>73.5</v>
      </c>
      <c r="E47" s="111">
        <f>SUM(E48:E51)</f>
        <v>74.3</v>
      </c>
      <c r="F47" s="111">
        <f>SUM(F48:F51)</f>
        <v>74.3</v>
      </c>
      <c r="G47" s="111">
        <f>SUM(G48:G51)</f>
        <v>0</v>
      </c>
      <c r="H47" s="105" t="s">
        <v>306</v>
      </c>
      <c r="I47" s="106" t="s">
        <v>29</v>
      </c>
      <c r="J47" s="106">
        <v>1</v>
      </c>
      <c r="K47" s="117">
        <v>1</v>
      </c>
      <c r="L47" s="105" t="s">
        <v>307</v>
      </c>
      <c r="M47" s="181"/>
    </row>
    <row r="48" spans="1:13" ht="85.5" customHeight="1" x14ac:dyDescent="0.3">
      <c r="A48" s="363"/>
      <c r="B48" s="361"/>
      <c r="C48" s="114"/>
      <c r="D48" s="116">
        <v>0</v>
      </c>
      <c r="E48" s="116">
        <v>0</v>
      </c>
      <c r="F48" s="116">
        <v>0</v>
      </c>
      <c r="G48" s="116">
        <v>0</v>
      </c>
      <c r="H48" s="367" t="s">
        <v>308</v>
      </c>
      <c r="I48" s="373" t="s">
        <v>29</v>
      </c>
      <c r="J48" s="373">
        <v>1</v>
      </c>
      <c r="K48" s="374">
        <v>1</v>
      </c>
      <c r="L48" s="367" t="s">
        <v>309</v>
      </c>
      <c r="M48" s="395"/>
    </row>
    <row r="49" spans="1:13" ht="15.6" x14ac:dyDescent="0.3">
      <c r="A49" s="363"/>
      <c r="B49" s="361"/>
      <c r="C49" s="114" t="s">
        <v>27</v>
      </c>
      <c r="D49" s="116">
        <v>70.900000000000006</v>
      </c>
      <c r="E49" s="116">
        <v>70.900000000000006</v>
      </c>
      <c r="F49" s="116">
        <v>70.900000000000006</v>
      </c>
      <c r="G49" s="116">
        <v>0</v>
      </c>
      <c r="H49" s="367"/>
      <c r="I49" s="373"/>
      <c r="J49" s="373"/>
      <c r="K49" s="374"/>
      <c r="L49" s="367"/>
      <c r="M49" s="395"/>
    </row>
    <row r="50" spans="1:13" ht="18.75" customHeight="1" x14ac:dyDescent="0.3">
      <c r="A50" s="363"/>
      <c r="B50" s="361"/>
      <c r="C50" s="114" t="s">
        <v>36</v>
      </c>
      <c r="D50" s="116">
        <v>0.6</v>
      </c>
      <c r="E50" s="116">
        <v>0.6</v>
      </c>
      <c r="F50" s="116">
        <v>0.6</v>
      </c>
      <c r="G50" s="116">
        <v>0</v>
      </c>
      <c r="H50" s="367"/>
      <c r="I50" s="373"/>
      <c r="J50" s="373"/>
      <c r="K50" s="374"/>
      <c r="L50" s="367"/>
      <c r="M50" s="395"/>
    </row>
    <row r="51" spans="1:13" ht="36.75" customHeight="1" x14ac:dyDescent="0.3">
      <c r="A51" s="363"/>
      <c r="B51" s="361"/>
      <c r="C51" s="114" t="s">
        <v>182</v>
      </c>
      <c r="D51" s="116">
        <v>2</v>
      </c>
      <c r="E51" s="116">
        <v>2.8</v>
      </c>
      <c r="F51" s="116">
        <v>2.8</v>
      </c>
      <c r="G51" s="116">
        <v>0</v>
      </c>
      <c r="H51" s="367"/>
      <c r="I51" s="373"/>
      <c r="J51" s="373"/>
      <c r="K51" s="374"/>
      <c r="L51" s="367"/>
      <c r="M51" s="395"/>
    </row>
    <row r="52" spans="1:13" ht="78" x14ac:dyDescent="0.3">
      <c r="A52" s="100" t="s">
        <v>310</v>
      </c>
      <c r="B52" s="101" t="s">
        <v>311</v>
      </c>
      <c r="C52" s="102" t="s">
        <v>27</v>
      </c>
      <c r="D52" s="104">
        <v>25</v>
      </c>
      <c r="E52" s="104">
        <v>25</v>
      </c>
      <c r="F52" s="104">
        <v>25</v>
      </c>
      <c r="G52" s="104">
        <v>0</v>
      </c>
      <c r="H52" s="105" t="s">
        <v>312</v>
      </c>
      <c r="I52" s="106" t="s">
        <v>239</v>
      </c>
      <c r="J52" s="106">
        <v>640</v>
      </c>
      <c r="K52" s="107">
        <v>417.22</v>
      </c>
      <c r="L52" s="105" t="s">
        <v>313</v>
      </c>
      <c r="M52" s="182" t="s">
        <v>314</v>
      </c>
    </row>
    <row r="53" spans="1:13" ht="148.5" customHeight="1" x14ac:dyDescent="0.3">
      <c r="A53" s="100" t="s">
        <v>315</v>
      </c>
      <c r="B53" s="101" t="s">
        <v>316</v>
      </c>
      <c r="C53" s="102" t="s">
        <v>27</v>
      </c>
      <c r="D53" s="104">
        <v>4</v>
      </c>
      <c r="E53" s="104">
        <v>4</v>
      </c>
      <c r="F53" s="104">
        <v>4</v>
      </c>
      <c r="G53" s="104">
        <v>0</v>
      </c>
      <c r="H53" s="105" t="s">
        <v>317</v>
      </c>
      <c r="I53" s="106" t="s">
        <v>29</v>
      </c>
      <c r="J53" s="106">
        <v>1</v>
      </c>
      <c r="K53" s="117">
        <v>1</v>
      </c>
      <c r="L53" s="105" t="s">
        <v>318</v>
      </c>
      <c r="M53" s="181"/>
    </row>
    <row r="54" spans="1:13" ht="86.25" customHeight="1" x14ac:dyDescent="0.3">
      <c r="A54" s="363" t="s">
        <v>319</v>
      </c>
      <c r="B54" s="361" t="s">
        <v>320</v>
      </c>
      <c r="C54" s="102"/>
      <c r="D54" s="111">
        <f>SUM(D55:D58)</f>
        <v>330.2</v>
      </c>
      <c r="E54" s="111">
        <f>SUM(E55:E58)</f>
        <v>393.2</v>
      </c>
      <c r="F54" s="111">
        <f>SUM(F55:F58)+0.1</f>
        <v>256.90000000000003</v>
      </c>
      <c r="G54" s="111">
        <f>SUM(G55:G58)</f>
        <v>136.4</v>
      </c>
      <c r="H54" s="105" t="s">
        <v>321</v>
      </c>
      <c r="I54" s="106" t="s">
        <v>29</v>
      </c>
      <c r="J54" s="106">
        <v>1</v>
      </c>
      <c r="K54" s="117">
        <v>1</v>
      </c>
      <c r="L54" s="361" t="s">
        <v>322</v>
      </c>
      <c r="M54" s="362" t="s">
        <v>323</v>
      </c>
    </row>
    <row r="55" spans="1:13" ht="50.25" customHeight="1" x14ac:dyDescent="0.3">
      <c r="A55" s="363"/>
      <c r="B55" s="361"/>
      <c r="C55" s="114"/>
      <c r="D55" s="116">
        <v>0</v>
      </c>
      <c r="E55" s="116">
        <v>0</v>
      </c>
      <c r="F55" s="116">
        <v>0</v>
      </c>
      <c r="G55" s="116">
        <v>0</v>
      </c>
      <c r="H55" s="367" t="s">
        <v>324</v>
      </c>
      <c r="I55" s="373" t="s">
        <v>29</v>
      </c>
      <c r="J55" s="373">
        <v>1</v>
      </c>
      <c r="K55" s="374">
        <v>1</v>
      </c>
      <c r="L55" s="361"/>
      <c r="M55" s="362"/>
    </row>
    <row r="56" spans="1:13" ht="15.6" x14ac:dyDescent="0.3">
      <c r="A56" s="363"/>
      <c r="B56" s="361"/>
      <c r="C56" s="114" t="s">
        <v>36</v>
      </c>
      <c r="D56" s="116">
        <v>43.2</v>
      </c>
      <c r="E56" s="116">
        <v>43.2</v>
      </c>
      <c r="F56" s="116">
        <v>42</v>
      </c>
      <c r="G56" s="116">
        <v>1.2</v>
      </c>
      <c r="H56" s="367"/>
      <c r="I56" s="373"/>
      <c r="J56" s="373"/>
      <c r="K56" s="374"/>
      <c r="L56" s="361"/>
      <c r="M56" s="362"/>
    </row>
    <row r="57" spans="1:13" ht="15.6" x14ac:dyDescent="0.3">
      <c r="A57" s="363"/>
      <c r="B57" s="361"/>
      <c r="C57" s="114" t="s">
        <v>200</v>
      </c>
      <c r="D57" s="116">
        <v>277</v>
      </c>
      <c r="E57" s="116">
        <v>277</v>
      </c>
      <c r="F57" s="116">
        <v>171.1</v>
      </c>
      <c r="G57" s="116">
        <v>105.9</v>
      </c>
      <c r="H57" s="367"/>
      <c r="I57" s="373"/>
      <c r="J57" s="373"/>
      <c r="K57" s="374"/>
      <c r="L57" s="361"/>
      <c r="M57" s="362"/>
    </row>
    <row r="58" spans="1:13" ht="36" customHeight="1" x14ac:dyDescent="0.3">
      <c r="A58" s="363"/>
      <c r="B58" s="361"/>
      <c r="C58" s="114" t="s">
        <v>27</v>
      </c>
      <c r="D58" s="116">
        <v>10</v>
      </c>
      <c r="E58" s="116">
        <v>73</v>
      </c>
      <c r="F58" s="116">
        <v>43.7</v>
      </c>
      <c r="G58" s="116">
        <v>29.3</v>
      </c>
      <c r="H58" s="367"/>
      <c r="I58" s="373"/>
      <c r="J58" s="373"/>
      <c r="K58" s="374"/>
      <c r="L58" s="361"/>
      <c r="M58" s="362"/>
    </row>
    <row r="59" spans="1:13" ht="31.2" x14ac:dyDescent="0.3">
      <c r="A59" s="97" t="s">
        <v>325</v>
      </c>
      <c r="B59" s="124" t="s">
        <v>326</v>
      </c>
      <c r="C59" s="125"/>
      <c r="D59" s="99">
        <f>D60+D61+D63+D65</f>
        <v>33.6</v>
      </c>
      <c r="E59" s="99">
        <f>E60+E61+E63+E65</f>
        <v>33.6</v>
      </c>
      <c r="F59" s="99">
        <f>F60+F61+F63+F65</f>
        <v>29.5</v>
      </c>
      <c r="G59" s="99">
        <f>G60+G61+G63+G65</f>
        <v>4.0999999999999996</v>
      </c>
      <c r="H59" s="366"/>
      <c r="I59" s="366"/>
      <c r="J59" s="366"/>
      <c r="K59" s="366"/>
      <c r="L59" s="366"/>
      <c r="M59" s="366"/>
    </row>
    <row r="60" spans="1:13" ht="269.25" customHeight="1" x14ac:dyDescent="0.3">
      <c r="A60" s="100" t="s">
        <v>327</v>
      </c>
      <c r="B60" s="101" t="s">
        <v>328</v>
      </c>
      <c r="C60" s="102" t="s">
        <v>27</v>
      </c>
      <c r="D60" s="104">
        <v>13.7</v>
      </c>
      <c r="E60" s="104">
        <v>13.7</v>
      </c>
      <c r="F60" s="104">
        <v>13</v>
      </c>
      <c r="G60" s="104">
        <v>0.7</v>
      </c>
      <c r="H60" s="105" t="s">
        <v>329</v>
      </c>
      <c r="I60" s="106" t="s">
        <v>29</v>
      </c>
      <c r="J60" s="106">
        <v>5</v>
      </c>
      <c r="K60" s="107">
        <v>4</v>
      </c>
      <c r="L60" s="105" t="s">
        <v>330</v>
      </c>
      <c r="M60" s="182" t="s">
        <v>331</v>
      </c>
    </row>
    <row r="61" spans="1:13" ht="46.8" customHeight="1" x14ac:dyDescent="0.3">
      <c r="A61" s="363" t="s">
        <v>332</v>
      </c>
      <c r="B61" s="361" t="s">
        <v>333</v>
      </c>
      <c r="C61" s="396" t="s">
        <v>27</v>
      </c>
      <c r="D61" s="397">
        <f>SUM(D62:D62)+0.9</f>
        <v>0.9</v>
      </c>
      <c r="E61" s="397">
        <f>SUM(E62:E62)+0.9</f>
        <v>0.9</v>
      </c>
      <c r="F61" s="397">
        <f>SUM(F62:F62)+0.9</f>
        <v>0.9</v>
      </c>
      <c r="G61" s="111">
        <f>SUM(G62:G62)</f>
        <v>0</v>
      </c>
      <c r="H61" s="105" t="s">
        <v>334</v>
      </c>
      <c r="I61" s="106" t="s">
        <v>29</v>
      </c>
      <c r="J61" s="106">
        <v>30</v>
      </c>
      <c r="K61" s="117">
        <v>51</v>
      </c>
      <c r="L61" s="105" t="s">
        <v>335</v>
      </c>
      <c r="M61" s="108" t="s">
        <v>336</v>
      </c>
    </row>
    <row r="62" spans="1:13" ht="46.8" x14ac:dyDescent="0.3">
      <c r="A62" s="363"/>
      <c r="B62" s="361"/>
      <c r="C62" s="396"/>
      <c r="D62" s="397"/>
      <c r="E62" s="397"/>
      <c r="F62" s="397"/>
      <c r="G62" s="116">
        <v>0</v>
      </c>
      <c r="H62" s="118" t="s">
        <v>337</v>
      </c>
      <c r="I62" s="119" t="s">
        <v>29</v>
      </c>
      <c r="J62" s="119">
        <v>2</v>
      </c>
      <c r="K62" s="128">
        <v>3</v>
      </c>
      <c r="L62" s="118" t="s">
        <v>338</v>
      </c>
      <c r="M62" s="184"/>
    </row>
    <row r="63" spans="1:13" ht="189" customHeight="1" x14ac:dyDescent="0.3">
      <c r="A63" s="363" t="s">
        <v>339</v>
      </c>
      <c r="B63" s="361" t="s">
        <v>340</v>
      </c>
      <c r="C63" s="396" t="s">
        <v>27</v>
      </c>
      <c r="D63" s="397">
        <f>SUM(D64:D64)+14</f>
        <v>14</v>
      </c>
      <c r="E63" s="397">
        <f>SUM(E64:E64)+14</f>
        <v>14</v>
      </c>
      <c r="F63" s="397">
        <f>SUM(F64:F64)+10.6</f>
        <v>10.6</v>
      </c>
      <c r="G63" s="111">
        <f>SUM(G64:G64)+3.4</f>
        <v>3.4</v>
      </c>
      <c r="H63" s="105" t="s">
        <v>341</v>
      </c>
      <c r="I63" s="106" t="s">
        <v>29</v>
      </c>
      <c r="J63" s="106">
        <v>4</v>
      </c>
      <c r="K63" s="117">
        <v>9</v>
      </c>
      <c r="L63" s="105" t="s">
        <v>342</v>
      </c>
      <c r="M63" s="182" t="s">
        <v>343</v>
      </c>
    </row>
    <row r="64" spans="1:13" ht="394.5" customHeight="1" x14ac:dyDescent="0.3">
      <c r="A64" s="363"/>
      <c r="B64" s="361"/>
      <c r="C64" s="396"/>
      <c r="D64" s="397"/>
      <c r="E64" s="397"/>
      <c r="F64" s="397"/>
      <c r="G64" s="116">
        <v>0</v>
      </c>
      <c r="H64" s="118" t="s">
        <v>344</v>
      </c>
      <c r="I64" s="119" t="s">
        <v>29</v>
      </c>
      <c r="J64" s="119">
        <v>4</v>
      </c>
      <c r="K64" s="128">
        <v>4</v>
      </c>
      <c r="L64" s="118" t="s">
        <v>345</v>
      </c>
      <c r="M64" s="185"/>
    </row>
    <row r="65" spans="1:17" ht="168" customHeight="1" x14ac:dyDescent="0.3">
      <c r="A65" s="100" t="s">
        <v>346</v>
      </c>
      <c r="B65" s="101" t="s">
        <v>347</v>
      </c>
      <c r="C65" s="102" t="s">
        <v>27</v>
      </c>
      <c r="D65" s="104">
        <v>5</v>
      </c>
      <c r="E65" s="104">
        <v>5</v>
      </c>
      <c r="F65" s="104">
        <v>5</v>
      </c>
      <c r="G65" s="104">
        <v>0</v>
      </c>
      <c r="H65" s="105" t="s">
        <v>348</v>
      </c>
      <c r="I65" s="106" t="s">
        <v>29</v>
      </c>
      <c r="J65" s="106">
        <v>1</v>
      </c>
      <c r="K65" s="117">
        <v>1</v>
      </c>
      <c r="L65" s="105" t="s">
        <v>349</v>
      </c>
      <c r="M65" s="181"/>
    </row>
    <row r="66" spans="1:17" ht="31.2" x14ac:dyDescent="0.3">
      <c r="A66" s="97" t="s">
        <v>350</v>
      </c>
      <c r="B66" s="124" t="s">
        <v>351</v>
      </c>
      <c r="C66" s="125"/>
      <c r="D66" s="99">
        <f>SUM(D67:D68)</f>
        <v>184.6</v>
      </c>
      <c r="E66" s="99">
        <f>SUM(E67:E68)</f>
        <v>167.29999999999998</v>
      </c>
      <c r="F66" s="99">
        <f>SUM(F67:F68)</f>
        <v>30.6</v>
      </c>
      <c r="G66" s="99">
        <f>SUM(G67:G68)</f>
        <v>136.69999999999999</v>
      </c>
      <c r="H66" s="366"/>
      <c r="I66" s="366"/>
      <c r="J66" s="366"/>
      <c r="K66" s="366"/>
      <c r="L66" s="366"/>
      <c r="M66" s="366"/>
    </row>
    <row r="67" spans="1:17" ht="237.75" customHeight="1" x14ac:dyDescent="0.3">
      <c r="A67" s="100" t="s">
        <v>352</v>
      </c>
      <c r="B67" s="101" t="s">
        <v>353</v>
      </c>
      <c r="C67" s="102" t="s">
        <v>27</v>
      </c>
      <c r="D67" s="104">
        <v>6</v>
      </c>
      <c r="E67" s="104">
        <v>6</v>
      </c>
      <c r="F67" s="104">
        <v>5.0999999999999996</v>
      </c>
      <c r="G67" s="104">
        <v>0.9</v>
      </c>
      <c r="H67" s="105" t="s">
        <v>354</v>
      </c>
      <c r="I67" s="106" t="s">
        <v>29</v>
      </c>
      <c r="J67" s="106">
        <v>10</v>
      </c>
      <c r="K67" s="107">
        <v>6</v>
      </c>
      <c r="L67" s="186" t="s">
        <v>355</v>
      </c>
      <c r="M67" s="187"/>
      <c r="N67" s="398"/>
      <c r="O67" s="398"/>
      <c r="P67" s="398"/>
      <c r="Q67" s="398"/>
    </row>
    <row r="68" spans="1:17" ht="94.5" customHeight="1" x14ac:dyDescent="0.3">
      <c r="A68" s="363" t="s">
        <v>356</v>
      </c>
      <c r="B68" s="361" t="s">
        <v>357</v>
      </c>
      <c r="C68" s="102"/>
      <c r="D68" s="111">
        <f>SUM(D69:D70)</f>
        <v>178.6</v>
      </c>
      <c r="E68" s="111">
        <f>SUM(E69:E70)</f>
        <v>161.29999999999998</v>
      </c>
      <c r="F68" s="111">
        <f>SUM(F69:F70)</f>
        <v>25.5</v>
      </c>
      <c r="G68" s="111">
        <f>SUM(G69:G70)</f>
        <v>135.79999999999998</v>
      </c>
      <c r="H68" s="361" t="s">
        <v>215</v>
      </c>
      <c r="I68" s="364" t="s">
        <v>56</v>
      </c>
      <c r="J68" s="364">
        <v>100</v>
      </c>
      <c r="K68" s="360">
        <v>100</v>
      </c>
      <c r="L68" s="372" t="s">
        <v>358</v>
      </c>
      <c r="M68" s="362" t="s">
        <v>359</v>
      </c>
    </row>
    <row r="69" spans="1:17" ht="15.6" x14ac:dyDescent="0.3">
      <c r="A69" s="363"/>
      <c r="B69" s="361"/>
      <c r="C69" s="114" t="s">
        <v>27</v>
      </c>
      <c r="D69" s="116">
        <v>3.6</v>
      </c>
      <c r="E69" s="116">
        <v>0.7</v>
      </c>
      <c r="F69" s="116">
        <v>0</v>
      </c>
      <c r="G69" s="116">
        <v>0.7</v>
      </c>
      <c r="H69" s="361"/>
      <c r="I69" s="364"/>
      <c r="J69" s="364"/>
      <c r="K69" s="360"/>
      <c r="L69" s="372"/>
      <c r="M69" s="362"/>
    </row>
    <row r="70" spans="1:17" ht="33" customHeight="1" x14ac:dyDescent="0.3">
      <c r="A70" s="363"/>
      <c r="B70" s="361"/>
      <c r="C70" s="114" t="s">
        <v>36</v>
      </c>
      <c r="D70" s="116">
        <v>175</v>
      </c>
      <c r="E70" s="116">
        <v>160.6</v>
      </c>
      <c r="F70" s="116">
        <v>25.5</v>
      </c>
      <c r="G70" s="116">
        <v>135.1</v>
      </c>
      <c r="H70" s="361"/>
      <c r="I70" s="364"/>
      <c r="J70" s="364"/>
      <c r="K70" s="360"/>
      <c r="L70" s="372"/>
      <c r="M70" s="362"/>
    </row>
    <row r="71" spans="1:17" ht="78" x14ac:dyDescent="0.3">
      <c r="A71" s="94" t="s">
        <v>360</v>
      </c>
      <c r="B71" s="137" t="s">
        <v>361</v>
      </c>
      <c r="C71" s="138"/>
      <c r="D71" s="96">
        <f t="shared" ref="D71:G72" si="0">SUM(D72:D72)</f>
        <v>26.4</v>
      </c>
      <c r="E71" s="96">
        <f t="shared" si="0"/>
        <v>26.4</v>
      </c>
      <c r="F71" s="96">
        <f t="shared" si="0"/>
        <v>17.899999999999999</v>
      </c>
      <c r="G71" s="96">
        <f t="shared" si="0"/>
        <v>8.5</v>
      </c>
      <c r="H71" s="375"/>
      <c r="I71" s="375"/>
      <c r="J71" s="375"/>
      <c r="K71" s="375"/>
      <c r="L71" s="375"/>
      <c r="M71" s="375"/>
    </row>
    <row r="72" spans="1:17" ht="31.2" x14ac:dyDescent="0.3">
      <c r="A72" s="97" t="s">
        <v>362</v>
      </c>
      <c r="B72" s="124" t="s">
        <v>363</v>
      </c>
      <c r="C72" s="125"/>
      <c r="D72" s="99">
        <f t="shared" si="0"/>
        <v>26.4</v>
      </c>
      <c r="E72" s="99">
        <f t="shared" si="0"/>
        <v>26.4</v>
      </c>
      <c r="F72" s="99">
        <f t="shared" si="0"/>
        <v>17.899999999999999</v>
      </c>
      <c r="G72" s="99">
        <f t="shared" si="0"/>
        <v>8.5</v>
      </c>
      <c r="H72" s="366"/>
      <c r="I72" s="366"/>
      <c r="J72" s="366"/>
      <c r="K72" s="366"/>
      <c r="L72" s="366"/>
      <c r="M72" s="366"/>
    </row>
    <row r="73" spans="1:17" ht="232.2" customHeight="1" x14ac:dyDescent="0.3">
      <c r="A73" s="100" t="s">
        <v>364</v>
      </c>
      <c r="B73" s="101" t="s">
        <v>365</v>
      </c>
      <c r="C73" s="102" t="s">
        <v>27</v>
      </c>
      <c r="D73" s="111">
        <f>SUM(D74:D75)+26.4</f>
        <v>26.4</v>
      </c>
      <c r="E73" s="111">
        <f>SUM(E74:E75)+26.4</f>
        <v>26.4</v>
      </c>
      <c r="F73" s="111">
        <f>SUM(F74:F75)+17.9</f>
        <v>17.899999999999999</v>
      </c>
      <c r="G73" s="111">
        <f>SUM(G74:G75)+8.5</f>
        <v>8.5</v>
      </c>
      <c r="H73" s="105" t="s">
        <v>366</v>
      </c>
      <c r="I73" s="106" t="s">
        <v>29</v>
      </c>
      <c r="J73" s="106">
        <v>16</v>
      </c>
      <c r="K73" s="107">
        <v>6</v>
      </c>
      <c r="L73" s="105" t="s">
        <v>367</v>
      </c>
      <c r="M73" s="108" t="s">
        <v>368</v>
      </c>
    </row>
    <row r="74" spans="1:17" ht="309" customHeight="1" x14ac:dyDescent="0.3">
      <c r="A74" s="122"/>
      <c r="B74" s="123"/>
      <c r="C74" s="114"/>
      <c r="D74" s="116">
        <v>0</v>
      </c>
      <c r="E74" s="116">
        <v>0</v>
      </c>
      <c r="F74" s="116">
        <v>0</v>
      </c>
      <c r="G74" s="116">
        <v>0</v>
      </c>
      <c r="H74" s="118" t="s">
        <v>369</v>
      </c>
      <c r="I74" s="119" t="s">
        <v>29</v>
      </c>
      <c r="J74" s="119">
        <v>11</v>
      </c>
      <c r="K74" s="120">
        <v>4</v>
      </c>
      <c r="L74" s="118" t="s">
        <v>370</v>
      </c>
      <c r="M74" s="121" t="s">
        <v>371</v>
      </c>
    </row>
    <row r="75" spans="1:17" ht="279.75" customHeight="1" x14ac:dyDescent="0.3">
      <c r="A75" s="188"/>
      <c r="B75" s="189"/>
      <c r="C75" s="133"/>
      <c r="D75" s="143">
        <v>0</v>
      </c>
      <c r="E75" s="143">
        <v>0</v>
      </c>
      <c r="F75" s="143">
        <v>0</v>
      </c>
      <c r="G75" s="143">
        <v>0</v>
      </c>
      <c r="H75" s="132" t="s">
        <v>372</v>
      </c>
      <c r="I75" s="135" t="s">
        <v>29</v>
      </c>
      <c r="J75" s="135">
        <v>17</v>
      </c>
      <c r="K75" s="136">
        <v>18</v>
      </c>
      <c r="L75" s="132" t="s">
        <v>373</v>
      </c>
      <c r="M75" s="134" t="s">
        <v>374</v>
      </c>
    </row>
    <row r="76" spans="1:17" ht="15.6" x14ac:dyDescent="0.3">
      <c r="A76" s="145"/>
      <c r="B76" s="144"/>
      <c r="C76" s="146"/>
      <c r="D76" s="147"/>
      <c r="E76" s="147"/>
      <c r="F76" s="147"/>
      <c r="G76" s="147"/>
      <c r="H76" s="146"/>
      <c r="I76" s="148"/>
      <c r="J76" s="149"/>
      <c r="K76" s="149"/>
      <c r="L76" s="146"/>
      <c r="M76" s="146"/>
    </row>
    <row r="77" spans="1:17" ht="15.6" x14ac:dyDescent="0.3">
      <c r="A77" s="145"/>
      <c r="B77" s="144"/>
      <c r="C77" s="146"/>
      <c r="D77" s="147"/>
      <c r="E77" s="147"/>
      <c r="F77" s="147"/>
      <c r="G77" s="147"/>
      <c r="H77" s="146"/>
      <c r="I77" s="148"/>
      <c r="J77" s="149"/>
    </row>
    <row r="78" spans="1:17" ht="93" customHeight="1" x14ac:dyDescent="0.3">
      <c r="A78" s="190" t="s">
        <v>5</v>
      </c>
      <c r="B78" s="190" t="s">
        <v>101</v>
      </c>
      <c r="C78" s="190" t="s">
        <v>222</v>
      </c>
      <c r="D78" s="190" t="s">
        <v>223</v>
      </c>
      <c r="E78" s="190" t="s">
        <v>104</v>
      </c>
      <c r="F78" s="190" t="s">
        <v>9</v>
      </c>
      <c r="G78" s="151"/>
      <c r="H78" s="151"/>
      <c r="I78" s="151"/>
      <c r="J78" s="151"/>
      <c r="K78" s="191"/>
      <c r="L78" s="69" t="s">
        <v>101</v>
      </c>
      <c r="M78" s="69" t="s">
        <v>105</v>
      </c>
    </row>
    <row r="79" spans="1:17" ht="44.25" customHeight="1" x14ac:dyDescent="0.3">
      <c r="A79" s="123" t="s">
        <v>106</v>
      </c>
      <c r="B79" s="123" t="s">
        <v>107</v>
      </c>
      <c r="C79" s="155">
        <f>SUM(C80:C84)</f>
        <v>6252.9</v>
      </c>
      <c r="D79" s="155">
        <f>SUM(D80:D84)</f>
        <v>5297.5000000000009</v>
      </c>
      <c r="E79" s="155">
        <f>SUM(E80:E84)</f>
        <v>4156.5</v>
      </c>
      <c r="F79" s="155">
        <f>SUM(F80:F84)+0.1</f>
        <v>1141</v>
      </c>
      <c r="G79" s="151"/>
      <c r="H79" s="151"/>
      <c r="I79" s="151"/>
      <c r="J79" s="151"/>
      <c r="K79" s="156"/>
      <c r="L79" s="192" t="s">
        <v>108</v>
      </c>
      <c r="M79" s="153">
        <v>13</v>
      </c>
    </row>
    <row r="80" spans="1:17" ht="57" customHeight="1" x14ac:dyDescent="0.3">
      <c r="A80" s="123" t="s">
        <v>27</v>
      </c>
      <c r="B80" s="123" t="s">
        <v>109</v>
      </c>
      <c r="C80" s="116">
        <v>4142</v>
      </c>
      <c r="D80" s="116">
        <v>4152.1000000000004</v>
      </c>
      <c r="E80" s="116">
        <v>3274.2</v>
      </c>
      <c r="F80" s="116">
        <v>877.9</v>
      </c>
      <c r="G80" s="151"/>
      <c r="H80" s="151"/>
      <c r="I80" s="151"/>
      <c r="J80" s="151"/>
      <c r="K80" s="158"/>
      <c r="L80" s="192" t="s">
        <v>110</v>
      </c>
      <c r="M80" s="153">
        <v>6</v>
      </c>
    </row>
    <row r="81" spans="1:13" ht="26.4" x14ac:dyDescent="0.3">
      <c r="A81" s="123" t="s">
        <v>242</v>
      </c>
      <c r="B81" s="123" t="s">
        <v>375</v>
      </c>
      <c r="C81" s="116">
        <v>49</v>
      </c>
      <c r="D81" s="116">
        <v>47.1</v>
      </c>
      <c r="E81" s="116">
        <v>30</v>
      </c>
      <c r="F81" s="116">
        <v>17.100000000000001</v>
      </c>
      <c r="G81" s="151"/>
      <c r="H81" s="151"/>
      <c r="I81" s="151"/>
      <c r="J81" s="151"/>
      <c r="K81" s="159"/>
      <c r="L81" s="192" t="s">
        <v>112</v>
      </c>
      <c r="M81" s="153">
        <v>2</v>
      </c>
    </row>
    <row r="82" spans="1:13" ht="15.6" x14ac:dyDescent="0.3">
      <c r="A82" s="123" t="s">
        <v>200</v>
      </c>
      <c r="B82" s="123" t="s">
        <v>225</v>
      </c>
      <c r="C82" s="116">
        <v>1360</v>
      </c>
      <c r="D82" s="116">
        <v>410</v>
      </c>
      <c r="E82" s="116">
        <v>300.39999999999998</v>
      </c>
      <c r="F82" s="116">
        <v>109.6</v>
      </c>
      <c r="G82" s="151"/>
      <c r="H82" s="151"/>
      <c r="I82" s="151"/>
      <c r="J82" s="151"/>
      <c r="K82" s="160"/>
      <c r="L82" s="161" t="s">
        <v>114</v>
      </c>
      <c r="M82" s="193">
        <v>21</v>
      </c>
    </row>
    <row r="83" spans="1:13" ht="15.6" x14ac:dyDescent="0.3">
      <c r="A83" s="123" t="s">
        <v>182</v>
      </c>
      <c r="B83" s="123" t="s">
        <v>226</v>
      </c>
      <c r="C83" s="116">
        <v>2</v>
      </c>
      <c r="D83" s="116">
        <v>2.8</v>
      </c>
      <c r="E83" s="116">
        <v>2.8</v>
      </c>
      <c r="F83" s="116">
        <v>0</v>
      </c>
      <c r="G83" s="151"/>
      <c r="H83" s="151"/>
      <c r="I83" s="151"/>
      <c r="J83" s="151"/>
      <c r="K83" s="151"/>
      <c r="L83" s="151"/>
      <c r="M83" s="151"/>
    </row>
    <row r="84" spans="1:13" ht="31.2" x14ac:dyDescent="0.3">
      <c r="A84" s="123" t="s">
        <v>36</v>
      </c>
      <c r="B84" s="123" t="s">
        <v>111</v>
      </c>
      <c r="C84" s="116">
        <v>699.9</v>
      </c>
      <c r="D84" s="116">
        <v>685.5</v>
      </c>
      <c r="E84" s="116">
        <v>549.1</v>
      </c>
      <c r="F84" s="116">
        <v>136.30000000000001</v>
      </c>
      <c r="G84" s="151"/>
      <c r="H84" s="151"/>
      <c r="I84" s="151"/>
      <c r="J84" s="151"/>
      <c r="K84" s="151"/>
      <c r="L84" s="151"/>
      <c r="M84" s="151"/>
    </row>
    <row r="85" spans="1:13" ht="15.6" x14ac:dyDescent="0.3">
      <c r="A85" s="194"/>
      <c r="B85" s="195" t="s">
        <v>113</v>
      </c>
      <c r="C85" s="165">
        <f>SUM(C79:C79)</f>
        <v>6252.9</v>
      </c>
      <c r="D85" s="165">
        <f>SUM(D79:D79)</f>
        <v>5297.5000000000009</v>
      </c>
      <c r="E85" s="165">
        <f>SUM(E79:E79)</f>
        <v>4156.5</v>
      </c>
      <c r="F85" s="165">
        <f>SUM(F79:F79)</f>
        <v>1141</v>
      </c>
      <c r="G85" s="151"/>
      <c r="H85" s="151"/>
      <c r="I85" s="151"/>
      <c r="J85" s="151"/>
      <c r="K85" s="151"/>
      <c r="L85" s="151"/>
      <c r="M85" s="151"/>
    </row>
    <row r="86" spans="1:13" ht="15.6" x14ac:dyDescent="0.3">
      <c r="A86" s="151"/>
      <c r="B86" s="151"/>
      <c r="C86" s="151"/>
      <c r="D86" s="151"/>
      <c r="E86" s="151"/>
      <c r="F86" s="151"/>
      <c r="G86" s="151"/>
      <c r="H86" s="151"/>
      <c r="I86" s="151"/>
      <c r="J86" s="151"/>
      <c r="K86" s="151"/>
      <c r="L86" s="151"/>
      <c r="M86" s="151"/>
    </row>
    <row r="87" spans="1:13" ht="15.6" x14ac:dyDescent="0.3">
      <c r="A87" s="151"/>
      <c r="B87" s="151"/>
      <c r="C87" s="151"/>
      <c r="D87" s="151"/>
      <c r="E87" s="151"/>
      <c r="F87" s="151"/>
      <c r="G87" s="151"/>
      <c r="H87" s="151"/>
      <c r="I87" s="151"/>
      <c r="J87" s="151"/>
      <c r="K87" s="151"/>
      <c r="L87" s="151"/>
      <c r="M87" s="151"/>
    </row>
  </sheetData>
  <mergeCells count="115">
    <mergeCell ref="H71:M71"/>
    <mergeCell ref="H72:M72"/>
    <mergeCell ref="H66:M66"/>
    <mergeCell ref="N67:Q67"/>
    <mergeCell ref="A68:A70"/>
    <mergeCell ref="B68:B70"/>
    <mergeCell ref="H68:H70"/>
    <mergeCell ref="I68:I70"/>
    <mergeCell ref="J68:J70"/>
    <mergeCell ref="K68:K70"/>
    <mergeCell ref="L68:L70"/>
    <mergeCell ref="M68:M70"/>
    <mergeCell ref="A61:A62"/>
    <mergeCell ref="B61:B62"/>
    <mergeCell ref="C61:C62"/>
    <mergeCell ref="D61:D62"/>
    <mergeCell ref="E61:E62"/>
    <mergeCell ref="F61:F62"/>
    <mergeCell ref="A63:A64"/>
    <mergeCell ref="B63:B64"/>
    <mergeCell ref="C63:C64"/>
    <mergeCell ref="D63:D64"/>
    <mergeCell ref="E63:E64"/>
    <mergeCell ref="F63:F64"/>
    <mergeCell ref="A54:A58"/>
    <mergeCell ref="B54:B58"/>
    <mergeCell ref="L54:L58"/>
    <mergeCell ref="M54:M58"/>
    <mergeCell ref="H55:H58"/>
    <mergeCell ref="I55:I58"/>
    <mergeCell ref="J55:J58"/>
    <mergeCell ref="K55:K58"/>
    <mergeCell ref="H59:M59"/>
    <mergeCell ref="H46:M46"/>
    <mergeCell ref="A47:A51"/>
    <mergeCell ref="B47:B51"/>
    <mergeCell ref="H48:H51"/>
    <mergeCell ref="I48:I51"/>
    <mergeCell ref="J48:J51"/>
    <mergeCell ref="K48:K51"/>
    <mergeCell ref="L48:L51"/>
    <mergeCell ref="M48:M51"/>
    <mergeCell ref="H39:M39"/>
    <mergeCell ref="A40:A45"/>
    <mergeCell ref="B40:B45"/>
    <mergeCell ref="H41:H45"/>
    <mergeCell ref="I41:I45"/>
    <mergeCell ref="J41:J45"/>
    <mergeCell ref="K41:K45"/>
    <mergeCell ref="L41:L45"/>
    <mergeCell ref="M41:M45"/>
    <mergeCell ref="H35:M35"/>
    <mergeCell ref="A37:A38"/>
    <mergeCell ref="B37:B38"/>
    <mergeCell ref="H37:H38"/>
    <mergeCell ref="I37:I38"/>
    <mergeCell ref="J37:J38"/>
    <mergeCell ref="K37:K38"/>
    <mergeCell ref="L37:L38"/>
    <mergeCell ref="M37:M38"/>
    <mergeCell ref="H28:M28"/>
    <mergeCell ref="A30:A32"/>
    <mergeCell ref="B30:B32"/>
    <mergeCell ref="H30:H32"/>
    <mergeCell ref="I30:I32"/>
    <mergeCell ref="J30:J32"/>
    <mergeCell ref="K30:K32"/>
    <mergeCell ref="L30:L32"/>
    <mergeCell ref="M30:M32"/>
    <mergeCell ref="A20:A23"/>
    <mergeCell ref="B20:B23"/>
    <mergeCell ref="H20:H23"/>
    <mergeCell ref="I20:I23"/>
    <mergeCell ref="J20:J23"/>
    <mergeCell ref="K20:K23"/>
    <mergeCell ref="L20:L23"/>
    <mergeCell ref="M20:M23"/>
    <mergeCell ref="A24:A27"/>
    <mergeCell ref="B24:B27"/>
    <mergeCell ref="H24:H25"/>
    <mergeCell ref="I24:I25"/>
    <mergeCell ref="J24:J25"/>
    <mergeCell ref="K24:K25"/>
    <mergeCell ref="L24:L25"/>
    <mergeCell ref="M24:M25"/>
    <mergeCell ref="H12:M12"/>
    <mergeCell ref="B13:C13"/>
    <mergeCell ref="H13:M13"/>
    <mergeCell ref="B14:C14"/>
    <mergeCell ref="H14:M14"/>
    <mergeCell ref="A15:A19"/>
    <mergeCell ref="B15:B19"/>
    <mergeCell ref="H17:H19"/>
    <mergeCell ref="I17:I19"/>
    <mergeCell ref="J17:J19"/>
    <mergeCell ref="K17:K19"/>
    <mergeCell ref="L17:L19"/>
    <mergeCell ref="M17:M19"/>
    <mergeCell ref="A4:M4"/>
    <mergeCell ref="A5:M5"/>
    <mergeCell ref="A6:M6"/>
    <mergeCell ref="A9:A11"/>
    <mergeCell ref="B9:B11"/>
    <mergeCell ref="C9:C11"/>
    <mergeCell ref="D9:F9"/>
    <mergeCell ref="G9:G11"/>
    <mergeCell ref="H9:K9"/>
    <mergeCell ref="L9:L11"/>
    <mergeCell ref="M9:M11"/>
    <mergeCell ref="D10:D11"/>
    <mergeCell ref="E10:E11"/>
    <mergeCell ref="F10:F11"/>
    <mergeCell ref="H10:I11"/>
    <mergeCell ref="J10:J11"/>
    <mergeCell ref="K10:K11"/>
  </mergeCells>
  <pageMargins left="0.4" right="0.4" top="0.4" bottom="0.4" header="0.51180555555555496" footer="0.51180555555555496"/>
  <pageSetup paperSize="9"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118"/>
  <sheetViews>
    <sheetView topLeftCell="A97" zoomScale="50" zoomScaleNormal="50" workbookViewId="0">
      <selection activeCell="K104" sqref="K104"/>
    </sheetView>
  </sheetViews>
  <sheetFormatPr defaultColWidth="9.109375" defaultRowHeight="14.4" x14ac:dyDescent="0.3"/>
  <cols>
    <col min="1" max="1" width="9.6640625" style="86" customWidth="1"/>
    <col min="2" max="2" width="31.33203125" style="86" customWidth="1"/>
    <col min="3" max="3" width="11" style="86" customWidth="1"/>
    <col min="4" max="4" width="12.109375" style="86" customWidth="1"/>
    <col min="5" max="5" width="13.33203125" style="86" customWidth="1"/>
    <col min="6" max="6" width="14.44140625" style="86" customWidth="1"/>
    <col min="7" max="7" width="0.109375" style="86" customWidth="1"/>
    <col min="8" max="8" width="28.6640625" style="86" customWidth="1"/>
    <col min="9" max="9" width="5.6640625" style="86" customWidth="1"/>
    <col min="10" max="10" width="8.5546875" style="86" customWidth="1"/>
    <col min="11" max="11" width="6.88671875" style="86" customWidth="1"/>
    <col min="12" max="12" width="33.88671875" style="86" customWidth="1"/>
    <col min="13" max="13" width="48.44140625" style="86" customWidth="1"/>
    <col min="14" max="1024" width="9.109375" style="86"/>
  </cols>
  <sheetData>
    <row r="1" spans="1:13" x14ac:dyDescent="0.3">
      <c r="M1" s="87" t="s">
        <v>0</v>
      </c>
    </row>
    <row r="2" spans="1:13" x14ac:dyDescent="0.3">
      <c r="M2" s="87" t="s">
        <v>1</v>
      </c>
    </row>
    <row r="3" spans="1:13" x14ac:dyDescent="0.3">
      <c r="M3" s="87" t="s">
        <v>2</v>
      </c>
    </row>
    <row r="4" spans="1:13" ht="12" customHeight="1" x14ac:dyDescent="0.3"/>
    <row r="5" spans="1:13" ht="15.6" x14ac:dyDescent="0.3">
      <c r="A5" s="344" t="s">
        <v>3</v>
      </c>
      <c r="B5" s="344"/>
      <c r="C5" s="344"/>
      <c r="D5" s="344"/>
      <c r="E5" s="344"/>
      <c r="F5" s="344"/>
      <c r="G5" s="344"/>
      <c r="H5" s="344"/>
      <c r="I5" s="344"/>
      <c r="J5" s="344"/>
      <c r="K5" s="344"/>
      <c r="L5" s="344"/>
      <c r="M5" s="344"/>
    </row>
    <row r="6" spans="1:13" ht="15.6" x14ac:dyDescent="0.3">
      <c r="A6" s="344" t="s">
        <v>376</v>
      </c>
      <c r="B6" s="344"/>
      <c r="C6" s="344"/>
      <c r="D6" s="344"/>
      <c r="E6" s="344"/>
      <c r="F6" s="344"/>
      <c r="G6" s="344"/>
      <c r="H6" s="344"/>
      <c r="I6" s="344"/>
      <c r="J6" s="344"/>
      <c r="K6" s="344"/>
      <c r="L6" s="344"/>
      <c r="M6" s="344"/>
    </row>
    <row r="7" spans="1:13" ht="15.6" x14ac:dyDescent="0.3">
      <c r="A7" s="88"/>
      <c r="B7" s="88"/>
      <c r="C7" s="88"/>
      <c r="D7" s="88"/>
      <c r="E7" s="88"/>
      <c r="F7" s="88"/>
      <c r="G7" s="88"/>
      <c r="H7" s="88"/>
      <c r="I7" s="88"/>
      <c r="J7" s="88"/>
      <c r="K7" s="88"/>
      <c r="L7" s="88"/>
      <c r="M7" s="88"/>
    </row>
    <row r="9" spans="1:13" ht="24.75" customHeight="1" x14ac:dyDescent="0.3">
      <c r="A9" s="382" t="s">
        <v>5</v>
      </c>
      <c r="B9" s="383" t="s">
        <v>6</v>
      </c>
      <c r="C9" s="399" t="s">
        <v>7</v>
      </c>
      <c r="D9" s="384" t="s">
        <v>8</v>
      </c>
      <c r="E9" s="384"/>
      <c r="F9" s="384"/>
      <c r="G9" s="383" t="s">
        <v>9</v>
      </c>
      <c r="H9" s="384" t="s">
        <v>10</v>
      </c>
      <c r="I9" s="384"/>
      <c r="J9" s="384"/>
      <c r="K9" s="384"/>
      <c r="L9" s="385" t="s">
        <v>11</v>
      </c>
      <c r="M9" s="387" t="s">
        <v>12</v>
      </c>
    </row>
    <row r="10" spans="1:13" ht="14.4" customHeight="1" x14ac:dyDescent="0.3">
      <c r="A10" s="382"/>
      <c r="B10" s="383"/>
      <c r="C10" s="399"/>
      <c r="D10" s="388" t="s">
        <v>13</v>
      </c>
      <c r="E10" s="388" t="s">
        <v>14</v>
      </c>
      <c r="F10" s="388" t="s">
        <v>15</v>
      </c>
      <c r="G10" s="383"/>
      <c r="H10" s="388" t="s">
        <v>16</v>
      </c>
      <c r="I10" s="388"/>
      <c r="J10" s="400" t="s">
        <v>17</v>
      </c>
      <c r="K10" s="401" t="s">
        <v>18</v>
      </c>
      <c r="L10" s="385"/>
      <c r="M10" s="387"/>
    </row>
    <row r="11" spans="1:13" ht="50.25" customHeight="1" x14ac:dyDescent="0.3">
      <c r="A11" s="382"/>
      <c r="B11" s="383"/>
      <c r="C11" s="399"/>
      <c r="D11" s="388"/>
      <c r="E11" s="388"/>
      <c r="F11" s="388"/>
      <c r="G11" s="383"/>
      <c r="H11" s="388"/>
      <c r="I11" s="388"/>
      <c r="J11" s="400"/>
      <c r="K11" s="401"/>
      <c r="L11" s="385"/>
      <c r="M11" s="387"/>
    </row>
    <row r="12" spans="1:13" ht="33.75" customHeight="1" x14ac:dyDescent="0.3">
      <c r="A12" s="196" t="s">
        <v>377</v>
      </c>
      <c r="B12" s="354" t="s">
        <v>378</v>
      </c>
      <c r="C12" s="354"/>
      <c r="D12" s="93">
        <f>D13+D71</f>
        <v>35415.800000000003</v>
      </c>
      <c r="E12" s="93">
        <f>E13+E71</f>
        <v>31459.800000000003</v>
      </c>
      <c r="F12" s="93">
        <f>F13+F71+0.1</f>
        <v>23974</v>
      </c>
      <c r="G12" s="93">
        <f>G13+G71</f>
        <v>7485.7999999999993</v>
      </c>
      <c r="H12" s="402"/>
      <c r="I12" s="402"/>
      <c r="J12" s="402"/>
      <c r="K12" s="402"/>
      <c r="L12" s="402"/>
      <c r="M12" s="402"/>
    </row>
    <row r="13" spans="1:13" ht="83.25" customHeight="1" x14ac:dyDescent="0.3">
      <c r="A13" s="94" t="s">
        <v>379</v>
      </c>
      <c r="B13" s="356" t="s">
        <v>380</v>
      </c>
      <c r="C13" s="356"/>
      <c r="D13" s="96">
        <f>D14+D22+D34+D40</f>
        <v>19389.400000000001</v>
      </c>
      <c r="E13" s="96">
        <f>E14+E22+E34+E40</f>
        <v>17200.900000000001</v>
      </c>
      <c r="F13" s="96">
        <f>F14+F22+F34+F40</f>
        <v>12149</v>
      </c>
      <c r="G13" s="96">
        <f>G14+G22+G34+G40-0.1</f>
        <v>5051.7999999999993</v>
      </c>
      <c r="H13" s="375"/>
      <c r="I13" s="375"/>
      <c r="J13" s="375"/>
      <c r="K13" s="375"/>
      <c r="L13" s="375"/>
      <c r="M13" s="375"/>
    </row>
    <row r="14" spans="1:13" ht="35.25" customHeight="1" x14ac:dyDescent="0.3">
      <c r="A14" s="97" t="s">
        <v>381</v>
      </c>
      <c r="B14" s="358" t="s">
        <v>382</v>
      </c>
      <c r="C14" s="358"/>
      <c r="D14" s="99">
        <f>D15+D20</f>
        <v>5137.8</v>
      </c>
      <c r="E14" s="99">
        <f>E15+E20</f>
        <v>5733.7</v>
      </c>
      <c r="F14" s="99">
        <f>F15+F20</f>
        <v>5610.6</v>
      </c>
      <c r="G14" s="99">
        <f>G15+G20</f>
        <v>123.1</v>
      </c>
      <c r="H14" s="366"/>
      <c r="I14" s="366"/>
      <c r="J14" s="366"/>
      <c r="K14" s="366"/>
      <c r="L14" s="366"/>
      <c r="M14" s="366"/>
    </row>
    <row r="15" spans="1:13" ht="187.2" customHeight="1" x14ac:dyDescent="0.3">
      <c r="A15" s="363" t="s">
        <v>383</v>
      </c>
      <c r="B15" s="361" t="s">
        <v>384</v>
      </c>
      <c r="C15" s="102"/>
      <c r="D15" s="111">
        <f>SUM(D16:D19)</f>
        <v>4773.8</v>
      </c>
      <c r="E15" s="111">
        <f>SUM(E16:E19)</f>
        <v>5369.7</v>
      </c>
      <c r="F15" s="111">
        <f>SUM(F16:F19)</f>
        <v>5248.6</v>
      </c>
      <c r="G15" s="111">
        <f>SUM(G16:G19)</f>
        <v>121.1</v>
      </c>
      <c r="H15" s="105" t="s">
        <v>385</v>
      </c>
      <c r="I15" s="106" t="s">
        <v>56</v>
      </c>
      <c r="J15" s="106">
        <v>100</v>
      </c>
      <c r="K15" s="117">
        <v>100</v>
      </c>
      <c r="L15" s="197" t="s">
        <v>386</v>
      </c>
      <c r="M15" s="108" t="s">
        <v>387</v>
      </c>
    </row>
    <row r="16" spans="1:13" ht="117.75" customHeight="1" x14ac:dyDescent="0.3">
      <c r="A16" s="363"/>
      <c r="B16" s="361"/>
      <c r="C16" s="114"/>
      <c r="D16" s="116">
        <v>0</v>
      </c>
      <c r="E16" s="116">
        <v>0</v>
      </c>
      <c r="F16" s="116">
        <v>0</v>
      </c>
      <c r="G16" s="116">
        <v>0</v>
      </c>
      <c r="H16" s="367" t="s">
        <v>388</v>
      </c>
      <c r="I16" s="373" t="s">
        <v>56</v>
      </c>
      <c r="J16" s="373">
        <v>100</v>
      </c>
      <c r="K16" s="374">
        <v>100</v>
      </c>
      <c r="L16" s="403" t="s">
        <v>389</v>
      </c>
      <c r="M16" s="404"/>
    </row>
    <row r="17" spans="1:13" ht="15.6" x14ac:dyDescent="0.3">
      <c r="A17" s="363"/>
      <c r="B17" s="361"/>
      <c r="C17" s="114" t="s">
        <v>36</v>
      </c>
      <c r="D17" s="116">
        <v>1228</v>
      </c>
      <c r="E17" s="116">
        <v>1208</v>
      </c>
      <c r="F17" s="116">
        <v>1197.4000000000001</v>
      </c>
      <c r="G17" s="116">
        <v>10.6</v>
      </c>
      <c r="H17" s="367"/>
      <c r="I17" s="373"/>
      <c r="J17" s="373"/>
      <c r="K17" s="374"/>
      <c r="L17" s="403"/>
      <c r="M17" s="404"/>
    </row>
    <row r="18" spans="1:13" ht="15.6" x14ac:dyDescent="0.3">
      <c r="A18" s="363"/>
      <c r="B18" s="361"/>
      <c r="C18" s="114" t="s">
        <v>27</v>
      </c>
      <c r="D18" s="116">
        <v>3015.8</v>
      </c>
      <c r="E18" s="116">
        <v>3774.7</v>
      </c>
      <c r="F18" s="116">
        <v>3664.2</v>
      </c>
      <c r="G18" s="116">
        <v>110.5</v>
      </c>
      <c r="H18" s="367"/>
      <c r="I18" s="373"/>
      <c r="J18" s="373"/>
      <c r="K18" s="374"/>
      <c r="L18" s="403"/>
      <c r="M18" s="404"/>
    </row>
    <row r="19" spans="1:13" ht="72.75" customHeight="1" x14ac:dyDescent="0.3">
      <c r="A19" s="363"/>
      <c r="B19" s="361"/>
      <c r="C19" s="114" t="s">
        <v>390</v>
      </c>
      <c r="D19" s="116">
        <v>530</v>
      </c>
      <c r="E19" s="116">
        <v>387</v>
      </c>
      <c r="F19" s="116">
        <v>387</v>
      </c>
      <c r="G19" s="116">
        <v>0</v>
      </c>
      <c r="H19" s="367"/>
      <c r="I19" s="373"/>
      <c r="J19" s="373"/>
      <c r="K19" s="374"/>
      <c r="L19" s="403"/>
      <c r="M19" s="404"/>
    </row>
    <row r="20" spans="1:13" ht="31.5" customHeight="1" x14ac:dyDescent="0.3">
      <c r="A20" s="363" t="s">
        <v>391</v>
      </c>
      <c r="B20" s="361" t="s">
        <v>392</v>
      </c>
      <c r="C20" s="102"/>
      <c r="D20" s="111">
        <f>SUM(D21:D21)</f>
        <v>364</v>
      </c>
      <c r="E20" s="111">
        <f>SUM(E21:E21)</f>
        <v>364</v>
      </c>
      <c r="F20" s="111">
        <f>SUM(F21:F21)</f>
        <v>362</v>
      </c>
      <c r="G20" s="111">
        <f>SUM(G21:G21)</f>
        <v>2</v>
      </c>
      <c r="H20" s="361" t="s">
        <v>393</v>
      </c>
      <c r="I20" s="364" t="s">
        <v>56</v>
      </c>
      <c r="J20" s="364">
        <v>100</v>
      </c>
      <c r="K20" s="360">
        <v>99.5</v>
      </c>
      <c r="L20" s="361" t="s">
        <v>394</v>
      </c>
      <c r="M20" s="362"/>
    </row>
    <row r="21" spans="1:13" ht="15.6" x14ac:dyDescent="0.3">
      <c r="A21" s="363"/>
      <c r="B21" s="361"/>
      <c r="C21" s="114" t="s">
        <v>36</v>
      </c>
      <c r="D21" s="116">
        <v>364</v>
      </c>
      <c r="E21" s="116">
        <v>364</v>
      </c>
      <c r="F21" s="116">
        <v>362</v>
      </c>
      <c r="G21" s="116">
        <v>2</v>
      </c>
      <c r="H21" s="361"/>
      <c r="I21" s="364"/>
      <c r="J21" s="364"/>
      <c r="K21" s="360"/>
      <c r="L21" s="361"/>
      <c r="M21" s="362"/>
    </row>
    <row r="22" spans="1:13" ht="31.2" x14ac:dyDescent="0.3">
      <c r="A22" s="97" t="s">
        <v>395</v>
      </c>
      <c r="B22" s="124" t="s">
        <v>396</v>
      </c>
      <c r="C22" s="125"/>
      <c r="D22" s="99">
        <f>D23+D26+D31</f>
        <v>1893.2</v>
      </c>
      <c r="E22" s="99">
        <f>E23+E26+E31</f>
        <v>1923.2</v>
      </c>
      <c r="F22" s="99">
        <f>F23+F26+F31</f>
        <v>795.5</v>
      </c>
      <c r="G22" s="99">
        <f>G23+G26+G31</f>
        <v>1127.7</v>
      </c>
      <c r="H22" s="366"/>
      <c r="I22" s="366"/>
      <c r="J22" s="366"/>
      <c r="K22" s="366"/>
      <c r="L22" s="366"/>
      <c r="M22" s="366"/>
    </row>
    <row r="23" spans="1:13" ht="31.2" customHeight="1" x14ac:dyDescent="0.3">
      <c r="A23" s="363" t="s">
        <v>397</v>
      </c>
      <c r="B23" s="361" t="s">
        <v>398</v>
      </c>
      <c r="C23" s="364" t="s">
        <v>27</v>
      </c>
      <c r="D23" s="397">
        <f>SUM(D24:D25)+136.5</f>
        <v>136.5</v>
      </c>
      <c r="E23" s="397">
        <f>SUM(E24:E25)+136.5</f>
        <v>136.5</v>
      </c>
      <c r="F23" s="397">
        <f>SUM(F24:F25)+134.8</f>
        <v>134.80000000000001</v>
      </c>
      <c r="G23" s="111">
        <f>SUM(G24:G25)+1.7</f>
        <v>1.7</v>
      </c>
      <c r="H23" s="105" t="s">
        <v>399</v>
      </c>
      <c r="I23" s="106" t="s">
        <v>29</v>
      </c>
      <c r="J23" s="106">
        <v>2</v>
      </c>
      <c r="K23" s="117">
        <v>2</v>
      </c>
      <c r="L23" s="361" t="s">
        <v>400</v>
      </c>
      <c r="M23" s="405"/>
    </row>
    <row r="24" spans="1:13" ht="46.8" x14ac:dyDescent="0.3">
      <c r="A24" s="363"/>
      <c r="B24" s="361"/>
      <c r="C24" s="364"/>
      <c r="D24" s="397"/>
      <c r="E24" s="397"/>
      <c r="F24" s="397"/>
      <c r="G24" s="116">
        <v>0</v>
      </c>
      <c r="H24" s="118" t="s">
        <v>401</v>
      </c>
      <c r="I24" s="119" t="s">
        <v>29</v>
      </c>
      <c r="J24" s="119">
        <v>1</v>
      </c>
      <c r="K24" s="128">
        <v>1</v>
      </c>
      <c r="L24" s="361"/>
      <c r="M24" s="405"/>
    </row>
    <row r="25" spans="1:13" ht="94.5" customHeight="1" x14ac:dyDescent="0.3">
      <c r="A25" s="363"/>
      <c r="B25" s="361"/>
      <c r="C25" s="364"/>
      <c r="D25" s="397"/>
      <c r="E25" s="397"/>
      <c r="F25" s="397"/>
      <c r="G25" s="116">
        <v>0</v>
      </c>
      <c r="H25" s="118" t="s">
        <v>402</v>
      </c>
      <c r="I25" s="119" t="s">
        <v>289</v>
      </c>
      <c r="J25" s="119">
        <v>1</v>
      </c>
      <c r="K25" s="128">
        <v>1</v>
      </c>
      <c r="L25" s="361"/>
      <c r="M25" s="405"/>
    </row>
    <row r="26" spans="1:13" ht="46.8" customHeight="1" x14ac:dyDescent="0.3">
      <c r="A26" s="363" t="s">
        <v>403</v>
      </c>
      <c r="B26" s="361" t="s">
        <v>404</v>
      </c>
      <c r="C26" s="102"/>
      <c r="D26" s="111">
        <f>SUM(D27:D30)</f>
        <v>82.5</v>
      </c>
      <c r="E26" s="111">
        <f>SUM(E27:E30)</f>
        <v>112.5</v>
      </c>
      <c r="F26" s="111">
        <f>SUM(F27:F30)+0.1</f>
        <v>0.70000000000000007</v>
      </c>
      <c r="G26" s="111">
        <f>SUM(G27:G30)-0.1</f>
        <v>111.8</v>
      </c>
      <c r="H26" s="105" t="s">
        <v>405</v>
      </c>
      <c r="I26" s="106" t="s">
        <v>56</v>
      </c>
      <c r="J26" s="106">
        <v>1</v>
      </c>
      <c r="K26" s="117">
        <v>1</v>
      </c>
      <c r="L26" s="197" t="s">
        <v>406</v>
      </c>
      <c r="M26" s="198" t="s">
        <v>407</v>
      </c>
    </row>
    <row r="27" spans="1:13" ht="47.25" customHeight="1" x14ac:dyDescent="0.3">
      <c r="A27" s="363"/>
      <c r="B27" s="361"/>
      <c r="C27" s="114"/>
      <c r="D27" s="116">
        <v>0</v>
      </c>
      <c r="E27" s="116">
        <v>0</v>
      </c>
      <c r="F27" s="116">
        <v>0</v>
      </c>
      <c r="G27" s="116">
        <v>0</v>
      </c>
      <c r="H27" s="367" t="s">
        <v>408</v>
      </c>
      <c r="I27" s="373" t="s">
        <v>56</v>
      </c>
      <c r="J27" s="373">
        <v>100</v>
      </c>
      <c r="K27" s="374">
        <v>100</v>
      </c>
      <c r="L27" s="367" t="s">
        <v>409</v>
      </c>
      <c r="M27" s="371"/>
    </row>
    <row r="28" spans="1:13" ht="15.6" x14ac:dyDescent="0.3">
      <c r="A28" s="363"/>
      <c r="B28" s="361"/>
      <c r="C28" s="114" t="s">
        <v>36</v>
      </c>
      <c r="D28" s="116">
        <v>62.5</v>
      </c>
      <c r="E28" s="116">
        <v>62.5</v>
      </c>
      <c r="F28" s="116">
        <v>0.4</v>
      </c>
      <c r="G28" s="116">
        <v>62.1</v>
      </c>
      <c r="H28" s="367"/>
      <c r="I28" s="373"/>
      <c r="J28" s="373"/>
      <c r="K28" s="374"/>
      <c r="L28" s="367"/>
      <c r="M28" s="371"/>
    </row>
    <row r="29" spans="1:13" ht="15.6" x14ac:dyDescent="0.3">
      <c r="A29" s="363"/>
      <c r="B29" s="361"/>
      <c r="C29" s="114" t="s">
        <v>27</v>
      </c>
      <c r="D29" s="116">
        <v>0</v>
      </c>
      <c r="E29" s="116">
        <v>30</v>
      </c>
      <c r="F29" s="116">
        <v>0</v>
      </c>
      <c r="G29" s="116">
        <v>30</v>
      </c>
      <c r="H29" s="367"/>
      <c r="I29" s="373"/>
      <c r="J29" s="373"/>
      <c r="K29" s="374"/>
      <c r="L29" s="367"/>
      <c r="M29" s="371"/>
    </row>
    <row r="30" spans="1:13" ht="15.6" x14ac:dyDescent="0.3">
      <c r="A30" s="363"/>
      <c r="B30" s="361"/>
      <c r="C30" s="114" t="s">
        <v>182</v>
      </c>
      <c r="D30" s="116">
        <v>20</v>
      </c>
      <c r="E30" s="116">
        <v>20</v>
      </c>
      <c r="F30" s="116">
        <v>0.2</v>
      </c>
      <c r="G30" s="116">
        <v>19.8</v>
      </c>
      <c r="H30" s="367"/>
      <c r="I30" s="373"/>
      <c r="J30" s="373"/>
      <c r="K30" s="374"/>
      <c r="L30" s="367"/>
      <c r="M30" s="371"/>
    </row>
    <row r="31" spans="1:13" ht="80.25" customHeight="1" x14ac:dyDescent="0.3">
      <c r="A31" s="363" t="s">
        <v>410</v>
      </c>
      <c r="B31" s="361" t="s">
        <v>411</v>
      </c>
      <c r="C31" s="102"/>
      <c r="D31" s="111">
        <f>SUM(D32:D33)</f>
        <v>1674.2</v>
      </c>
      <c r="E31" s="111">
        <f>SUM(E32:E33)</f>
        <v>1674.2</v>
      </c>
      <c r="F31" s="111">
        <f>SUM(F32:F33)</f>
        <v>660</v>
      </c>
      <c r="G31" s="111">
        <f>SUM(G32:G33)</f>
        <v>1014.2</v>
      </c>
      <c r="H31" s="361" t="s">
        <v>412</v>
      </c>
      <c r="I31" s="364" t="s">
        <v>56</v>
      </c>
      <c r="J31" s="364">
        <v>100</v>
      </c>
      <c r="K31" s="379">
        <v>39.4</v>
      </c>
      <c r="L31" s="406" t="s">
        <v>413</v>
      </c>
      <c r="M31" s="389" t="s">
        <v>414</v>
      </c>
    </row>
    <row r="32" spans="1:13" ht="15.6" x14ac:dyDescent="0.3">
      <c r="A32" s="363"/>
      <c r="B32" s="361"/>
      <c r="C32" s="114" t="s">
        <v>415</v>
      </c>
      <c r="D32" s="116">
        <v>1674.2</v>
      </c>
      <c r="E32" s="116">
        <v>974.2</v>
      </c>
      <c r="F32" s="116">
        <v>660</v>
      </c>
      <c r="G32" s="116">
        <v>314.2</v>
      </c>
      <c r="H32" s="361"/>
      <c r="I32" s="364"/>
      <c r="J32" s="364"/>
      <c r="K32" s="379"/>
      <c r="L32" s="406"/>
      <c r="M32" s="389"/>
    </row>
    <row r="33" spans="1:13" ht="15.6" x14ac:dyDescent="0.3">
      <c r="A33" s="363"/>
      <c r="B33" s="361"/>
      <c r="C33" s="114" t="s">
        <v>27</v>
      </c>
      <c r="D33" s="116">
        <v>0</v>
      </c>
      <c r="E33" s="116">
        <v>700</v>
      </c>
      <c r="F33" s="116">
        <v>0</v>
      </c>
      <c r="G33" s="116">
        <v>700</v>
      </c>
      <c r="H33" s="361"/>
      <c r="I33" s="364"/>
      <c r="J33" s="364"/>
      <c r="K33" s="379"/>
      <c r="L33" s="406"/>
      <c r="M33" s="389"/>
    </row>
    <row r="34" spans="1:13" ht="46.8" x14ac:dyDescent="0.3">
      <c r="A34" s="97" t="s">
        <v>416</v>
      </c>
      <c r="B34" s="124" t="s">
        <v>417</v>
      </c>
      <c r="C34" s="125"/>
      <c r="D34" s="99">
        <f>D35+D37</f>
        <v>666</v>
      </c>
      <c r="E34" s="99">
        <f>E35+E37</f>
        <v>159.5</v>
      </c>
      <c r="F34" s="99">
        <f>F35+F37</f>
        <v>159.30000000000001</v>
      </c>
      <c r="G34" s="99">
        <f>G35+G37</f>
        <v>0.2</v>
      </c>
      <c r="H34" s="366"/>
      <c r="I34" s="366"/>
      <c r="J34" s="366"/>
      <c r="K34" s="366"/>
      <c r="L34" s="366"/>
      <c r="M34" s="366"/>
    </row>
    <row r="35" spans="1:13" ht="78.75" customHeight="1" x14ac:dyDescent="0.3">
      <c r="A35" s="363" t="s">
        <v>418</v>
      </c>
      <c r="B35" s="361" t="s">
        <v>419</v>
      </c>
      <c r="C35" s="102"/>
      <c r="D35" s="111">
        <f>SUM(D36:D36)</f>
        <v>546</v>
      </c>
      <c r="E35" s="111">
        <f>SUM(E36:E36)</f>
        <v>36.1</v>
      </c>
      <c r="F35" s="111">
        <f>SUM(F36:F36)</f>
        <v>36</v>
      </c>
      <c r="G35" s="111">
        <f>SUM(G36:G36)</f>
        <v>0.1</v>
      </c>
      <c r="H35" s="361" t="s">
        <v>420</v>
      </c>
      <c r="I35" s="364" t="s">
        <v>29</v>
      </c>
      <c r="J35" s="364">
        <v>50</v>
      </c>
      <c r="K35" s="360">
        <v>52</v>
      </c>
      <c r="L35" s="406" t="s">
        <v>421</v>
      </c>
      <c r="M35" s="362"/>
    </row>
    <row r="36" spans="1:13" ht="15.6" x14ac:dyDescent="0.3">
      <c r="A36" s="363"/>
      <c r="B36" s="361"/>
      <c r="C36" s="114" t="s">
        <v>27</v>
      </c>
      <c r="D36" s="116">
        <v>546</v>
      </c>
      <c r="E36" s="116">
        <v>36.1</v>
      </c>
      <c r="F36" s="116">
        <v>36</v>
      </c>
      <c r="G36" s="116">
        <v>0.1</v>
      </c>
      <c r="H36" s="361"/>
      <c r="I36" s="364"/>
      <c r="J36" s="364"/>
      <c r="K36" s="360"/>
      <c r="L36" s="406"/>
      <c r="M36" s="362"/>
    </row>
    <row r="37" spans="1:13" ht="63" customHeight="1" x14ac:dyDescent="0.3">
      <c r="A37" s="363" t="s">
        <v>422</v>
      </c>
      <c r="B37" s="361" t="s">
        <v>423</v>
      </c>
      <c r="C37" s="102"/>
      <c r="D37" s="111">
        <f>SUM(D38:D39)</f>
        <v>120</v>
      </c>
      <c r="E37" s="111">
        <f>SUM(E38:E39)</f>
        <v>123.39999999999999</v>
      </c>
      <c r="F37" s="111">
        <f>SUM(F38:F39)</f>
        <v>123.3</v>
      </c>
      <c r="G37" s="111">
        <f>SUM(G38:G39)</f>
        <v>0.1</v>
      </c>
      <c r="H37" s="361" t="s">
        <v>424</v>
      </c>
      <c r="I37" s="364" t="s">
        <v>29</v>
      </c>
      <c r="J37" s="364">
        <v>3</v>
      </c>
      <c r="K37" s="379">
        <v>2</v>
      </c>
      <c r="L37" s="361" t="s">
        <v>425</v>
      </c>
      <c r="M37" s="407" t="s">
        <v>426</v>
      </c>
    </row>
    <row r="38" spans="1:13" ht="15.6" x14ac:dyDescent="0.3">
      <c r="A38" s="363"/>
      <c r="B38" s="361"/>
      <c r="C38" s="114" t="s">
        <v>27</v>
      </c>
      <c r="D38" s="116">
        <v>0</v>
      </c>
      <c r="E38" s="116">
        <v>3.1</v>
      </c>
      <c r="F38" s="116">
        <v>3</v>
      </c>
      <c r="G38" s="116">
        <v>0.1</v>
      </c>
      <c r="H38" s="361"/>
      <c r="I38" s="364"/>
      <c r="J38" s="364"/>
      <c r="K38" s="379"/>
      <c r="L38" s="361"/>
      <c r="M38" s="407"/>
    </row>
    <row r="39" spans="1:13" ht="15.6" x14ac:dyDescent="0.3">
      <c r="A39" s="363"/>
      <c r="B39" s="361"/>
      <c r="C39" s="114" t="s">
        <v>390</v>
      </c>
      <c r="D39" s="116">
        <v>120</v>
      </c>
      <c r="E39" s="116">
        <v>120.3</v>
      </c>
      <c r="F39" s="116">
        <v>120.3</v>
      </c>
      <c r="G39" s="116">
        <v>0</v>
      </c>
      <c r="H39" s="361"/>
      <c r="I39" s="364"/>
      <c r="J39" s="364"/>
      <c r="K39" s="379"/>
      <c r="L39" s="361"/>
      <c r="M39" s="407"/>
    </row>
    <row r="40" spans="1:13" ht="15.6" x14ac:dyDescent="0.3">
      <c r="A40" s="97" t="s">
        <v>427</v>
      </c>
      <c r="B40" s="124" t="s">
        <v>428</v>
      </c>
      <c r="C40" s="125"/>
      <c r="D40" s="99">
        <f>D41+D46+D50+D54+D59+D63+D67</f>
        <v>11692.400000000001</v>
      </c>
      <c r="E40" s="99">
        <f>E41+E46+E50+E54+E59+E63+E67</f>
        <v>9384.5</v>
      </c>
      <c r="F40" s="99">
        <f>F41+F46+F50+F54+F59+F63+F67</f>
        <v>5583.5999999999995</v>
      </c>
      <c r="G40" s="99">
        <f>G41+G46+G50+G54+G59+G63+G67</f>
        <v>3800.9</v>
      </c>
      <c r="H40" s="199"/>
      <c r="I40" s="200"/>
      <c r="J40" s="200"/>
      <c r="K40" s="200"/>
      <c r="L40" s="125"/>
      <c r="M40" s="201"/>
    </row>
    <row r="41" spans="1:13" ht="409.6" customHeight="1" x14ac:dyDescent="0.3">
      <c r="A41" s="363" t="s">
        <v>429</v>
      </c>
      <c r="B41" s="361" t="s">
        <v>430</v>
      </c>
      <c r="C41" s="102"/>
      <c r="D41" s="111">
        <f>SUM(D42:D45)</f>
        <v>4873.3</v>
      </c>
      <c r="E41" s="111">
        <f>SUM(E42:E45)</f>
        <v>5113.3</v>
      </c>
      <c r="F41" s="111">
        <f>SUM(F42:F45)-0.1</f>
        <v>2970.9999999999995</v>
      </c>
      <c r="G41" s="111">
        <f>SUM(G42:G45)+0.1</f>
        <v>2142.2999999999997</v>
      </c>
      <c r="H41" s="105" t="s">
        <v>431</v>
      </c>
      <c r="I41" s="106" t="s">
        <v>56</v>
      </c>
      <c r="J41" s="106">
        <v>30</v>
      </c>
      <c r="K41" s="117">
        <v>86.6</v>
      </c>
      <c r="L41" s="197" t="s">
        <v>432</v>
      </c>
      <c r="M41" s="108" t="s">
        <v>433</v>
      </c>
    </row>
    <row r="42" spans="1:13" ht="31.5" customHeight="1" x14ac:dyDescent="0.3">
      <c r="A42" s="363"/>
      <c r="B42" s="361"/>
      <c r="C42" s="114" t="s">
        <v>36</v>
      </c>
      <c r="D42" s="116">
        <v>933.3</v>
      </c>
      <c r="E42" s="116">
        <v>933.3</v>
      </c>
      <c r="F42" s="116">
        <v>933.3</v>
      </c>
      <c r="G42" s="116">
        <v>0</v>
      </c>
      <c r="H42" s="367" t="s">
        <v>434</v>
      </c>
      <c r="I42" s="373" t="s">
        <v>435</v>
      </c>
      <c r="J42" s="373" t="s">
        <v>436</v>
      </c>
      <c r="K42" s="376">
        <v>0</v>
      </c>
      <c r="L42" s="373"/>
      <c r="M42" s="371" t="s">
        <v>437</v>
      </c>
    </row>
    <row r="43" spans="1:13" ht="15.6" x14ac:dyDescent="0.3">
      <c r="A43" s="363"/>
      <c r="B43" s="361"/>
      <c r="C43" s="114" t="s">
        <v>27</v>
      </c>
      <c r="D43" s="116">
        <v>140</v>
      </c>
      <c r="E43" s="116">
        <v>380</v>
      </c>
      <c r="F43" s="116">
        <v>309.89999999999998</v>
      </c>
      <c r="G43" s="116">
        <v>70.099999999999994</v>
      </c>
      <c r="H43" s="367"/>
      <c r="I43" s="373"/>
      <c r="J43" s="373"/>
      <c r="K43" s="376"/>
      <c r="L43" s="373"/>
      <c r="M43" s="371"/>
    </row>
    <row r="44" spans="1:13" ht="15.6" x14ac:dyDescent="0.3">
      <c r="A44" s="363"/>
      <c r="B44" s="361"/>
      <c r="C44" s="114" t="s">
        <v>242</v>
      </c>
      <c r="D44" s="116">
        <v>300</v>
      </c>
      <c r="E44" s="116">
        <v>300</v>
      </c>
      <c r="F44" s="116">
        <v>140.1</v>
      </c>
      <c r="G44" s="116">
        <v>159.9</v>
      </c>
      <c r="H44" s="367"/>
      <c r="I44" s="373"/>
      <c r="J44" s="373"/>
      <c r="K44" s="376"/>
      <c r="L44" s="373"/>
      <c r="M44" s="371"/>
    </row>
    <row r="45" spans="1:13" ht="15.6" x14ac:dyDescent="0.3">
      <c r="A45" s="363"/>
      <c r="B45" s="361"/>
      <c r="C45" s="114" t="s">
        <v>200</v>
      </c>
      <c r="D45" s="116">
        <v>3500</v>
      </c>
      <c r="E45" s="116">
        <v>3500</v>
      </c>
      <c r="F45" s="116">
        <v>1587.8</v>
      </c>
      <c r="G45" s="116">
        <v>1912.2</v>
      </c>
      <c r="H45" s="367"/>
      <c r="I45" s="373"/>
      <c r="J45" s="373"/>
      <c r="K45" s="376"/>
      <c r="L45" s="373"/>
      <c r="M45" s="371"/>
    </row>
    <row r="46" spans="1:13" ht="21.6" customHeight="1" x14ac:dyDescent="0.3">
      <c r="A46" s="363" t="s">
        <v>438</v>
      </c>
      <c r="B46" s="361" t="s">
        <v>439</v>
      </c>
      <c r="C46" s="102"/>
      <c r="D46" s="111">
        <f>SUM(D47:D49)</f>
        <v>1048.0999999999999</v>
      </c>
      <c r="E46" s="111">
        <f>SUM(E47:E49)</f>
        <v>508</v>
      </c>
      <c r="F46" s="111">
        <f>SUM(F47:F49)</f>
        <v>5.2</v>
      </c>
      <c r="G46" s="111">
        <f>SUM(G47:G49)</f>
        <v>502.8</v>
      </c>
      <c r="H46" s="361" t="s">
        <v>431</v>
      </c>
      <c r="I46" s="364" t="s">
        <v>56</v>
      </c>
      <c r="J46" s="364">
        <v>10</v>
      </c>
      <c r="K46" s="378">
        <v>0</v>
      </c>
      <c r="L46" s="361" t="s">
        <v>440</v>
      </c>
      <c r="M46" s="362" t="s">
        <v>441</v>
      </c>
    </row>
    <row r="47" spans="1:13" ht="20.399999999999999" customHeight="1" x14ac:dyDescent="0.3">
      <c r="A47" s="363"/>
      <c r="B47" s="361"/>
      <c r="C47" s="114" t="s">
        <v>27</v>
      </c>
      <c r="D47" s="116">
        <v>177.5</v>
      </c>
      <c r="E47" s="116">
        <v>107.5</v>
      </c>
      <c r="F47" s="116">
        <v>5.2</v>
      </c>
      <c r="G47" s="116">
        <v>102.3</v>
      </c>
      <c r="H47" s="361"/>
      <c r="I47" s="364"/>
      <c r="J47" s="364"/>
      <c r="K47" s="378"/>
      <c r="L47" s="361"/>
      <c r="M47" s="362"/>
    </row>
    <row r="48" spans="1:13" ht="15.6" x14ac:dyDescent="0.3">
      <c r="A48" s="363"/>
      <c r="B48" s="361"/>
      <c r="C48" s="114" t="s">
        <v>200</v>
      </c>
      <c r="D48" s="116">
        <v>800</v>
      </c>
      <c r="E48" s="116">
        <v>368</v>
      </c>
      <c r="F48" s="116">
        <v>0</v>
      </c>
      <c r="G48" s="116">
        <v>368</v>
      </c>
      <c r="H48" s="361"/>
      <c r="I48" s="364"/>
      <c r="J48" s="364"/>
      <c r="K48" s="378"/>
      <c r="L48" s="361"/>
      <c r="M48" s="362"/>
    </row>
    <row r="49" spans="1:13" ht="15.6" x14ac:dyDescent="0.3">
      <c r="A49" s="363"/>
      <c r="B49" s="361"/>
      <c r="C49" s="114" t="s">
        <v>242</v>
      </c>
      <c r="D49" s="116">
        <v>70.599999999999994</v>
      </c>
      <c r="E49" s="116">
        <v>32.5</v>
      </c>
      <c r="F49" s="116">
        <v>0</v>
      </c>
      <c r="G49" s="116">
        <v>32.5</v>
      </c>
      <c r="H49" s="361"/>
      <c r="I49" s="364"/>
      <c r="J49" s="364"/>
      <c r="K49" s="378"/>
      <c r="L49" s="361"/>
      <c r="M49" s="362"/>
    </row>
    <row r="50" spans="1:13" ht="24.6" customHeight="1" x14ac:dyDescent="0.3">
      <c r="A50" s="363" t="s">
        <v>442</v>
      </c>
      <c r="B50" s="361" t="s">
        <v>443</v>
      </c>
      <c r="C50" s="102"/>
      <c r="D50" s="111">
        <f>SUM(D51:D53)</f>
        <v>1094.0999999999999</v>
      </c>
      <c r="E50" s="111">
        <f>SUM(E51:E53)</f>
        <v>900.00000000000011</v>
      </c>
      <c r="F50" s="111">
        <f>SUM(F51:F53)</f>
        <v>859</v>
      </c>
      <c r="G50" s="111">
        <f>SUM(G51:G53)</f>
        <v>41</v>
      </c>
      <c r="H50" s="361" t="s">
        <v>431</v>
      </c>
      <c r="I50" s="364" t="s">
        <v>56</v>
      </c>
      <c r="J50" s="364">
        <v>30</v>
      </c>
      <c r="K50" s="360">
        <v>30</v>
      </c>
      <c r="L50" s="361" t="s">
        <v>444</v>
      </c>
      <c r="M50" s="389" t="s">
        <v>445</v>
      </c>
    </row>
    <row r="51" spans="1:13" ht="25.2" customHeight="1" x14ac:dyDescent="0.3">
      <c r="A51" s="363"/>
      <c r="B51" s="361"/>
      <c r="C51" s="114" t="s">
        <v>242</v>
      </c>
      <c r="D51" s="116">
        <v>84.9</v>
      </c>
      <c r="E51" s="116">
        <v>66.7</v>
      </c>
      <c r="F51" s="116">
        <v>63.9</v>
      </c>
      <c r="G51" s="116">
        <v>2.8</v>
      </c>
      <c r="H51" s="361"/>
      <c r="I51" s="364"/>
      <c r="J51" s="364"/>
      <c r="K51" s="360"/>
      <c r="L51" s="361"/>
      <c r="M51" s="389"/>
    </row>
    <row r="52" spans="1:13" ht="15.6" x14ac:dyDescent="0.3">
      <c r="A52" s="363"/>
      <c r="B52" s="361"/>
      <c r="C52" s="114" t="s">
        <v>200</v>
      </c>
      <c r="D52" s="116">
        <v>900</v>
      </c>
      <c r="E52" s="116">
        <v>766.6</v>
      </c>
      <c r="F52" s="116">
        <v>729.9</v>
      </c>
      <c r="G52" s="116">
        <v>36.700000000000003</v>
      </c>
      <c r="H52" s="361"/>
      <c r="I52" s="364"/>
      <c r="J52" s="364"/>
      <c r="K52" s="360"/>
      <c r="L52" s="361"/>
      <c r="M52" s="389"/>
    </row>
    <row r="53" spans="1:13" ht="15.6" x14ac:dyDescent="0.3">
      <c r="A53" s="363"/>
      <c r="B53" s="361"/>
      <c r="C53" s="114" t="s">
        <v>27</v>
      </c>
      <c r="D53" s="116">
        <v>109.2</v>
      </c>
      <c r="E53" s="116">
        <v>66.7</v>
      </c>
      <c r="F53" s="116">
        <v>65.2</v>
      </c>
      <c r="G53" s="116">
        <v>1.5</v>
      </c>
      <c r="H53" s="361"/>
      <c r="I53" s="364"/>
      <c r="J53" s="364"/>
      <c r="K53" s="360"/>
      <c r="L53" s="361"/>
      <c r="M53" s="389"/>
    </row>
    <row r="54" spans="1:13" ht="42.6" customHeight="1" x14ac:dyDescent="0.3">
      <c r="A54" s="363" t="s">
        <v>446</v>
      </c>
      <c r="B54" s="361" t="s">
        <v>447</v>
      </c>
      <c r="C54" s="102"/>
      <c r="D54" s="111">
        <f>SUM(D55:D58)</f>
        <v>2116.1999999999998</v>
      </c>
      <c r="E54" s="111">
        <f>SUM(E55:E58)</f>
        <v>2116.1999999999998</v>
      </c>
      <c r="F54" s="111">
        <f>SUM(F55:F58)-0.1</f>
        <v>1397.4</v>
      </c>
      <c r="G54" s="111">
        <f>SUM(G55:G58)+0.1</f>
        <v>718.80000000000007</v>
      </c>
      <c r="H54" s="372" t="s">
        <v>448</v>
      </c>
      <c r="I54" s="408" t="s">
        <v>435</v>
      </c>
      <c r="J54" s="408">
        <v>0</v>
      </c>
      <c r="K54" s="378">
        <v>0</v>
      </c>
      <c r="L54" s="361" t="s">
        <v>449</v>
      </c>
      <c r="M54" s="362" t="s">
        <v>450</v>
      </c>
    </row>
    <row r="55" spans="1:13" ht="15.6" x14ac:dyDescent="0.3">
      <c r="A55" s="363"/>
      <c r="B55" s="361"/>
      <c r="C55" s="114" t="s">
        <v>27</v>
      </c>
      <c r="D55" s="116">
        <v>1300.2</v>
      </c>
      <c r="E55" s="116">
        <v>600.20000000000005</v>
      </c>
      <c r="F55" s="116">
        <v>322.8</v>
      </c>
      <c r="G55" s="116">
        <v>277.39999999999998</v>
      </c>
      <c r="H55" s="372"/>
      <c r="I55" s="408"/>
      <c r="J55" s="408"/>
      <c r="K55" s="378"/>
      <c r="L55" s="361"/>
      <c r="M55" s="362"/>
    </row>
    <row r="56" spans="1:13" ht="15.6" x14ac:dyDescent="0.3">
      <c r="A56" s="363"/>
      <c r="B56" s="361"/>
      <c r="C56" s="114" t="s">
        <v>200</v>
      </c>
      <c r="D56" s="116">
        <v>750</v>
      </c>
      <c r="E56" s="116">
        <v>750</v>
      </c>
      <c r="F56" s="116">
        <v>480.7</v>
      </c>
      <c r="G56" s="116">
        <v>269.3</v>
      </c>
      <c r="H56" s="372"/>
      <c r="I56" s="408"/>
      <c r="J56" s="408"/>
      <c r="K56" s="378"/>
      <c r="L56" s="361"/>
      <c r="M56" s="362"/>
    </row>
    <row r="57" spans="1:13" ht="15.6" x14ac:dyDescent="0.3">
      <c r="A57" s="363"/>
      <c r="B57" s="361"/>
      <c r="C57" s="114" t="s">
        <v>242</v>
      </c>
      <c r="D57" s="116">
        <v>66</v>
      </c>
      <c r="E57" s="116">
        <v>66</v>
      </c>
      <c r="F57" s="116">
        <v>42.4</v>
      </c>
      <c r="G57" s="116">
        <v>23.6</v>
      </c>
      <c r="H57" s="372"/>
      <c r="I57" s="408"/>
      <c r="J57" s="408"/>
      <c r="K57" s="378"/>
      <c r="L57" s="361"/>
      <c r="M57" s="362"/>
    </row>
    <row r="58" spans="1:13" ht="15.6" x14ac:dyDescent="0.3">
      <c r="A58" s="363"/>
      <c r="B58" s="361"/>
      <c r="C58" s="114" t="s">
        <v>415</v>
      </c>
      <c r="D58" s="116">
        <v>0</v>
      </c>
      <c r="E58" s="116">
        <v>700</v>
      </c>
      <c r="F58" s="116">
        <v>551.6</v>
      </c>
      <c r="G58" s="116">
        <v>148.4</v>
      </c>
      <c r="H58" s="372"/>
      <c r="I58" s="408"/>
      <c r="J58" s="408"/>
      <c r="K58" s="378"/>
      <c r="L58" s="361"/>
      <c r="M58" s="362"/>
    </row>
    <row r="59" spans="1:13" ht="63" customHeight="1" x14ac:dyDescent="0.3">
      <c r="A59" s="363" t="s">
        <v>451</v>
      </c>
      <c r="B59" s="361" t="s">
        <v>452</v>
      </c>
      <c r="C59" s="102"/>
      <c r="D59" s="111">
        <f>SUM(D60:D62)</f>
        <v>1137.5999999999999</v>
      </c>
      <c r="E59" s="111">
        <f>SUM(E60:E62)</f>
        <v>90</v>
      </c>
      <c r="F59" s="111">
        <f>SUM(F60:F62)</f>
        <v>0</v>
      </c>
      <c r="G59" s="111">
        <f>SUM(G60:G62)</f>
        <v>90</v>
      </c>
      <c r="H59" s="361" t="s">
        <v>448</v>
      </c>
      <c r="I59" s="364" t="s">
        <v>435</v>
      </c>
      <c r="J59" s="364" t="s">
        <v>453</v>
      </c>
      <c r="K59" s="378">
        <v>0</v>
      </c>
      <c r="L59" s="361" t="s">
        <v>454</v>
      </c>
      <c r="M59" s="362" t="s">
        <v>455</v>
      </c>
    </row>
    <row r="60" spans="1:13" ht="15.6" x14ac:dyDescent="0.3">
      <c r="A60" s="363"/>
      <c r="B60" s="361"/>
      <c r="C60" s="114" t="s">
        <v>242</v>
      </c>
      <c r="D60" s="116">
        <v>71.2</v>
      </c>
      <c r="E60" s="116">
        <v>0</v>
      </c>
      <c r="F60" s="116">
        <v>0</v>
      </c>
      <c r="G60" s="116">
        <v>0</v>
      </c>
      <c r="H60" s="361"/>
      <c r="I60" s="364"/>
      <c r="J60" s="364"/>
      <c r="K60" s="378"/>
      <c r="L60" s="361"/>
      <c r="M60" s="362"/>
    </row>
    <row r="61" spans="1:13" ht="15.6" x14ac:dyDescent="0.3">
      <c r="A61" s="363"/>
      <c r="B61" s="361"/>
      <c r="C61" s="114" t="s">
        <v>200</v>
      </c>
      <c r="D61" s="116">
        <v>807</v>
      </c>
      <c r="E61" s="116">
        <v>0</v>
      </c>
      <c r="F61" s="116">
        <v>0</v>
      </c>
      <c r="G61" s="116">
        <v>0</v>
      </c>
      <c r="H61" s="361"/>
      <c r="I61" s="364"/>
      <c r="J61" s="364"/>
      <c r="K61" s="378"/>
      <c r="L61" s="361"/>
      <c r="M61" s="362"/>
    </row>
    <row r="62" spans="1:13" ht="15.6" x14ac:dyDescent="0.3">
      <c r="A62" s="363"/>
      <c r="B62" s="361"/>
      <c r="C62" s="114" t="s">
        <v>27</v>
      </c>
      <c r="D62" s="116">
        <v>259.39999999999998</v>
      </c>
      <c r="E62" s="116">
        <v>90</v>
      </c>
      <c r="F62" s="116">
        <v>0</v>
      </c>
      <c r="G62" s="116">
        <v>90</v>
      </c>
      <c r="H62" s="361"/>
      <c r="I62" s="364"/>
      <c r="J62" s="364"/>
      <c r="K62" s="378"/>
      <c r="L62" s="361"/>
      <c r="M62" s="362"/>
    </row>
    <row r="63" spans="1:13" ht="27" customHeight="1" x14ac:dyDescent="0.3">
      <c r="A63" s="363" t="s">
        <v>456</v>
      </c>
      <c r="B63" s="361" t="s">
        <v>457</v>
      </c>
      <c r="C63" s="102"/>
      <c r="D63" s="111">
        <f>SUM(D64:D66)</f>
        <v>1162.5999999999999</v>
      </c>
      <c r="E63" s="111">
        <f>SUM(E64:E66)</f>
        <v>596</v>
      </c>
      <c r="F63" s="111">
        <f>SUM(F64:F66)</f>
        <v>298</v>
      </c>
      <c r="G63" s="111">
        <f>SUM(G64:G66)</f>
        <v>298</v>
      </c>
      <c r="H63" s="372" t="s">
        <v>448</v>
      </c>
      <c r="I63" s="408" t="s">
        <v>435</v>
      </c>
      <c r="J63" s="408"/>
      <c r="K63" s="379">
        <v>0</v>
      </c>
      <c r="L63" s="409" t="s">
        <v>458</v>
      </c>
      <c r="M63" s="362" t="s">
        <v>459</v>
      </c>
    </row>
    <row r="64" spans="1:13" ht="15.6" x14ac:dyDescent="0.3">
      <c r="A64" s="363"/>
      <c r="B64" s="361"/>
      <c r="C64" s="114" t="s">
        <v>242</v>
      </c>
      <c r="D64" s="116">
        <v>57.6</v>
      </c>
      <c r="E64" s="116">
        <v>37</v>
      </c>
      <c r="F64" s="116">
        <v>8.1</v>
      </c>
      <c r="G64" s="116">
        <v>28.9</v>
      </c>
      <c r="H64" s="372"/>
      <c r="I64" s="408"/>
      <c r="J64" s="408"/>
      <c r="K64" s="379"/>
      <c r="L64" s="409"/>
      <c r="M64" s="362"/>
    </row>
    <row r="65" spans="1:13" ht="25.8" customHeight="1" x14ac:dyDescent="0.3">
      <c r="A65" s="363"/>
      <c r="B65" s="361"/>
      <c r="C65" s="114" t="s">
        <v>27</v>
      </c>
      <c r="D65" s="116">
        <v>405</v>
      </c>
      <c r="E65" s="116">
        <v>135</v>
      </c>
      <c r="F65" s="116">
        <v>198</v>
      </c>
      <c r="G65" s="116">
        <v>-63</v>
      </c>
      <c r="H65" s="372"/>
      <c r="I65" s="408"/>
      <c r="J65" s="408"/>
      <c r="K65" s="379"/>
      <c r="L65" s="409"/>
      <c r="M65" s="362"/>
    </row>
    <row r="66" spans="1:13" ht="25.8" customHeight="1" x14ac:dyDescent="0.3">
      <c r="A66" s="363"/>
      <c r="B66" s="361"/>
      <c r="C66" s="114" t="s">
        <v>200</v>
      </c>
      <c r="D66" s="116">
        <v>700</v>
      </c>
      <c r="E66" s="116">
        <v>424</v>
      </c>
      <c r="F66" s="116">
        <v>91.9</v>
      </c>
      <c r="G66" s="116">
        <v>332.1</v>
      </c>
      <c r="H66" s="372"/>
      <c r="I66" s="408"/>
      <c r="J66" s="408"/>
      <c r="K66" s="379"/>
      <c r="L66" s="409"/>
      <c r="M66" s="362"/>
    </row>
    <row r="67" spans="1:13" ht="35.25" customHeight="1" x14ac:dyDescent="0.3">
      <c r="A67" s="363" t="s">
        <v>460</v>
      </c>
      <c r="B67" s="361" t="s">
        <v>461</v>
      </c>
      <c r="C67" s="102"/>
      <c r="D67" s="111">
        <f>SUM(D68:D70)</f>
        <v>260.5</v>
      </c>
      <c r="E67" s="111">
        <f>SUM(E68:E70)</f>
        <v>61</v>
      </c>
      <c r="F67" s="111">
        <f>SUM(F68:F70)</f>
        <v>53</v>
      </c>
      <c r="G67" s="111">
        <f>SUM(G68:G70)</f>
        <v>8</v>
      </c>
      <c r="H67" s="372" t="s">
        <v>448</v>
      </c>
      <c r="I67" s="408" t="s">
        <v>435</v>
      </c>
      <c r="J67" s="408"/>
      <c r="K67" s="379">
        <v>0</v>
      </c>
      <c r="L67" s="409" t="s">
        <v>462</v>
      </c>
      <c r="M67" s="362" t="s">
        <v>463</v>
      </c>
    </row>
    <row r="68" spans="1:13" ht="15.6" x14ac:dyDescent="0.3">
      <c r="A68" s="363"/>
      <c r="B68" s="361"/>
      <c r="C68" s="114" t="s">
        <v>242</v>
      </c>
      <c r="D68" s="116">
        <v>15</v>
      </c>
      <c r="E68" s="116">
        <v>3.5</v>
      </c>
      <c r="F68" s="116">
        <v>3</v>
      </c>
      <c r="G68" s="116">
        <v>0.5</v>
      </c>
      <c r="H68" s="372"/>
      <c r="I68" s="408"/>
      <c r="J68" s="408"/>
      <c r="K68" s="379"/>
      <c r="L68" s="409"/>
      <c r="M68" s="362"/>
    </row>
    <row r="69" spans="1:13" ht="15.6" x14ac:dyDescent="0.3">
      <c r="A69" s="363"/>
      <c r="B69" s="361"/>
      <c r="C69" s="114" t="s">
        <v>27</v>
      </c>
      <c r="D69" s="116">
        <v>45.5</v>
      </c>
      <c r="E69" s="116">
        <v>17.7</v>
      </c>
      <c r="F69" s="116">
        <v>16.5</v>
      </c>
      <c r="G69" s="116">
        <v>1.2</v>
      </c>
      <c r="H69" s="372"/>
      <c r="I69" s="408"/>
      <c r="J69" s="408"/>
      <c r="K69" s="379"/>
      <c r="L69" s="409"/>
      <c r="M69" s="362"/>
    </row>
    <row r="70" spans="1:13" ht="15.6" x14ac:dyDescent="0.3">
      <c r="A70" s="363"/>
      <c r="B70" s="361"/>
      <c r="C70" s="114" t="s">
        <v>200</v>
      </c>
      <c r="D70" s="116">
        <v>200</v>
      </c>
      <c r="E70" s="116">
        <v>39.799999999999997</v>
      </c>
      <c r="F70" s="116">
        <v>33.5</v>
      </c>
      <c r="G70" s="116">
        <v>6.3</v>
      </c>
      <c r="H70" s="372"/>
      <c r="I70" s="408"/>
      <c r="J70" s="408"/>
      <c r="K70" s="379"/>
      <c r="L70" s="409"/>
      <c r="M70" s="362"/>
    </row>
    <row r="71" spans="1:13" ht="31.2" x14ac:dyDescent="0.3">
      <c r="A71" s="94" t="s">
        <v>464</v>
      </c>
      <c r="B71" s="137" t="s">
        <v>465</v>
      </c>
      <c r="C71" s="138"/>
      <c r="D71" s="96">
        <f>D72+D103</f>
        <v>16026.400000000001</v>
      </c>
      <c r="E71" s="96">
        <f>E72+E103</f>
        <v>14258.900000000001</v>
      </c>
      <c r="F71" s="96">
        <f>F72+F103</f>
        <v>11824.900000000001</v>
      </c>
      <c r="G71" s="96">
        <f>G72+G103</f>
        <v>2434</v>
      </c>
      <c r="H71" s="375"/>
      <c r="I71" s="375"/>
      <c r="J71" s="375"/>
      <c r="K71" s="375"/>
      <c r="L71" s="375"/>
      <c r="M71" s="375"/>
    </row>
    <row r="72" spans="1:13" ht="31.2" x14ac:dyDescent="0.3">
      <c r="A72" s="97" t="s">
        <v>466</v>
      </c>
      <c r="B72" s="124" t="s">
        <v>467</v>
      </c>
      <c r="C72" s="125"/>
      <c r="D72" s="99">
        <f>D73+D78+D80+D81+D86+D89+D95+D99</f>
        <v>14698.400000000001</v>
      </c>
      <c r="E72" s="99">
        <f>E73+E78+E80+E81+E86+E89+E95+E99</f>
        <v>12784.2</v>
      </c>
      <c r="F72" s="99">
        <f>F73+F78+F80+F81+F86+F89+F95+F99</f>
        <v>10377.000000000002</v>
      </c>
      <c r="G72" s="99">
        <f>G73+G78+G80+G81+G86+G89+G95+G99</f>
        <v>2407.1999999999998</v>
      </c>
      <c r="H72" s="366"/>
      <c r="I72" s="366"/>
      <c r="J72" s="366"/>
      <c r="K72" s="366"/>
      <c r="L72" s="366"/>
      <c r="M72" s="366"/>
    </row>
    <row r="73" spans="1:13" ht="78.75" customHeight="1" x14ac:dyDescent="0.3">
      <c r="A73" s="363" t="s">
        <v>468</v>
      </c>
      <c r="B73" s="361" t="s">
        <v>469</v>
      </c>
      <c r="C73" s="102"/>
      <c r="D73" s="111">
        <f>SUM(D74:D77)</f>
        <v>2410.5</v>
      </c>
      <c r="E73" s="111">
        <f>SUM(E74:E77)</f>
        <v>4544.1000000000004</v>
      </c>
      <c r="F73" s="111">
        <f>SUM(F74:F77)</f>
        <v>4498.4000000000005</v>
      </c>
      <c r="G73" s="111">
        <f>SUM(G74:G77)</f>
        <v>45.7</v>
      </c>
      <c r="H73" s="105" t="s">
        <v>470</v>
      </c>
      <c r="I73" s="106" t="s">
        <v>56</v>
      </c>
      <c r="J73" s="106">
        <v>100</v>
      </c>
      <c r="K73" s="117">
        <v>100</v>
      </c>
      <c r="L73" s="203" t="s">
        <v>471</v>
      </c>
      <c r="M73" s="108"/>
    </row>
    <row r="74" spans="1:13" ht="227.25" customHeight="1" x14ac:dyDescent="0.3">
      <c r="A74" s="363"/>
      <c r="B74" s="361"/>
      <c r="C74" s="114"/>
      <c r="D74" s="116">
        <v>0</v>
      </c>
      <c r="E74" s="116">
        <v>0</v>
      </c>
      <c r="F74" s="116">
        <v>0</v>
      </c>
      <c r="G74" s="116">
        <v>0</v>
      </c>
      <c r="H74" s="367" t="s">
        <v>472</v>
      </c>
      <c r="I74" s="373" t="s">
        <v>56</v>
      </c>
      <c r="J74" s="373">
        <v>100</v>
      </c>
      <c r="K74" s="374">
        <v>100</v>
      </c>
      <c r="L74" s="367" t="s">
        <v>473</v>
      </c>
      <c r="M74" s="404"/>
    </row>
    <row r="75" spans="1:13" ht="15.6" x14ac:dyDescent="0.3">
      <c r="A75" s="363"/>
      <c r="B75" s="361"/>
      <c r="C75" s="114" t="s">
        <v>390</v>
      </c>
      <c r="D75" s="116">
        <v>1000</v>
      </c>
      <c r="E75" s="116">
        <v>2678.4</v>
      </c>
      <c r="F75" s="116">
        <v>2678.4</v>
      </c>
      <c r="G75" s="116">
        <v>0</v>
      </c>
      <c r="H75" s="367"/>
      <c r="I75" s="373"/>
      <c r="J75" s="373"/>
      <c r="K75" s="374"/>
      <c r="L75" s="367"/>
      <c r="M75" s="404"/>
    </row>
    <row r="76" spans="1:13" ht="15.6" x14ac:dyDescent="0.3">
      <c r="A76" s="363"/>
      <c r="B76" s="361"/>
      <c r="C76" s="114" t="s">
        <v>36</v>
      </c>
      <c r="D76" s="116">
        <v>1365</v>
      </c>
      <c r="E76" s="116">
        <v>1141.7</v>
      </c>
      <c r="F76" s="116">
        <v>1124.2</v>
      </c>
      <c r="G76" s="116">
        <v>17.5</v>
      </c>
      <c r="H76" s="367"/>
      <c r="I76" s="373"/>
      <c r="J76" s="373"/>
      <c r="K76" s="374"/>
      <c r="L76" s="367"/>
      <c r="M76" s="404"/>
    </row>
    <row r="77" spans="1:13" ht="66.75" customHeight="1" x14ac:dyDescent="0.3">
      <c r="A77" s="363"/>
      <c r="B77" s="361"/>
      <c r="C77" s="114" t="s">
        <v>27</v>
      </c>
      <c r="D77" s="116">
        <v>45.5</v>
      </c>
      <c r="E77" s="116">
        <v>724</v>
      </c>
      <c r="F77" s="116">
        <v>695.8</v>
      </c>
      <c r="G77" s="116">
        <v>28.2</v>
      </c>
      <c r="H77" s="367"/>
      <c r="I77" s="373"/>
      <c r="J77" s="373"/>
      <c r="K77" s="374"/>
      <c r="L77" s="367"/>
      <c r="M77" s="404"/>
    </row>
    <row r="78" spans="1:13" ht="53.4" customHeight="1" x14ac:dyDescent="0.3">
      <c r="A78" s="363" t="s">
        <v>474</v>
      </c>
      <c r="B78" s="361" t="s">
        <v>475</v>
      </c>
      <c r="C78" s="102"/>
      <c r="D78" s="111">
        <f>SUM(D79:D79)</f>
        <v>45.5</v>
      </c>
      <c r="E78" s="111">
        <f>SUM(E79:E79)</f>
        <v>7</v>
      </c>
      <c r="F78" s="111">
        <f>SUM(F79:F79)</f>
        <v>5.7</v>
      </c>
      <c r="G78" s="111">
        <f>SUM(G79:G79)</f>
        <v>1.3</v>
      </c>
      <c r="H78" s="361" t="s">
        <v>476</v>
      </c>
      <c r="I78" s="364" t="s">
        <v>253</v>
      </c>
      <c r="J78" s="364">
        <v>1</v>
      </c>
      <c r="K78" s="360">
        <v>1</v>
      </c>
      <c r="L78" s="372" t="s">
        <v>477</v>
      </c>
      <c r="M78" s="410"/>
    </row>
    <row r="79" spans="1:13" ht="28.8" customHeight="1" x14ac:dyDescent="0.3">
      <c r="A79" s="363"/>
      <c r="B79" s="361"/>
      <c r="C79" s="114" t="s">
        <v>27</v>
      </c>
      <c r="D79" s="116">
        <v>45.5</v>
      </c>
      <c r="E79" s="116">
        <v>7</v>
      </c>
      <c r="F79" s="116">
        <v>5.7</v>
      </c>
      <c r="G79" s="116">
        <v>1.3</v>
      </c>
      <c r="H79" s="361"/>
      <c r="I79" s="364"/>
      <c r="J79" s="364"/>
      <c r="K79" s="360"/>
      <c r="L79" s="372"/>
      <c r="M79" s="410"/>
    </row>
    <row r="80" spans="1:13" ht="62.4" x14ac:dyDescent="0.3">
      <c r="A80" s="100" t="s">
        <v>478</v>
      </c>
      <c r="B80" s="101" t="s">
        <v>479</v>
      </c>
      <c r="C80" s="102" t="s">
        <v>200</v>
      </c>
      <c r="D80" s="104">
        <v>2310</v>
      </c>
      <c r="E80" s="104">
        <v>2310</v>
      </c>
      <c r="F80" s="104">
        <v>2309.1</v>
      </c>
      <c r="G80" s="104">
        <v>0.9</v>
      </c>
      <c r="H80" s="105" t="s">
        <v>480</v>
      </c>
      <c r="I80" s="106" t="s">
        <v>29</v>
      </c>
      <c r="J80" s="106">
        <v>12</v>
      </c>
      <c r="K80" s="117">
        <v>12</v>
      </c>
      <c r="L80" s="105" t="s">
        <v>481</v>
      </c>
      <c r="M80" s="108"/>
    </row>
    <row r="81" spans="1:15" ht="243" customHeight="1" x14ac:dyDescent="0.3">
      <c r="A81" s="363" t="s">
        <v>482</v>
      </c>
      <c r="B81" s="361" t="s">
        <v>483</v>
      </c>
      <c r="C81" s="102"/>
      <c r="D81" s="111">
        <f>SUM(D82:D85)</f>
        <v>842.1</v>
      </c>
      <c r="E81" s="111">
        <f>SUM(E82:E85)</f>
        <v>412.9</v>
      </c>
      <c r="F81" s="111">
        <f>SUM(F82:F85)</f>
        <v>74.599999999999994</v>
      </c>
      <c r="G81" s="111">
        <f>SUM(G82:G85)</f>
        <v>338.3</v>
      </c>
      <c r="H81" s="361" t="s">
        <v>484</v>
      </c>
      <c r="I81" s="396" t="s">
        <v>29</v>
      </c>
      <c r="J81" s="364">
        <v>11</v>
      </c>
      <c r="K81" s="379">
        <v>2</v>
      </c>
      <c r="L81" s="372" t="s">
        <v>485</v>
      </c>
      <c r="M81" s="362" t="s">
        <v>486</v>
      </c>
      <c r="N81" s="411"/>
      <c r="O81" s="411"/>
    </row>
    <row r="82" spans="1:15" ht="15.6" x14ac:dyDescent="0.3">
      <c r="A82" s="363"/>
      <c r="B82" s="361"/>
      <c r="C82" s="114" t="s">
        <v>27</v>
      </c>
      <c r="D82" s="116">
        <v>424.3</v>
      </c>
      <c r="E82" s="116">
        <v>355.4</v>
      </c>
      <c r="F82" s="116">
        <v>63.3</v>
      </c>
      <c r="G82" s="116">
        <v>292.10000000000002</v>
      </c>
      <c r="H82" s="361"/>
      <c r="I82" s="396"/>
      <c r="J82" s="364"/>
      <c r="K82" s="379"/>
      <c r="L82" s="372"/>
      <c r="M82" s="362"/>
    </row>
    <row r="83" spans="1:15" ht="15.6" x14ac:dyDescent="0.3">
      <c r="A83" s="363"/>
      <c r="B83" s="361"/>
      <c r="C83" s="114" t="s">
        <v>36</v>
      </c>
      <c r="D83" s="116">
        <v>11.3</v>
      </c>
      <c r="E83" s="116">
        <v>11.3</v>
      </c>
      <c r="F83" s="116">
        <v>11.3</v>
      </c>
      <c r="G83" s="116">
        <v>0</v>
      </c>
      <c r="H83" s="361"/>
      <c r="I83" s="396"/>
      <c r="J83" s="364"/>
      <c r="K83" s="379"/>
      <c r="L83" s="372"/>
      <c r="M83" s="362"/>
    </row>
    <row r="84" spans="1:15" ht="15.6" x14ac:dyDescent="0.3">
      <c r="A84" s="363"/>
      <c r="B84" s="361"/>
      <c r="C84" s="114" t="s">
        <v>200</v>
      </c>
      <c r="D84" s="116">
        <v>373.5</v>
      </c>
      <c r="E84" s="116">
        <v>46.2</v>
      </c>
      <c r="F84" s="116">
        <v>0</v>
      </c>
      <c r="G84" s="116">
        <v>46.2</v>
      </c>
      <c r="H84" s="361"/>
      <c r="I84" s="396"/>
      <c r="J84" s="364"/>
      <c r="K84" s="379"/>
      <c r="L84" s="372"/>
      <c r="M84" s="362"/>
    </row>
    <row r="85" spans="1:15" ht="15.6" x14ac:dyDescent="0.3">
      <c r="A85" s="363"/>
      <c r="B85" s="361"/>
      <c r="C85" s="114" t="s">
        <v>390</v>
      </c>
      <c r="D85" s="116">
        <v>33</v>
      </c>
      <c r="E85" s="116">
        <v>0</v>
      </c>
      <c r="F85" s="116">
        <v>0</v>
      </c>
      <c r="G85" s="116">
        <v>0</v>
      </c>
      <c r="H85" s="361"/>
      <c r="I85" s="396"/>
      <c r="J85" s="364"/>
      <c r="K85" s="379"/>
      <c r="L85" s="372"/>
      <c r="M85" s="362"/>
    </row>
    <row r="86" spans="1:15" ht="409.5" customHeight="1" x14ac:dyDescent="0.3">
      <c r="A86" s="363" t="s">
        <v>487</v>
      </c>
      <c r="B86" s="361" t="s">
        <v>488</v>
      </c>
      <c r="C86" s="102"/>
      <c r="D86" s="111">
        <f>SUM(D87:D88)</f>
        <v>110</v>
      </c>
      <c r="E86" s="111">
        <f>SUM(E87:E88)</f>
        <v>60</v>
      </c>
      <c r="F86" s="111">
        <f>SUM(F87:F88)</f>
        <v>6.8</v>
      </c>
      <c r="G86" s="111">
        <f>SUM(G87:G88)</f>
        <v>53.199999999999996</v>
      </c>
      <c r="H86" s="361" t="s">
        <v>489</v>
      </c>
      <c r="I86" s="364" t="s">
        <v>29</v>
      </c>
      <c r="J86" s="364">
        <v>1</v>
      </c>
      <c r="K86" s="378">
        <v>0</v>
      </c>
      <c r="L86" s="361" t="s">
        <v>490</v>
      </c>
      <c r="M86" s="362" t="s">
        <v>491</v>
      </c>
    </row>
    <row r="87" spans="1:15" ht="15.6" x14ac:dyDescent="0.3">
      <c r="A87" s="363"/>
      <c r="B87" s="361"/>
      <c r="C87" s="114" t="s">
        <v>27</v>
      </c>
      <c r="D87" s="116">
        <v>55</v>
      </c>
      <c r="E87" s="116">
        <v>55</v>
      </c>
      <c r="F87" s="116">
        <v>5.6</v>
      </c>
      <c r="G87" s="116">
        <v>49.4</v>
      </c>
      <c r="H87" s="361"/>
      <c r="I87" s="364"/>
      <c r="J87" s="364"/>
      <c r="K87" s="378"/>
      <c r="L87" s="361"/>
      <c r="M87" s="362"/>
    </row>
    <row r="88" spans="1:15" ht="15.6" x14ac:dyDescent="0.3">
      <c r="A88" s="363"/>
      <c r="B88" s="361"/>
      <c r="C88" s="114" t="s">
        <v>36</v>
      </c>
      <c r="D88" s="116">
        <v>55</v>
      </c>
      <c r="E88" s="116">
        <v>5</v>
      </c>
      <c r="F88" s="116">
        <v>1.2</v>
      </c>
      <c r="G88" s="116">
        <v>3.8</v>
      </c>
      <c r="H88" s="361"/>
      <c r="I88" s="364"/>
      <c r="J88" s="364"/>
      <c r="K88" s="378"/>
      <c r="L88" s="361"/>
      <c r="M88" s="362"/>
    </row>
    <row r="89" spans="1:15" ht="78.75" customHeight="1" x14ac:dyDescent="0.3">
      <c r="A89" s="363" t="s">
        <v>492</v>
      </c>
      <c r="B89" s="361" t="s">
        <v>493</v>
      </c>
      <c r="C89" s="102"/>
      <c r="D89" s="111">
        <f>SUM(D90:D94)</f>
        <v>2418.2000000000003</v>
      </c>
      <c r="E89" s="111">
        <f>SUM(E90:E94)</f>
        <v>2296.3000000000002</v>
      </c>
      <c r="F89" s="111">
        <f>SUM(F90:F94)</f>
        <v>1496.8000000000002</v>
      </c>
      <c r="G89" s="111">
        <f>SUM(G90:G94)</f>
        <v>799.5</v>
      </c>
      <c r="H89" s="361" t="s">
        <v>494</v>
      </c>
      <c r="I89" s="364" t="s">
        <v>289</v>
      </c>
      <c r="J89" s="364">
        <v>1.5</v>
      </c>
      <c r="K89" s="360">
        <v>1.5</v>
      </c>
      <c r="L89" s="372" t="s">
        <v>495</v>
      </c>
      <c r="M89" s="362" t="s">
        <v>496</v>
      </c>
    </row>
    <row r="90" spans="1:15" ht="15.6" x14ac:dyDescent="0.3">
      <c r="A90" s="363"/>
      <c r="B90" s="361"/>
      <c r="C90" s="114" t="s">
        <v>200</v>
      </c>
      <c r="D90" s="116">
        <v>1381</v>
      </c>
      <c r="E90" s="116">
        <v>1381</v>
      </c>
      <c r="F90" s="116">
        <v>586.1</v>
      </c>
      <c r="G90" s="116">
        <v>794.9</v>
      </c>
      <c r="H90" s="361"/>
      <c r="I90" s="364"/>
      <c r="J90" s="364"/>
      <c r="K90" s="360"/>
      <c r="L90" s="372"/>
      <c r="M90" s="362"/>
    </row>
    <row r="91" spans="1:15" ht="15.6" x14ac:dyDescent="0.3">
      <c r="A91" s="363"/>
      <c r="B91" s="361"/>
      <c r="C91" s="114" t="s">
        <v>36</v>
      </c>
      <c r="D91" s="116">
        <v>53</v>
      </c>
      <c r="E91" s="116">
        <v>53</v>
      </c>
      <c r="F91" s="116">
        <v>53</v>
      </c>
      <c r="G91" s="116">
        <v>0</v>
      </c>
      <c r="H91" s="361"/>
      <c r="I91" s="364"/>
      <c r="J91" s="364"/>
      <c r="K91" s="360"/>
      <c r="L91" s="372"/>
      <c r="M91" s="362"/>
    </row>
    <row r="92" spans="1:15" ht="15.6" x14ac:dyDescent="0.3">
      <c r="A92" s="363"/>
      <c r="B92" s="361"/>
      <c r="C92" s="114" t="s">
        <v>415</v>
      </c>
      <c r="D92" s="116">
        <v>175</v>
      </c>
      <c r="E92" s="116">
        <v>175</v>
      </c>
      <c r="F92" s="116">
        <v>175</v>
      </c>
      <c r="G92" s="116">
        <v>0</v>
      </c>
      <c r="H92" s="361"/>
      <c r="I92" s="364"/>
      <c r="J92" s="364"/>
      <c r="K92" s="360"/>
      <c r="L92" s="372"/>
      <c r="M92" s="362"/>
    </row>
    <row r="93" spans="1:15" ht="15.6" x14ac:dyDescent="0.3">
      <c r="A93" s="363"/>
      <c r="B93" s="361"/>
      <c r="C93" s="114" t="s">
        <v>27</v>
      </c>
      <c r="D93" s="116">
        <v>687.3</v>
      </c>
      <c r="E93" s="116">
        <v>687.3</v>
      </c>
      <c r="F93" s="116">
        <v>682.7</v>
      </c>
      <c r="G93" s="116">
        <v>4.5999999999999996</v>
      </c>
      <c r="H93" s="361"/>
      <c r="I93" s="364"/>
      <c r="J93" s="364"/>
      <c r="K93" s="360"/>
      <c r="L93" s="372"/>
      <c r="M93" s="362"/>
    </row>
    <row r="94" spans="1:15" ht="51.75" customHeight="1" x14ac:dyDescent="0.3">
      <c r="A94" s="363"/>
      <c r="B94" s="361"/>
      <c r="C94" s="114" t="s">
        <v>390</v>
      </c>
      <c r="D94" s="116">
        <v>121.9</v>
      </c>
      <c r="E94" s="116">
        <v>0</v>
      </c>
      <c r="F94" s="116">
        <v>0</v>
      </c>
      <c r="G94" s="116">
        <v>0</v>
      </c>
      <c r="H94" s="361"/>
      <c r="I94" s="364"/>
      <c r="J94" s="364"/>
      <c r="K94" s="360"/>
      <c r="L94" s="372"/>
      <c r="M94" s="362"/>
    </row>
    <row r="95" spans="1:15" ht="31.5" customHeight="1" x14ac:dyDescent="0.3">
      <c r="A95" s="363" t="s">
        <v>497</v>
      </c>
      <c r="B95" s="361" t="s">
        <v>498</v>
      </c>
      <c r="C95" s="102"/>
      <c r="D95" s="111">
        <f>SUM(D96:D98)</f>
        <v>393.5</v>
      </c>
      <c r="E95" s="111">
        <f>SUM(E96:E98)</f>
        <v>428.70000000000005</v>
      </c>
      <c r="F95" s="111">
        <f>SUM(F96:F98)+0.1</f>
        <v>281.70000000000005</v>
      </c>
      <c r="G95" s="111">
        <f>SUM(G96:G98)-0.1</f>
        <v>147</v>
      </c>
      <c r="H95" s="412" t="s">
        <v>499</v>
      </c>
      <c r="I95" s="364" t="s">
        <v>289</v>
      </c>
      <c r="J95" s="364">
        <v>1.56</v>
      </c>
      <c r="K95" s="360">
        <v>1.56</v>
      </c>
      <c r="L95" s="372" t="s">
        <v>500</v>
      </c>
      <c r="M95" s="362" t="s">
        <v>501</v>
      </c>
    </row>
    <row r="96" spans="1:15" ht="15.6" x14ac:dyDescent="0.3">
      <c r="A96" s="363"/>
      <c r="B96" s="361"/>
      <c r="C96" s="114" t="s">
        <v>200</v>
      </c>
      <c r="D96" s="116">
        <v>244.4</v>
      </c>
      <c r="E96" s="116">
        <v>229.6</v>
      </c>
      <c r="F96" s="116">
        <v>163.30000000000001</v>
      </c>
      <c r="G96" s="116">
        <v>66.3</v>
      </c>
      <c r="H96" s="412"/>
      <c r="I96" s="364"/>
      <c r="J96" s="364"/>
      <c r="K96" s="360"/>
      <c r="L96" s="372"/>
      <c r="M96" s="362"/>
    </row>
    <row r="97" spans="1:13" ht="15.6" x14ac:dyDescent="0.3">
      <c r="A97" s="363"/>
      <c r="B97" s="361"/>
      <c r="C97" s="114" t="s">
        <v>27</v>
      </c>
      <c r="D97" s="116">
        <v>76</v>
      </c>
      <c r="E97" s="116">
        <v>76</v>
      </c>
      <c r="F97" s="116">
        <v>15.9</v>
      </c>
      <c r="G97" s="116">
        <v>60.1</v>
      </c>
      <c r="H97" s="412"/>
      <c r="I97" s="364"/>
      <c r="J97" s="364"/>
      <c r="K97" s="360"/>
      <c r="L97" s="372"/>
      <c r="M97" s="362"/>
    </row>
    <row r="98" spans="1:13" ht="37.5" customHeight="1" x14ac:dyDescent="0.3">
      <c r="A98" s="363"/>
      <c r="B98" s="361"/>
      <c r="C98" s="114" t="s">
        <v>36</v>
      </c>
      <c r="D98" s="116">
        <v>73.099999999999994</v>
      </c>
      <c r="E98" s="116">
        <v>123.1</v>
      </c>
      <c r="F98" s="116">
        <v>102.4</v>
      </c>
      <c r="G98" s="116">
        <v>20.7</v>
      </c>
      <c r="H98" s="412"/>
      <c r="I98" s="364"/>
      <c r="J98" s="364"/>
      <c r="K98" s="360"/>
      <c r="L98" s="372"/>
      <c r="M98" s="362"/>
    </row>
    <row r="99" spans="1:13" ht="100.5" customHeight="1" x14ac:dyDescent="0.3">
      <c r="A99" s="363" t="s">
        <v>502</v>
      </c>
      <c r="B99" s="361" t="s">
        <v>503</v>
      </c>
      <c r="C99" s="102"/>
      <c r="D99" s="111">
        <f>SUM(D100:D102)</f>
        <v>6168.6</v>
      </c>
      <c r="E99" s="111">
        <f>SUM(E100:E102)</f>
        <v>2725.2</v>
      </c>
      <c r="F99" s="111">
        <f>SUM(F100:F102)</f>
        <v>1703.9</v>
      </c>
      <c r="G99" s="111">
        <f>SUM(G100:G102)</f>
        <v>1021.3</v>
      </c>
      <c r="H99" s="105" t="s">
        <v>504</v>
      </c>
      <c r="I99" s="106" t="s">
        <v>289</v>
      </c>
      <c r="J99" s="106">
        <v>7</v>
      </c>
      <c r="K99" s="107">
        <v>3</v>
      </c>
      <c r="L99" s="361" t="s">
        <v>505</v>
      </c>
      <c r="M99" s="407" t="s">
        <v>506</v>
      </c>
    </row>
    <row r="100" spans="1:13" ht="15.6" customHeight="1" x14ac:dyDescent="0.3">
      <c r="A100" s="363"/>
      <c r="B100" s="361"/>
      <c r="C100" s="114" t="s">
        <v>27</v>
      </c>
      <c r="D100" s="116">
        <v>1896.1</v>
      </c>
      <c r="E100" s="116">
        <v>982.1</v>
      </c>
      <c r="F100" s="116">
        <v>9.6999999999999993</v>
      </c>
      <c r="G100" s="116">
        <v>972.4</v>
      </c>
      <c r="H100" s="367" t="s">
        <v>507</v>
      </c>
      <c r="I100" s="373" t="s">
        <v>56</v>
      </c>
      <c r="J100" s="373">
        <v>100</v>
      </c>
      <c r="K100" s="376">
        <v>30</v>
      </c>
      <c r="L100" s="361"/>
      <c r="M100" s="407"/>
    </row>
    <row r="101" spans="1:13" ht="15.6" x14ac:dyDescent="0.3">
      <c r="A101" s="363"/>
      <c r="B101" s="361"/>
      <c r="C101" s="114" t="s">
        <v>36</v>
      </c>
      <c r="D101" s="116">
        <v>803.9</v>
      </c>
      <c r="E101" s="116">
        <v>553.9</v>
      </c>
      <c r="F101" s="116">
        <v>505</v>
      </c>
      <c r="G101" s="116">
        <v>48.9</v>
      </c>
      <c r="H101" s="367"/>
      <c r="I101" s="373"/>
      <c r="J101" s="373"/>
      <c r="K101" s="376"/>
      <c r="L101" s="361"/>
      <c r="M101" s="407"/>
    </row>
    <row r="102" spans="1:13" ht="15.6" x14ac:dyDescent="0.3">
      <c r="A102" s="363"/>
      <c r="B102" s="361"/>
      <c r="C102" s="114" t="s">
        <v>390</v>
      </c>
      <c r="D102" s="116">
        <v>3468.6</v>
      </c>
      <c r="E102" s="116">
        <v>1189.2</v>
      </c>
      <c r="F102" s="116">
        <v>1189.2</v>
      </c>
      <c r="G102" s="116">
        <v>0</v>
      </c>
      <c r="H102" s="367"/>
      <c r="I102" s="373"/>
      <c r="J102" s="373"/>
      <c r="K102" s="376"/>
      <c r="L102" s="361"/>
      <c r="M102" s="407"/>
    </row>
    <row r="103" spans="1:13" ht="31.2" x14ac:dyDescent="0.3">
      <c r="A103" s="97" t="s">
        <v>508</v>
      </c>
      <c r="B103" s="124" t="s">
        <v>509</v>
      </c>
      <c r="C103" s="125"/>
      <c r="D103" s="99">
        <f>SUM(D104:D104)</f>
        <v>1328</v>
      </c>
      <c r="E103" s="99">
        <f>SUM(E104:E104)</f>
        <v>1474.6999999999998</v>
      </c>
      <c r="F103" s="99">
        <f>SUM(F104:F104)</f>
        <v>1447.9</v>
      </c>
      <c r="G103" s="99">
        <f>SUM(G104:G104)</f>
        <v>26.8</v>
      </c>
      <c r="H103" s="366"/>
      <c r="I103" s="366"/>
      <c r="J103" s="366"/>
      <c r="K103" s="366"/>
      <c r="L103" s="366"/>
      <c r="M103" s="366"/>
    </row>
    <row r="104" spans="1:13" ht="312.75" customHeight="1" x14ac:dyDescent="0.3">
      <c r="A104" s="100" t="s">
        <v>510</v>
      </c>
      <c r="B104" s="101" t="s">
        <v>511</v>
      </c>
      <c r="C104" s="102"/>
      <c r="D104" s="111">
        <f>SUM(D105:D106)</f>
        <v>1328</v>
      </c>
      <c r="E104" s="111">
        <f>SUM(E105:E106)</f>
        <v>1474.6999999999998</v>
      </c>
      <c r="F104" s="111">
        <f>SUM(F105:F106)</f>
        <v>1447.9</v>
      </c>
      <c r="G104" s="111">
        <f>SUM(G105:G106)</f>
        <v>26.8</v>
      </c>
      <c r="H104" s="361" t="s">
        <v>512</v>
      </c>
      <c r="I104" s="364" t="s">
        <v>29</v>
      </c>
      <c r="J104" s="364">
        <v>17</v>
      </c>
      <c r="K104" s="360">
        <v>17</v>
      </c>
      <c r="L104" s="361" t="s">
        <v>513</v>
      </c>
      <c r="M104" s="413"/>
    </row>
    <row r="105" spans="1:13" ht="15.6" x14ac:dyDescent="0.3">
      <c r="A105" s="122"/>
      <c r="B105" s="123"/>
      <c r="C105" s="114" t="s">
        <v>390</v>
      </c>
      <c r="D105" s="116">
        <v>600</v>
      </c>
      <c r="E105" s="116">
        <v>273.39999999999998</v>
      </c>
      <c r="F105" s="116">
        <v>273.39999999999998</v>
      </c>
      <c r="G105" s="116">
        <v>0</v>
      </c>
      <c r="H105" s="361"/>
      <c r="I105" s="364"/>
      <c r="J105" s="364"/>
      <c r="K105" s="360"/>
      <c r="L105" s="361"/>
      <c r="M105" s="413"/>
    </row>
    <row r="106" spans="1:13" ht="75" customHeight="1" x14ac:dyDescent="0.3">
      <c r="A106" s="188"/>
      <c r="B106" s="189"/>
      <c r="C106" s="133" t="s">
        <v>36</v>
      </c>
      <c r="D106" s="143">
        <v>728</v>
      </c>
      <c r="E106" s="143">
        <v>1201.3</v>
      </c>
      <c r="F106" s="143">
        <v>1174.5</v>
      </c>
      <c r="G106" s="143">
        <v>26.8</v>
      </c>
      <c r="H106" s="361"/>
      <c r="I106" s="364"/>
      <c r="J106" s="364"/>
      <c r="K106" s="360"/>
      <c r="L106" s="361"/>
      <c r="M106" s="413"/>
    </row>
    <row r="107" spans="1:13" x14ac:dyDescent="0.3">
      <c r="A107" s="204"/>
      <c r="B107" s="205"/>
      <c r="C107" s="206"/>
      <c r="D107" s="207"/>
      <c r="E107" s="207"/>
      <c r="F107" s="207"/>
      <c r="G107" s="207"/>
      <c r="H107" s="206"/>
      <c r="I107" s="208"/>
      <c r="J107" s="209"/>
      <c r="K107" s="209"/>
      <c r="L107" s="206"/>
      <c r="M107" s="206"/>
    </row>
    <row r="108" spans="1:13" x14ac:dyDescent="0.3">
      <c r="A108" s="204"/>
      <c r="B108" s="205"/>
      <c r="C108" s="206"/>
      <c r="D108" s="207"/>
      <c r="E108" s="207"/>
      <c r="F108" s="207"/>
      <c r="G108" s="207"/>
      <c r="H108" s="206"/>
      <c r="I108" s="208"/>
      <c r="J108" s="209"/>
      <c r="K108" s="209"/>
      <c r="L108" s="206"/>
      <c r="M108" s="206"/>
    </row>
    <row r="109" spans="1:13" ht="93.6" x14ac:dyDescent="0.3">
      <c r="A109" s="210" t="s">
        <v>5</v>
      </c>
      <c r="B109" s="210" t="s">
        <v>101</v>
      </c>
      <c r="C109" s="210" t="s">
        <v>222</v>
      </c>
      <c r="D109" s="210" t="s">
        <v>223</v>
      </c>
      <c r="E109" s="210" t="s">
        <v>104</v>
      </c>
      <c r="F109" s="210" t="s">
        <v>9</v>
      </c>
      <c r="K109" s="211"/>
      <c r="L109" s="69" t="s">
        <v>101</v>
      </c>
      <c r="M109" s="69" t="s">
        <v>105</v>
      </c>
    </row>
    <row r="110" spans="1:13" ht="31.2" x14ac:dyDescent="0.3">
      <c r="A110" s="123" t="s">
        <v>106</v>
      </c>
      <c r="B110" s="123" t="s">
        <v>107</v>
      </c>
      <c r="C110" s="155">
        <f>SUM(C111:C117)</f>
        <v>35415.799999999996</v>
      </c>
      <c r="D110" s="155">
        <f>SUM(D111:D117)</f>
        <v>31459.800000000003</v>
      </c>
      <c r="E110" s="155">
        <f>SUM(E111:E117)</f>
        <v>23974</v>
      </c>
      <c r="F110" s="155">
        <f>SUM(F111:F117)</f>
        <v>7485.8</v>
      </c>
      <c r="K110" s="156"/>
      <c r="L110" s="192" t="s">
        <v>108</v>
      </c>
      <c r="M110" s="153">
        <v>12</v>
      </c>
    </row>
    <row r="111" spans="1:13" ht="39.6" x14ac:dyDescent="0.3">
      <c r="A111" s="123" t="s">
        <v>27</v>
      </c>
      <c r="B111" s="123" t="s">
        <v>109</v>
      </c>
      <c r="C111" s="116">
        <v>9364.7999999999993</v>
      </c>
      <c r="D111" s="116">
        <v>8964.2999999999993</v>
      </c>
      <c r="E111" s="116">
        <v>6234.3</v>
      </c>
      <c r="F111" s="116">
        <v>2730</v>
      </c>
      <c r="K111" s="158"/>
      <c r="L111" s="192" t="s">
        <v>110</v>
      </c>
      <c r="M111" s="153">
        <v>7</v>
      </c>
    </row>
    <row r="112" spans="1:13" ht="26.4" x14ac:dyDescent="0.3">
      <c r="A112" s="123" t="s">
        <v>415</v>
      </c>
      <c r="B112" s="123" t="s">
        <v>514</v>
      </c>
      <c r="C112" s="116">
        <v>1849.2</v>
      </c>
      <c r="D112" s="116">
        <v>1849.2</v>
      </c>
      <c r="E112" s="116">
        <v>1386.6</v>
      </c>
      <c r="F112" s="116">
        <v>462.6</v>
      </c>
      <c r="K112" s="159"/>
      <c r="L112" s="192" t="s">
        <v>112</v>
      </c>
      <c r="M112" s="153">
        <v>4</v>
      </c>
    </row>
    <row r="113" spans="1:13" ht="15.6" x14ac:dyDescent="0.3">
      <c r="A113" s="123" t="s">
        <v>242</v>
      </c>
      <c r="B113" s="123" t="s">
        <v>375</v>
      </c>
      <c r="C113" s="116">
        <v>665.3</v>
      </c>
      <c r="D113" s="116">
        <v>505.7</v>
      </c>
      <c r="E113" s="116">
        <v>257.5</v>
      </c>
      <c r="F113" s="116">
        <v>248.2</v>
      </c>
      <c r="K113" s="212"/>
      <c r="L113" s="213" t="s">
        <v>114</v>
      </c>
      <c r="M113" s="214">
        <v>23</v>
      </c>
    </row>
    <row r="114" spans="1:13" ht="31.2" x14ac:dyDescent="0.3">
      <c r="A114" s="123" t="s">
        <v>390</v>
      </c>
      <c r="B114" s="123" t="s">
        <v>515</v>
      </c>
      <c r="C114" s="116">
        <v>5873.5</v>
      </c>
      <c r="D114" s="116">
        <v>4648.3</v>
      </c>
      <c r="E114" s="116">
        <v>4648.3</v>
      </c>
      <c r="F114" s="116">
        <v>0</v>
      </c>
    </row>
    <row r="115" spans="1:13" ht="15.6" x14ac:dyDescent="0.3">
      <c r="A115" s="123" t="s">
        <v>200</v>
      </c>
      <c r="B115" s="123" t="s">
        <v>225</v>
      </c>
      <c r="C115" s="116">
        <v>11965.9</v>
      </c>
      <c r="D115" s="116">
        <v>9815.2000000000007</v>
      </c>
      <c r="E115" s="116">
        <v>5982.3</v>
      </c>
      <c r="F115" s="116">
        <v>3832.9</v>
      </c>
    </row>
    <row r="116" spans="1:13" ht="15.6" x14ac:dyDescent="0.3">
      <c r="A116" s="123" t="s">
        <v>182</v>
      </c>
      <c r="B116" s="123" t="s">
        <v>226</v>
      </c>
      <c r="C116" s="116">
        <v>20</v>
      </c>
      <c r="D116" s="116">
        <v>20</v>
      </c>
      <c r="E116" s="116">
        <v>0.2</v>
      </c>
      <c r="F116" s="116">
        <v>19.8</v>
      </c>
    </row>
    <row r="117" spans="1:13" ht="31.2" x14ac:dyDescent="0.3">
      <c r="A117" s="123" t="s">
        <v>36</v>
      </c>
      <c r="B117" s="123" t="s">
        <v>111</v>
      </c>
      <c r="C117" s="116">
        <v>5677.1</v>
      </c>
      <c r="D117" s="116">
        <v>5657.1</v>
      </c>
      <c r="E117" s="116">
        <v>5464.8</v>
      </c>
      <c r="F117" s="116">
        <v>192.3</v>
      </c>
    </row>
    <row r="118" spans="1:13" ht="15.6" x14ac:dyDescent="0.3">
      <c r="A118" s="194"/>
      <c r="B118" s="195" t="s">
        <v>113</v>
      </c>
      <c r="C118" s="165">
        <f>SUM(C110:C110)</f>
        <v>35415.799999999996</v>
      </c>
      <c r="D118" s="165">
        <f>SUM(D110:D110)</f>
        <v>31459.800000000003</v>
      </c>
      <c r="E118" s="165">
        <f>SUM(E110:E110)</f>
        <v>23974</v>
      </c>
      <c r="F118" s="165">
        <f>SUM(F110:F110)</f>
        <v>7485.8</v>
      </c>
    </row>
  </sheetData>
  <mergeCells count="202">
    <mergeCell ref="H104:H106"/>
    <mergeCell ref="I104:I106"/>
    <mergeCell ref="J104:J106"/>
    <mergeCell ref="K104:K106"/>
    <mergeCell ref="L104:L106"/>
    <mergeCell ref="M104:M106"/>
    <mergeCell ref="A99:A102"/>
    <mergeCell ref="B99:B102"/>
    <mergeCell ref="L99:L102"/>
    <mergeCell ref="M99:M102"/>
    <mergeCell ref="H100:H102"/>
    <mergeCell ref="I100:I102"/>
    <mergeCell ref="J100:J102"/>
    <mergeCell ref="K100:K102"/>
    <mergeCell ref="H103:M103"/>
    <mergeCell ref="A89:A94"/>
    <mergeCell ref="B89:B94"/>
    <mergeCell ref="H89:H94"/>
    <mergeCell ref="I89:I94"/>
    <mergeCell ref="J89:J94"/>
    <mergeCell ref="K89:K94"/>
    <mergeCell ref="L89:L94"/>
    <mergeCell ref="M89:M94"/>
    <mergeCell ref="A95:A98"/>
    <mergeCell ref="B95:B98"/>
    <mergeCell ref="H95:H98"/>
    <mergeCell ref="I95:I98"/>
    <mergeCell ref="J95:J98"/>
    <mergeCell ref="K95:K98"/>
    <mergeCell ref="L95:L98"/>
    <mergeCell ref="M95:M98"/>
    <mergeCell ref="N81:O81"/>
    <mergeCell ref="A86:A88"/>
    <mergeCell ref="B86:B88"/>
    <mergeCell ref="H86:H88"/>
    <mergeCell ref="I86:I88"/>
    <mergeCell ref="J86:J88"/>
    <mergeCell ref="K86:K88"/>
    <mergeCell ref="L86:L88"/>
    <mergeCell ref="M86:M88"/>
    <mergeCell ref="A78:A79"/>
    <mergeCell ref="B78:B79"/>
    <mergeCell ref="H78:H79"/>
    <mergeCell ref="I78:I79"/>
    <mergeCell ref="J78:J79"/>
    <mergeCell ref="K78:K79"/>
    <mergeCell ref="L78:L79"/>
    <mergeCell ref="M78:M79"/>
    <mergeCell ref="A81:A85"/>
    <mergeCell ref="B81:B85"/>
    <mergeCell ref="H81:H85"/>
    <mergeCell ref="I81:I85"/>
    <mergeCell ref="J81:J85"/>
    <mergeCell ref="K81:K85"/>
    <mergeCell ref="L81:L85"/>
    <mergeCell ref="M81:M85"/>
    <mergeCell ref="H72:M72"/>
    <mergeCell ref="A73:A77"/>
    <mergeCell ref="B73:B77"/>
    <mergeCell ref="H74:H77"/>
    <mergeCell ref="I74:I77"/>
    <mergeCell ref="J74:J77"/>
    <mergeCell ref="K74:K77"/>
    <mergeCell ref="L74:L77"/>
    <mergeCell ref="M74:M77"/>
    <mergeCell ref="A67:A70"/>
    <mergeCell ref="B67:B70"/>
    <mergeCell ref="H67:H70"/>
    <mergeCell ref="I67:I70"/>
    <mergeCell ref="J67:J70"/>
    <mergeCell ref="K67:K70"/>
    <mergeCell ref="L67:L70"/>
    <mergeCell ref="M67:M70"/>
    <mergeCell ref="H71:M71"/>
    <mergeCell ref="A59:A62"/>
    <mergeCell ref="B59:B62"/>
    <mergeCell ref="H59:H62"/>
    <mergeCell ref="I59:I62"/>
    <mergeCell ref="J59:J62"/>
    <mergeCell ref="K59:K62"/>
    <mergeCell ref="L59:L62"/>
    <mergeCell ref="M59:M62"/>
    <mergeCell ref="A63:A66"/>
    <mergeCell ref="B63:B66"/>
    <mergeCell ref="H63:H66"/>
    <mergeCell ref="I63:I66"/>
    <mergeCell ref="J63:J66"/>
    <mergeCell ref="K63:K66"/>
    <mergeCell ref="L63:L66"/>
    <mergeCell ref="M63:M66"/>
    <mergeCell ref="A50:A53"/>
    <mergeCell ref="B50:B53"/>
    <mergeCell ref="H50:H53"/>
    <mergeCell ref="I50:I53"/>
    <mergeCell ref="J50:J53"/>
    <mergeCell ref="K50:K53"/>
    <mergeCell ref="L50:L53"/>
    <mergeCell ref="M50:M53"/>
    <mergeCell ref="A54:A58"/>
    <mergeCell ref="B54:B58"/>
    <mergeCell ref="H54:H58"/>
    <mergeCell ref="I54:I58"/>
    <mergeCell ref="J54:J58"/>
    <mergeCell ref="K54:K58"/>
    <mergeCell ref="L54:L58"/>
    <mergeCell ref="M54:M58"/>
    <mergeCell ref="A41:A45"/>
    <mergeCell ref="B41:B45"/>
    <mergeCell ref="H42:H45"/>
    <mergeCell ref="I42:I45"/>
    <mergeCell ref="J42:J45"/>
    <mergeCell ref="K42:K45"/>
    <mergeCell ref="L42:L45"/>
    <mergeCell ref="M42:M45"/>
    <mergeCell ref="A46:A49"/>
    <mergeCell ref="B46:B49"/>
    <mergeCell ref="H46:H49"/>
    <mergeCell ref="I46:I49"/>
    <mergeCell ref="J46:J49"/>
    <mergeCell ref="K46:K49"/>
    <mergeCell ref="L46:L49"/>
    <mergeCell ref="M46:M49"/>
    <mergeCell ref="A35:A36"/>
    <mergeCell ref="B35:B36"/>
    <mergeCell ref="H35:H36"/>
    <mergeCell ref="I35:I36"/>
    <mergeCell ref="J35:J36"/>
    <mergeCell ref="K35:K36"/>
    <mergeCell ref="L35:L36"/>
    <mergeCell ref="M35:M36"/>
    <mergeCell ref="A37:A39"/>
    <mergeCell ref="B37:B39"/>
    <mergeCell ref="H37:H39"/>
    <mergeCell ref="I37:I39"/>
    <mergeCell ref="J37:J39"/>
    <mergeCell ref="K37:K39"/>
    <mergeCell ref="L37:L39"/>
    <mergeCell ref="M37:M39"/>
    <mergeCell ref="A31:A33"/>
    <mergeCell ref="B31:B33"/>
    <mergeCell ref="H31:H33"/>
    <mergeCell ref="I31:I33"/>
    <mergeCell ref="J31:J33"/>
    <mergeCell ref="K31:K33"/>
    <mergeCell ref="L31:L33"/>
    <mergeCell ref="M31:M33"/>
    <mergeCell ref="H34:M34"/>
    <mergeCell ref="A23:A25"/>
    <mergeCell ref="B23:B25"/>
    <mergeCell ref="C23:C25"/>
    <mergeCell ref="D23:D25"/>
    <mergeCell ref="E23:E25"/>
    <mergeCell ref="F23:F25"/>
    <mergeCell ref="L23:L25"/>
    <mergeCell ref="M23:M25"/>
    <mergeCell ref="A26:A30"/>
    <mergeCell ref="B26:B30"/>
    <mergeCell ref="H27:H30"/>
    <mergeCell ref="I27:I30"/>
    <mergeCell ref="J27:J30"/>
    <mergeCell ref="K27:K30"/>
    <mergeCell ref="L27:L30"/>
    <mergeCell ref="M27:M30"/>
    <mergeCell ref="A20:A21"/>
    <mergeCell ref="B20:B21"/>
    <mergeCell ref="H20:H21"/>
    <mergeCell ref="I20:I21"/>
    <mergeCell ref="J20:J21"/>
    <mergeCell ref="K20:K21"/>
    <mergeCell ref="L20:L21"/>
    <mergeCell ref="M20:M21"/>
    <mergeCell ref="H22:M22"/>
    <mergeCell ref="B12:C12"/>
    <mergeCell ref="H12:M12"/>
    <mergeCell ref="B13:C13"/>
    <mergeCell ref="H13:M13"/>
    <mergeCell ref="B14:C14"/>
    <mergeCell ref="H14:M14"/>
    <mergeCell ref="A15:A19"/>
    <mergeCell ref="B15:B19"/>
    <mergeCell ref="H16:H19"/>
    <mergeCell ref="I16:I19"/>
    <mergeCell ref="J16:J19"/>
    <mergeCell ref="K16:K19"/>
    <mergeCell ref="L16:L19"/>
    <mergeCell ref="M16:M19"/>
    <mergeCell ref="A5:M5"/>
    <mergeCell ref="A6:M6"/>
    <mergeCell ref="A9:A11"/>
    <mergeCell ref="B9:B11"/>
    <mergeCell ref="C9:C11"/>
    <mergeCell ref="D9:F9"/>
    <mergeCell ref="G9:G11"/>
    <mergeCell ref="H9:K9"/>
    <mergeCell ref="L9:L11"/>
    <mergeCell ref="M9:M11"/>
    <mergeCell ref="D10:D11"/>
    <mergeCell ref="E10:E11"/>
    <mergeCell ref="F10:F11"/>
    <mergeCell ref="H10:I11"/>
    <mergeCell ref="J10:J11"/>
    <mergeCell ref="K10:K11"/>
  </mergeCells>
  <pageMargins left="0.4" right="0.4" top="0.4" bottom="0.4" header="0.51180555555555496" footer="0.51180555555555496"/>
  <pageSetup paperSize="9" firstPageNumber="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69"/>
  <sheetViews>
    <sheetView topLeftCell="A61" zoomScale="50" zoomScaleNormal="50" workbookViewId="0">
      <selection activeCell="C53" sqref="C53"/>
    </sheetView>
  </sheetViews>
  <sheetFormatPr defaultColWidth="9.109375" defaultRowHeight="14.4" x14ac:dyDescent="0.3"/>
  <cols>
    <col min="1" max="1" width="9.6640625" style="86" customWidth="1"/>
    <col min="2" max="2" width="33.109375" style="86" customWidth="1"/>
    <col min="3" max="3" width="9.21875" style="86" customWidth="1"/>
    <col min="4" max="4" width="12.21875" style="86" customWidth="1"/>
    <col min="5" max="5" width="13.109375" style="86" customWidth="1"/>
    <col min="6" max="6" width="10.6640625" style="86" customWidth="1"/>
    <col min="7" max="7" width="9.33203125" style="86" hidden="1" customWidth="1"/>
    <col min="8" max="8" width="30.109375" style="86" customWidth="1"/>
    <col min="9" max="9" width="6.44140625" style="86" customWidth="1"/>
    <col min="10" max="10" width="5.6640625" style="86" customWidth="1"/>
    <col min="11" max="11" width="6.88671875" style="86" customWidth="1"/>
    <col min="12" max="12" width="33.33203125" style="86" customWidth="1"/>
    <col min="13" max="13" width="50.33203125" style="86" customWidth="1"/>
    <col min="14" max="15" width="28" style="86" customWidth="1"/>
    <col min="16" max="1024" width="9.109375" style="86"/>
  </cols>
  <sheetData>
    <row r="1" spans="1:13" x14ac:dyDescent="0.3">
      <c r="M1" s="87" t="s">
        <v>0</v>
      </c>
    </row>
    <row r="2" spans="1:13" x14ac:dyDescent="0.3">
      <c r="M2" s="87" t="s">
        <v>1</v>
      </c>
    </row>
    <row r="3" spans="1:13" x14ac:dyDescent="0.3">
      <c r="M3" s="87" t="s">
        <v>2</v>
      </c>
    </row>
    <row r="4" spans="1:13" s="90" customFormat="1" ht="12" customHeight="1" x14ac:dyDescent="0.3">
      <c r="A4" s="215"/>
      <c r="B4" s="215"/>
      <c r="C4" s="215"/>
      <c r="D4" s="215"/>
      <c r="E4" s="215"/>
      <c r="F4" s="215"/>
      <c r="G4" s="215"/>
      <c r="H4" s="215"/>
      <c r="I4" s="215"/>
      <c r="J4" s="215"/>
      <c r="K4" s="215"/>
      <c r="L4" s="215"/>
      <c r="M4" s="215"/>
    </row>
    <row r="5" spans="1:13" ht="15.75" customHeight="1" x14ac:dyDescent="0.3">
      <c r="A5" s="344" t="s">
        <v>3</v>
      </c>
      <c r="B5" s="344"/>
      <c r="C5" s="344"/>
      <c r="D5" s="344"/>
      <c r="E5" s="344"/>
      <c r="F5" s="344"/>
      <c r="G5" s="344"/>
      <c r="H5" s="344"/>
      <c r="I5" s="344"/>
      <c r="J5" s="344"/>
      <c r="K5" s="344"/>
      <c r="L5" s="344"/>
      <c r="M5" s="344"/>
    </row>
    <row r="6" spans="1:13" ht="15.75" customHeight="1" x14ac:dyDescent="0.3">
      <c r="A6" s="344" t="s">
        <v>516</v>
      </c>
      <c r="B6" s="344"/>
      <c r="C6" s="344"/>
      <c r="D6" s="344"/>
      <c r="E6" s="344"/>
      <c r="F6" s="344"/>
      <c r="G6" s="344"/>
      <c r="H6" s="344"/>
      <c r="I6" s="344"/>
      <c r="J6" s="344"/>
      <c r="K6" s="344"/>
      <c r="L6" s="344"/>
      <c r="M6" s="344"/>
    </row>
    <row r="7" spans="1:13" ht="15.6" x14ac:dyDescent="0.3">
      <c r="A7" s="88"/>
      <c r="B7" s="88"/>
      <c r="C7" s="88"/>
      <c r="D7" s="88"/>
      <c r="E7" s="88"/>
      <c r="F7" s="88"/>
      <c r="G7" s="88"/>
      <c r="H7" s="88"/>
      <c r="I7" s="88"/>
      <c r="J7" s="88"/>
      <c r="K7" s="88"/>
      <c r="L7" s="88"/>
      <c r="M7" s="88"/>
    </row>
    <row r="9" spans="1:13" ht="15.6" customHeight="1" x14ac:dyDescent="0.3">
      <c r="A9" s="414" t="s">
        <v>5</v>
      </c>
      <c r="B9" s="415" t="s">
        <v>6</v>
      </c>
      <c r="C9" s="416" t="s">
        <v>7</v>
      </c>
      <c r="D9" s="416" t="s">
        <v>222</v>
      </c>
      <c r="E9" s="416" t="s">
        <v>223</v>
      </c>
      <c r="F9" s="416" t="s">
        <v>104</v>
      </c>
      <c r="G9" s="416" t="s">
        <v>9</v>
      </c>
      <c r="H9" s="417" t="s">
        <v>517</v>
      </c>
      <c r="I9" s="417"/>
      <c r="J9" s="417"/>
      <c r="K9" s="417"/>
      <c r="L9" s="417"/>
      <c r="M9" s="417"/>
    </row>
    <row r="10" spans="1:13" ht="15.6" customHeight="1" x14ac:dyDescent="0.3">
      <c r="A10" s="414"/>
      <c r="B10" s="415"/>
      <c r="C10" s="416"/>
      <c r="D10" s="416"/>
      <c r="E10" s="416"/>
      <c r="F10" s="416"/>
      <c r="G10" s="416"/>
      <c r="H10" s="418" t="s">
        <v>518</v>
      </c>
      <c r="I10" s="419" t="s">
        <v>519</v>
      </c>
      <c r="J10" s="420" t="s">
        <v>520</v>
      </c>
      <c r="K10" s="420"/>
      <c r="L10" s="419" t="s">
        <v>11</v>
      </c>
      <c r="M10" s="421" t="s">
        <v>521</v>
      </c>
    </row>
    <row r="11" spans="1:13" ht="32.4" customHeight="1" x14ac:dyDescent="0.3">
      <c r="A11" s="414"/>
      <c r="B11" s="415"/>
      <c r="C11" s="416"/>
      <c r="D11" s="416"/>
      <c r="E11" s="416"/>
      <c r="F11" s="416"/>
      <c r="G11" s="416"/>
      <c r="H11" s="418"/>
      <c r="I11" s="419"/>
      <c r="J11" s="216" t="s">
        <v>522</v>
      </c>
      <c r="K11" s="216" t="s">
        <v>523</v>
      </c>
      <c r="L11" s="419"/>
      <c r="M11" s="421"/>
    </row>
    <row r="12" spans="1:13" ht="15.6" x14ac:dyDescent="0.3">
      <c r="A12" s="91" t="s">
        <v>524</v>
      </c>
      <c r="B12" s="167" t="s">
        <v>525</v>
      </c>
      <c r="C12" s="168"/>
      <c r="D12" s="93">
        <f>D13+D25</f>
        <v>3846.1</v>
      </c>
      <c r="E12" s="93">
        <f>E13+E25</f>
        <v>3842.6</v>
      </c>
      <c r="F12" s="93">
        <f>F13+F25</f>
        <v>2656.3999999999996</v>
      </c>
      <c r="G12" s="93">
        <f>G13+G25</f>
        <v>1186.1999999999998</v>
      </c>
      <c r="H12" s="402"/>
      <c r="I12" s="402"/>
      <c r="J12" s="402"/>
      <c r="K12" s="402"/>
      <c r="L12" s="402"/>
      <c r="M12" s="402"/>
    </row>
    <row r="13" spans="1:13" ht="31.2" x14ac:dyDescent="0.3">
      <c r="A13" s="94" t="s">
        <v>526</v>
      </c>
      <c r="B13" s="137" t="s">
        <v>527</v>
      </c>
      <c r="C13" s="138"/>
      <c r="D13" s="96">
        <f>D14+D21</f>
        <v>121.19999999999999</v>
      </c>
      <c r="E13" s="96">
        <f>E14+E21</f>
        <v>122.69999999999999</v>
      </c>
      <c r="F13" s="96">
        <f>F14+F21</f>
        <v>110</v>
      </c>
      <c r="G13" s="96">
        <f>G14+G21</f>
        <v>12.7</v>
      </c>
      <c r="H13" s="357"/>
      <c r="I13" s="357"/>
      <c r="J13" s="357"/>
      <c r="K13" s="357"/>
      <c r="L13" s="357"/>
      <c r="M13" s="357"/>
    </row>
    <row r="14" spans="1:13" ht="46.8" x14ac:dyDescent="0.3">
      <c r="A14" s="97" t="s">
        <v>528</v>
      </c>
      <c r="B14" s="124" t="s">
        <v>529</v>
      </c>
      <c r="C14" s="125"/>
      <c r="D14" s="99">
        <f>D15+D18</f>
        <v>70.3</v>
      </c>
      <c r="E14" s="99">
        <f>E15+E18</f>
        <v>71.8</v>
      </c>
      <c r="F14" s="99">
        <f>F15+F18</f>
        <v>59.099999999999994</v>
      </c>
      <c r="G14" s="99">
        <f>G15+G18</f>
        <v>12.7</v>
      </c>
      <c r="H14" s="359"/>
      <c r="I14" s="359"/>
      <c r="J14" s="359"/>
      <c r="K14" s="359"/>
      <c r="L14" s="359"/>
      <c r="M14" s="359"/>
    </row>
    <row r="15" spans="1:13" ht="76.8" customHeight="1" x14ac:dyDescent="0.3">
      <c r="A15" s="363" t="s">
        <v>530</v>
      </c>
      <c r="B15" s="361" t="s">
        <v>531</v>
      </c>
      <c r="C15" s="102"/>
      <c r="D15" s="111">
        <f>SUM(D16:D17)</f>
        <v>45</v>
      </c>
      <c r="E15" s="111">
        <f>SUM(E16:E17)</f>
        <v>46.5</v>
      </c>
      <c r="F15" s="111">
        <f>SUM(F16:F17)</f>
        <v>33.799999999999997</v>
      </c>
      <c r="G15" s="111">
        <f>SUM(G16:G17)</f>
        <v>12.7</v>
      </c>
      <c r="H15" s="396" t="s">
        <v>532</v>
      </c>
      <c r="I15" s="364" t="s">
        <v>29</v>
      </c>
      <c r="J15" s="364">
        <v>6</v>
      </c>
      <c r="K15" s="360">
        <v>6</v>
      </c>
      <c r="L15" s="372" t="s">
        <v>533</v>
      </c>
      <c r="M15" s="422"/>
    </row>
    <row r="16" spans="1:13" ht="15.6" x14ac:dyDescent="0.3">
      <c r="A16" s="363"/>
      <c r="B16" s="361"/>
      <c r="C16" s="114" t="s">
        <v>27</v>
      </c>
      <c r="D16" s="116">
        <v>45</v>
      </c>
      <c r="E16" s="116">
        <v>45</v>
      </c>
      <c r="F16" s="116">
        <v>32.299999999999997</v>
      </c>
      <c r="G16" s="116">
        <v>12.7</v>
      </c>
      <c r="H16" s="396"/>
      <c r="I16" s="364"/>
      <c r="J16" s="364"/>
      <c r="K16" s="360"/>
      <c r="L16" s="372"/>
      <c r="M16" s="422"/>
    </row>
    <row r="17" spans="1:13" ht="15.6" x14ac:dyDescent="0.3">
      <c r="A17" s="363"/>
      <c r="B17" s="361"/>
      <c r="C17" s="114" t="s">
        <v>534</v>
      </c>
      <c r="D17" s="116">
        <v>0</v>
      </c>
      <c r="E17" s="116">
        <v>1.5</v>
      </c>
      <c r="F17" s="116">
        <v>1.5</v>
      </c>
      <c r="G17" s="116">
        <v>0</v>
      </c>
      <c r="H17" s="396"/>
      <c r="I17" s="364"/>
      <c r="J17" s="364"/>
      <c r="K17" s="360"/>
      <c r="L17" s="372"/>
      <c r="M17" s="422"/>
    </row>
    <row r="18" spans="1:13" ht="202.8" x14ac:dyDescent="0.3">
      <c r="A18" s="100" t="s">
        <v>535</v>
      </c>
      <c r="B18" s="101" t="s">
        <v>536</v>
      </c>
      <c r="C18" s="102" t="s">
        <v>27</v>
      </c>
      <c r="D18" s="111">
        <f>SUM(D19:D20)+25.3</f>
        <v>25.3</v>
      </c>
      <c r="E18" s="111">
        <f>SUM(E19:E20)+25.3</f>
        <v>25.3</v>
      </c>
      <c r="F18" s="111">
        <f>SUM(F19:F20)+25.3</f>
        <v>25.3</v>
      </c>
      <c r="G18" s="111">
        <f>SUM(G19:G20)</f>
        <v>0</v>
      </c>
      <c r="H18" s="102" t="s">
        <v>537</v>
      </c>
      <c r="I18" s="106" t="s">
        <v>29</v>
      </c>
      <c r="J18" s="106">
        <v>6</v>
      </c>
      <c r="K18" s="117">
        <v>10</v>
      </c>
      <c r="L18" s="105" t="s">
        <v>538</v>
      </c>
      <c r="M18" s="108"/>
    </row>
    <row r="19" spans="1:13" ht="62.4" x14ac:dyDescent="0.3">
      <c r="A19" s="122"/>
      <c r="B19" s="123"/>
      <c r="C19" s="114"/>
      <c r="D19" s="116">
        <v>0</v>
      </c>
      <c r="E19" s="116">
        <v>0</v>
      </c>
      <c r="F19" s="116">
        <v>0</v>
      </c>
      <c r="G19" s="116">
        <v>0</v>
      </c>
      <c r="H19" s="114" t="s">
        <v>539</v>
      </c>
      <c r="I19" s="119" t="s">
        <v>540</v>
      </c>
      <c r="J19" s="119">
        <v>270</v>
      </c>
      <c r="K19" s="128">
        <v>385</v>
      </c>
      <c r="L19" s="118" t="s">
        <v>541</v>
      </c>
      <c r="M19" s="121"/>
    </row>
    <row r="20" spans="1:13" ht="171.6" x14ac:dyDescent="0.3">
      <c r="A20" s="122"/>
      <c r="B20" s="123"/>
      <c r="C20" s="114"/>
      <c r="D20" s="116">
        <v>0</v>
      </c>
      <c r="E20" s="116">
        <v>0</v>
      </c>
      <c r="F20" s="116">
        <v>0</v>
      </c>
      <c r="G20" s="116">
        <v>0</v>
      </c>
      <c r="H20" s="114" t="s">
        <v>542</v>
      </c>
      <c r="I20" s="119" t="s">
        <v>29</v>
      </c>
      <c r="J20" s="119">
        <v>5</v>
      </c>
      <c r="K20" s="128">
        <v>7</v>
      </c>
      <c r="L20" s="118" t="s">
        <v>543</v>
      </c>
      <c r="M20" s="121"/>
    </row>
    <row r="21" spans="1:13" ht="31.2" x14ac:dyDescent="0.3">
      <c r="A21" s="97" t="s">
        <v>544</v>
      </c>
      <c r="B21" s="124" t="s">
        <v>545</v>
      </c>
      <c r="C21" s="125"/>
      <c r="D21" s="99">
        <f>SUM(D22:D22)</f>
        <v>50.9</v>
      </c>
      <c r="E21" s="99">
        <f>SUM(E22:E22)</f>
        <v>50.9</v>
      </c>
      <c r="F21" s="99">
        <f>SUM(F22:F22)</f>
        <v>50.9</v>
      </c>
      <c r="G21" s="99">
        <f>SUM(G22:G22)</f>
        <v>0</v>
      </c>
      <c r="H21" s="359"/>
      <c r="I21" s="359"/>
      <c r="J21" s="359"/>
      <c r="K21" s="359"/>
      <c r="L21" s="359"/>
      <c r="M21" s="359"/>
    </row>
    <row r="22" spans="1:13" ht="193.5" customHeight="1" x14ac:dyDescent="0.3">
      <c r="A22" s="100" t="s">
        <v>546</v>
      </c>
      <c r="B22" s="101" t="s">
        <v>547</v>
      </c>
      <c r="C22" s="102" t="s">
        <v>27</v>
      </c>
      <c r="D22" s="111">
        <f>SUM(D23:D24)+50.9</f>
        <v>50.9</v>
      </c>
      <c r="E22" s="111">
        <f>SUM(E23:E24)+50.9</f>
        <v>50.9</v>
      </c>
      <c r="F22" s="111">
        <f>SUM(F23:F24)+50.9</f>
        <v>50.9</v>
      </c>
      <c r="G22" s="111">
        <f>SUM(G23:G24)</f>
        <v>0</v>
      </c>
      <c r="H22" s="105" t="s">
        <v>548</v>
      </c>
      <c r="I22" s="106" t="s">
        <v>29</v>
      </c>
      <c r="J22" s="106">
        <v>14</v>
      </c>
      <c r="K22" s="117">
        <v>23</v>
      </c>
      <c r="L22" s="105" t="s">
        <v>549</v>
      </c>
      <c r="M22" s="108"/>
    </row>
    <row r="23" spans="1:13" ht="62.4" x14ac:dyDescent="0.3">
      <c r="A23" s="122"/>
      <c r="B23" s="123"/>
      <c r="C23" s="114"/>
      <c r="D23" s="116">
        <v>0</v>
      </c>
      <c r="E23" s="116">
        <v>0</v>
      </c>
      <c r="F23" s="116">
        <v>0</v>
      </c>
      <c r="G23" s="116">
        <v>0</v>
      </c>
      <c r="H23" s="114" t="s">
        <v>550</v>
      </c>
      <c r="I23" s="119" t="s">
        <v>551</v>
      </c>
      <c r="J23" s="119">
        <v>35</v>
      </c>
      <c r="K23" s="128">
        <v>47</v>
      </c>
      <c r="L23" s="118" t="s">
        <v>541</v>
      </c>
      <c r="M23" s="121"/>
    </row>
    <row r="24" spans="1:13" ht="156" x14ac:dyDescent="0.3">
      <c r="A24" s="122"/>
      <c r="B24" s="123"/>
      <c r="C24" s="114"/>
      <c r="D24" s="116">
        <v>0</v>
      </c>
      <c r="E24" s="116">
        <v>0</v>
      </c>
      <c r="F24" s="116">
        <v>0</v>
      </c>
      <c r="G24" s="116">
        <v>0</v>
      </c>
      <c r="H24" s="114" t="s">
        <v>552</v>
      </c>
      <c r="I24" s="119" t="s">
        <v>29</v>
      </c>
      <c r="J24" s="119">
        <v>11</v>
      </c>
      <c r="K24" s="128">
        <v>12</v>
      </c>
      <c r="L24" s="118" t="s">
        <v>553</v>
      </c>
      <c r="M24" s="121"/>
    </row>
    <row r="25" spans="1:13" ht="46.8" x14ac:dyDescent="0.3">
      <c r="A25" s="94" t="s">
        <v>554</v>
      </c>
      <c r="B25" s="137" t="s">
        <v>555</v>
      </c>
      <c r="C25" s="138"/>
      <c r="D25" s="96">
        <f>D26+D29+D48</f>
        <v>3724.9</v>
      </c>
      <c r="E25" s="96">
        <f>E26+E29+E48</f>
        <v>3719.9</v>
      </c>
      <c r="F25" s="96">
        <f>F26+F29+F48</f>
        <v>2546.3999999999996</v>
      </c>
      <c r="G25" s="96">
        <f>G26+G29+G48</f>
        <v>1173.4999999999998</v>
      </c>
      <c r="H25" s="357"/>
      <c r="I25" s="357"/>
      <c r="J25" s="357"/>
      <c r="K25" s="357"/>
      <c r="L25" s="357"/>
      <c r="M25" s="357"/>
    </row>
    <row r="26" spans="1:13" ht="31.2" x14ac:dyDescent="0.3">
      <c r="A26" s="97" t="s">
        <v>556</v>
      </c>
      <c r="B26" s="124" t="s">
        <v>557</v>
      </c>
      <c r="C26" s="125"/>
      <c r="D26" s="99">
        <f t="shared" ref="D26:G27" si="0">SUM(D27:D27)</f>
        <v>54.6</v>
      </c>
      <c r="E26" s="99">
        <f t="shared" si="0"/>
        <v>54.6</v>
      </c>
      <c r="F26" s="99">
        <f t="shared" si="0"/>
        <v>25</v>
      </c>
      <c r="G26" s="99">
        <f t="shared" si="0"/>
        <v>29.6</v>
      </c>
      <c r="H26" s="359"/>
      <c r="I26" s="359"/>
      <c r="J26" s="359"/>
      <c r="K26" s="359"/>
      <c r="L26" s="359"/>
      <c r="M26" s="359"/>
    </row>
    <row r="27" spans="1:13" ht="362.25" customHeight="1" x14ac:dyDescent="0.3">
      <c r="A27" s="100" t="s">
        <v>558</v>
      </c>
      <c r="B27" s="101" t="s">
        <v>559</v>
      </c>
      <c r="C27" s="102"/>
      <c r="D27" s="111">
        <f t="shared" si="0"/>
        <v>54.6</v>
      </c>
      <c r="E27" s="111">
        <f t="shared" si="0"/>
        <v>54.6</v>
      </c>
      <c r="F27" s="111">
        <f t="shared" si="0"/>
        <v>25</v>
      </c>
      <c r="G27" s="111">
        <f t="shared" si="0"/>
        <v>29.6</v>
      </c>
      <c r="H27" s="102" t="s">
        <v>560</v>
      </c>
      <c r="I27" s="106" t="s">
        <v>29</v>
      </c>
      <c r="J27" s="106">
        <v>9</v>
      </c>
      <c r="K27" s="117">
        <v>11</v>
      </c>
      <c r="L27" s="197" t="s">
        <v>561</v>
      </c>
      <c r="M27" s="108" t="s">
        <v>562</v>
      </c>
    </row>
    <row r="28" spans="1:13" ht="15.6" x14ac:dyDescent="0.3">
      <c r="A28" s="122"/>
      <c r="B28" s="123"/>
      <c r="C28" s="114" t="s">
        <v>27</v>
      </c>
      <c r="D28" s="116">
        <v>54.6</v>
      </c>
      <c r="E28" s="116">
        <v>54.6</v>
      </c>
      <c r="F28" s="116">
        <v>25</v>
      </c>
      <c r="G28" s="116">
        <v>29.6</v>
      </c>
      <c r="H28" s="114"/>
      <c r="I28" s="119"/>
      <c r="J28" s="119"/>
      <c r="K28" s="119"/>
      <c r="L28" s="118"/>
      <c r="M28" s="121"/>
    </row>
    <row r="29" spans="1:13" ht="15.6" x14ac:dyDescent="0.3">
      <c r="A29" s="97" t="s">
        <v>563</v>
      </c>
      <c r="B29" s="124" t="s">
        <v>564</v>
      </c>
      <c r="C29" s="125"/>
      <c r="D29" s="99">
        <f>D30+D36+D41</f>
        <v>3535.4</v>
      </c>
      <c r="E29" s="99">
        <f>E30+E36+E41</f>
        <v>3530.4</v>
      </c>
      <c r="F29" s="99">
        <f>F30+F36+F41-0.1</f>
        <v>2401.2999999999997</v>
      </c>
      <c r="G29" s="99">
        <f>G30+G36+G41+0.1</f>
        <v>1129.0999999999999</v>
      </c>
      <c r="H29" s="125"/>
      <c r="I29" s="200"/>
      <c r="J29" s="200"/>
      <c r="K29" s="200"/>
      <c r="L29" s="199"/>
      <c r="M29" s="201"/>
    </row>
    <row r="30" spans="1:13" ht="93.6" customHeight="1" x14ac:dyDescent="0.3">
      <c r="A30" s="363" t="s">
        <v>565</v>
      </c>
      <c r="B30" s="361" t="s">
        <v>566</v>
      </c>
      <c r="C30" s="102"/>
      <c r="D30" s="111">
        <f>SUM(D31:D35)</f>
        <v>2334.1</v>
      </c>
      <c r="E30" s="111">
        <f>SUM(E31:E35)</f>
        <v>2329.1</v>
      </c>
      <c r="F30" s="111">
        <f>SUM(F31:F35)</f>
        <v>1838.1</v>
      </c>
      <c r="G30" s="111">
        <f>SUM(G31:G35)</f>
        <v>491</v>
      </c>
      <c r="H30" s="105" t="s">
        <v>567</v>
      </c>
      <c r="I30" s="106" t="s">
        <v>289</v>
      </c>
      <c r="J30" s="106">
        <v>3</v>
      </c>
      <c r="K30" s="107">
        <v>1.6</v>
      </c>
      <c r="L30" s="197" t="s">
        <v>568</v>
      </c>
      <c r="M30" s="108" t="s">
        <v>569</v>
      </c>
    </row>
    <row r="31" spans="1:13" ht="145.19999999999999" customHeight="1" x14ac:dyDescent="0.3">
      <c r="A31" s="363"/>
      <c r="B31" s="361"/>
      <c r="C31" s="114"/>
      <c r="D31" s="116">
        <v>0</v>
      </c>
      <c r="E31" s="116">
        <v>0</v>
      </c>
      <c r="F31" s="116">
        <v>0</v>
      </c>
      <c r="G31" s="116">
        <v>0</v>
      </c>
      <c r="H31" s="114" t="s">
        <v>570</v>
      </c>
      <c r="I31" s="119" t="s">
        <v>29</v>
      </c>
      <c r="J31" s="119">
        <v>2</v>
      </c>
      <c r="K31" s="217">
        <v>0</v>
      </c>
      <c r="L31" s="118"/>
      <c r="M31" s="121" t="s">
        <v>571</v>
      </c>
    </row>
    <row r="32" spans="1:13" ht="23.4" customHeight="1" x14ac:dyDescent="0.3">
      <c r="A32" s="363"/>
      <c r="B32" s="361"/>
      <c r="C32" s="114"/>
      <c r="D32" s="116">
        <v>0</v>
      </c>
      <c r="E32" s="116">
        <v>0</v>
      </c>
      <c r="F32" s="116">
        <v>0</v>
      </c>
      <c r="G32" s="116">
        <v>0</v>
      </c>
      <c r="H32" s="368" t="s">
        <v>572</v>
      </c>
      <c r="I32" s="373" t="s">
        <v>29</v>
      </c>
      <c r="J32" s="373">
        <v>2</v>
      </c>
      <c r="K32" s="376">
        <v>1</v>
      </c>
      <c r="L32" s="403" t="s">
        <v>573</v>
      </c>
      <c r="M32" s="371" t="s">
        <v>574</v>
      </c>
    </row>
    <row r="33" spans="1:13" ht="15.6" x14ac:dyDescent="0.3">
      <c r="A33" s="363"/>
      <c r="B33" s="361"/>
      <c r="C33" s="114" t="s">
        <v>27</v>
      </c>
      <c r="D33" s="116">
        <v>226.4</v>
      </c>
      <c r="E33" s="116">
        <v>221.4</v>
      </c>
      <c r="F33" s="116">
        <v>162.1</v>
      </c>
      <c r="G33" s="116">
        <v>59.3</v>
      </c>
      <c r="H33" s="368"/>
      <c r="I33" s="373"/>
      <c r="J33" s="373"/>
      <c r="K33" s="376"/>
      <c r="L33" s="403"/>
      <c r="M33" s="371"/>
    </row>
    <row r="34" spans="1:13" ht="15.6" x14ac:dyDescent="0.3">
      <c r="A34" s="363"/>
      <c r="B34" s="361"/>
      <c r="C34" s="114" t="s">
        <v>36</v>
      </c>
      <c r="D34" s="116">
        <v>174.7</v>
      </c>
      <c r="E34" s="116">
        <v>174.7</v>
      </c>
      <c r="F34" s="116">
        <v>149.69999999999999</v>
      </c>
      <c r="G34" s="116">
        <v>25</v>
      </c>
      <c r="H34" s="368"/>
      <c r="I34" s="373"/>
      <c r="J34" s="373"/>
      <c r="K34" s="376"/>
      <c r="L34" s="403"/>
      <c r="M34" s="371"/>
    </row>
    <row r="35" spans="1:13" ht="15.6" x14ac:dyDescent="0.3">
      <c r="A35" s="363"/>
      <c r="B35" s="361"/>
      <c r="C35" s="114" t="s">
        <v>200</v>
      </c>
      <c r="D35" s="116">
        <v>1933</v>
      </c>
      <c r="E35" s="116">
        <v>1933</v>
      </c>
      <c r="F35" s="116">
        <v>1526.3</v>
      </c>
      <c r="G35" s="116">
        <v>406.7</v>
      </c>
      <c r="H35" s="368"/>
      <c r="I35" s="373"/>
      <c r="J35" s="373"/>
      <c r="K35" s="376"/>
      <c r="L35" s="403"/>
      <c r="M35" s="371"/>
    </row>
    <row r="36" spans="1:13" ht="215.25" customHeight="1" x14ac:dyDescent="0.3">
      <c r="A36" s="100" t="s">
        <v>575</v>
      </c>
      <c r="B36" s="101" t="s">
        <v>576</v>
      </c>
      <c r="C36" s="102"/>
      <c r="D36" s="111">
        <f>SUM(D37:D40)</f>
        <v>391.3</v>
      </c>
      <c r="E36" s="111">
        <f>SUM(E37:E40)</f>
        <v>411.3</v>
      </c>
      <c r="F36" s="111">
        <f>SUM(F37:F40)</f>
        <v>399.6</v>
      </c>
      <c r="G36" s="111">
        <f>SUM(G37:G40)</f>
        <v>11.7</v>
      </c>
      <c r="H36" s="105" t="s">
        <v>577</v>
      </c>
      <c r="I36" s="106" t="s">
        <v>29</v>
      </c>
      <c r="J36" s="106">
        <v>5</v>
      </c>
      <c r="K36" s="117">
        <v>9</v>
      </c>
      <c r="L36" s="197" t="s">
        <v>578</v>
      </c>
      <c r="M36" s="181"/>
    </row>
    <row r="37" spans="1:13" ht="124.8" x14ac:dyDescent="0.3">
      <c r="A37" s="122"/>
      <c r="B37" s="123"/>
      <c r="C37" s="114"/>
      <c r="D37" s="116">
        <v>0</v>
      </c>
      <c r="E37" s="116">
        <v>0</v>
      </c>
      <c r="F37" s="116">
        <v>0</v>
      </c>
      <c r="G37" s="116">
        <v>0</v>
      </c>
      <c r="H37" s="118" t="s">
        <v>579</v>
      </c>
      <c r="I37" s="119" t="s">
        <v>56</v>
      </c>
      <c r="J37" s="119">
        <v>100</v>
      </c>
      <c r="K37" s="128">
        <v>100</v>
      </c>
      <c r="L37" s="118" t="s">
        <v>580</v>
      </c>
      <c r="M37" s="121"/>
    </row>
    <row r="38" spans="1:13" ht="60.75" customHeight="1" x14ac:dyDescent="0.3">
      <c r="A38" s="122"/>
      <c r="B38" s="123"/>
      <c r="C38" s="114"/>
      <c r="D38" s="116">
        <v>0</v>
      </c>
      <c r="E38" s="116">
        <v>0</v>
      </c>
      <c r="F38" s="116">
        <v>0</v>
      </c>
      <c r="G38" s="116">
        <v>0</v>
      </c>
      <c r="H38" s="118" t="s">
        <v>581</v>
      </c>
      <c r="I38" s="119" t="s">
        <v>56</v>
      </c>
      <c r="J38" s="119">
        <v>100</v>
      </c>
      <c r="K38" s="128">
        <v>100</v>
      </c>
      <c r="L38" s="118" t="s">
        <v>582</v>
      </c>
      <c r="M38" s="121"/>
    </row>
    <row r="39" spans="1:13" ht="92.25" customHeight="1" x14ac:dyDescent="0.3">
      <c r="A39" s="122"/>
      <c r="B39" s="123"/>
      <c r="C39" s="114"/>
      <c r="D39" s="116">
        <v>0</v>
      </c>
      <c r="E39" s="116">
        <v>0</v>
      </c>
      <c r="F39" s="116">
        <v>0</v>
      </c>
      <c r="G39" s="116">
        <v>0</v>
      </c>
      <c r="H39" s="367" t="s">
        <v>583</v>
      </c>
      <c r="I39" s="373" t="s">
        <v>56</v>
      </c>
      <c r="J39" s="373">
        <v>100</v>
      </c>
      <c r="K39" s="374">
        <v>100</v>
      </c>
      <c r="L39" s="367" t="s">
        <v>584</v>
      </c>
      <c r="M39" s="395"/>
    </row>
    <row r="40" spans="1:13" ht="38.4" customHeight="1" x14ac:dyDescent="0.3">
      <c r="A40" s="122"/>
      <c r="B40" s="123"/>
      <c r="C40" s="114" t="s">
        <v>36</v>
      </c>
      <c r="D40" s="116">
        <v>391.3</v>
      </c>
      <c r="E40" s="116">
        <v>411.3</v>
      </c>
      <c r="F40" s="116">
        <v>399.6</v>
      </c>
      <c r="G40" s="116">
        <v>11.7</v>
      </c>
      <c r="H40" s="367"/>
      <c r="I40" s="373"/>
      <c r="J40" s="373"/>
      <c r="K40" s="374"/>
      <c r="L40" s="367"/>
      <c r="M40" s="395"/>
    </row>
    <row r="41" spans="1:13" ht="78" x14ac:dyDescent="0.3">
      <c r="A41" s="100" t="s">
        <v>585</v>
      </c>
      <c r="B41" s="101" t="s">
        <v>586</v>
      </c>
      <c r="C41" s="102"/>
      <c r="D41" s="111">
        <f>SUM(D42:D47)</f>
        <v>810</v>
      </c>
      <c r="E41" s="111">
        <f>SUM(E42:E47)</f>
        <v>790</v>
      </c>
      <c r="F41" s="111">
        <f>SUM(F42:F47)</f>
        <v>163.69999999999999</v>
      </c>
      <c r="G41" s="111">
        <f>SUM(G42:G47)</f>
        <v>626.29999999999995</v>
      </c>
      <c r="H41" s="105" t="s">
        <v>587</v>
      </c>
      <c r="I41" s="106" t="s">
        <v>56</v>
      </c>
      <c r="J41" s="106">
        <v>20</v>
      </c>
      <c r="K41" s="139">
        <v>0</v>
      </c>
      <c r="L41" s="105" t="s">
        <v>588</v>
      </c>
      <c r="M41" s="108" t="s">
        <v>589</v>
      </c>
    </row>
    <row r="42" spans="1:13" ht="91.5" customHeight="1" x14ac:dyDescent="0.3">
      <c r="A42" s="122"/>
      <c r="B42" s="123"/>
      <c r="C42" s="114"/>
      <c r="D42" s="116">
        <v>0</v>
      </c>
      <c r="E42" s="116">
        <v>0</v>
      </c>
      <c r="F42" s="116">
        <v>0</v>
      </c>
      <c r="G42" s="116">
        <v>0</v>
      </c>
      <c r="H42" s="118" t="s">
        <v>590</v>
      </c>
      <c r="I42" s="119" t="s">
        <v>56</v>
      </c>
      <c r="J42" s="119">
        <v>20</v>
      </c>
      <c r="K42" s="120">
        <v>3</v>
      </c>
      <c r="L42" s="118" t="s">
        <v>591</v>
      </c>
      <c r="M42" s="121" t="s">
        <v>592</v>
      </c>
    </row>
    <row r="43" spans="1:13" ht="83.25" customHeight="1" x14ac:dyDescent="0.3">
      <c r="A43" s="122"/>
      <c r="B43" s="123"/>
      <c r="C43" s="114"/>
      <c r="D43" s="116">
        <v>0</v>
      </c>
      <c r="E43" s="116">
        <v>0</v>
      </c>
      <c r="F43" s="116">
        <v>0</v>
      </c>
      <c r="G43" s="116">
        <v>0</v>
      </c>
      <c r="H43" s="118" t="s">
        <v>593</v>
      </c>
      <c r="I43" s="119" t="s">
        <v>29</v>
      </c>
      <c r="J43" s="119">
        <v>1</v>
      </c>
      <c r="K43" s="128">
        <v>1</v>
      </c>
      <c r="L43" s="178" t="s">
        <v>594</v>
      </c>
      <c r="M43" s="121"/>
    </row>
    <row r="44" spans="1:13" ht="80.25" customHeight="1" x14ac:dyDescent="0.3">
      <c r="A44" s="122"/>
      <c r="B44" s="123"/>
      <c r="C44" s="114"/>
      <c r="D44" s="116">
        <v>0</v>
      </c>
      <c r="E44" s="116">
        <v>0</v>
      </c>
      <c r="F44" s="116">
        <v>0</v>
      </c>
      <c r="G44" s="116">
        <v>0</v>
      </c>
      <c r="H44" s="118" t="s">
        <v>595</v>
      </c>
      <c r="I44" s="119" t="s">
        <v>56</v>
      </c>
      <c r="J44" s="119">
        <v>20</v>
      </c>
      <c r="K44" s="217">
        <v>0</v>
      </c>
      <c r="L44" s="118" t="s">
        <v>596</v>
      </c>
      <c r="M44" s="121" t="s">
        <v>589</v>
      </c>
    </row>
    <row r="45" spans="1:13" ht="47.4" customHeight="1" x14ac:dyDescent="0.3">
      <c r="A45" s="122"/>
      <c r="B45" s="123"/>
      <c r="C45" s="114"/>
      <c r="D45" s="116">
        <v>0</v>
      </c>
      <c r="E45" s="116">
        <v>0</v>
      </c>
      <c r="F45" s="116">
        <v>0</v>
      </c>
      <c r="G45" s="116">
        <v>0</v>
      </c>
      <c r="H45" s="367" t="s">
        <v>597</v>
      </c>
      <c r="I45" s="373" t="s">
        <v>56</v>
      </c>
      <c r="J45" s="373">
        <v>70</v>
      </c>
      <c r="K45" s="377">
        <v>0</v>
      </c>
      <c r="L45" s="423"/>
      <c r="M45" s="371" t="s">
        <v>589</v>
      </c>
    </row>
    <row r="46" spans="1:13" ht="15.6" x14ac:dyDescent="0.3">
      <c r="A46" s="122"/>
      <c r="B46" s="123"/>
      <c r="C46" s="114" t="s">
        <v>27</v>
      </c>
      <c r="D46" s="116">
        <v>100</v>
      </c>
      <c r="E46" s="116">
        <v>100</v>
      </c>
      <c r="F46" s="116">
        <v>0</v>
      </c>
      <c r="G46" s="116">
        <v>100</v>
      </c>
      <c r="H46" s="367"/>
      <c r="I46" s="373"/>
      <c r="J46" s="373"/>
      <c r="K46" s="377"/>
      <c r="L46" s="423"/>
      <c r="M46" s="371"/>
    </row>
    <row r="47" spans="1:13" ht="15.6" x14ac:dyDescent="0.3">
      <c r="A47" s="122"/>
      <c r="B47" s="123"/>
      <c r="C47" s="114" t="s">
        <v>36</v>
      </c>
      <c r="D47" s="116">
        <v>710</v>
      </c>
      <c r="E47" s="116">
        <v>690</v>
      </c>
      <c r="F47" s="116">
        <v>163.69999999999999</v>
      </c>
      <c r="G47" s="116">
        <v>526.29999999999995</v>
      </c>
      <c r="H47" s="367"/>
      <c r="I47" s="373"/>
      <c r="J47" s="373"/>
      <c r="K47" s="377"/>
      <c r="L47" s="423"/>
      <c r="M47" s="371"/>
    </row>
    <row r="48" spans="1:13" ht="15.6" x14ac:dyDescent="0.3">
      <c r="A48" s="97" t="s">
        <v>598</v>
      </c>
      <c r="B48" s="124" t="s">
        <v>599</v>
      </c>
      <c r="C48" s="125"/>
      <c r="D48" s="99">
        <f>D49+D53</f>
        <v>134.9</v>
      </c>
      <c r="E48" s="99">
        <f>E49+E53</f>
        <v>134.9</v>
      </c>
      <c r="F48" s="99">
        <f>F49+F53</f>
        <v>120.1</v>
      </c>
      <c r="G48" s="99">
        <f>G49+G53</f>
        <v>14.8</v>
      </c>
      <c r="H48" s="125"/>
      <c r="I48" s="200"/>
      <c r="J48" s="200"/>
      <c r="K48" s="200"/>
      <c r="L48" s="199"/>
      <c r="M48" s="201"/>
    </row>
    <row r="49" spans="1:13" ht="46.8" x14ac:dyDescent="0.3">
      <c r="A49" s="100" t="s">
        <v>600</v>
      </c>
      <c r="B49" s="101" t="s">
        <v>601</v>
      </c>
      <c r="C49" s="102" t="s">
        <v>27</v>
      </c>
      <c r="D49" s="111">
        <f>SUM(D50:D52)+20.7</f>
        <v>20.7</v>
      </c>
      <c r="E49" s="111">
        <f>SUM(E50:E52)+20.7</f>
        <v>20.7</v>
      </c>
      <c r="F49" s="111">
        <f>SUM(F50:F52)+18.4</f>
        <v>18.399999999999999</v>
      </c>
      <c r="G49" s="111">
        <f>SUM(G50:G52)+2.3</f>
        <v>2.2999999999999998</v>
      </c>
      <c r="H49" s="102" t="s">
        <v>602</v>
      </c>
      <c r="I49" s="106" t="s">
        <v>29</v>
      </c>
      <c r="J49" s="106">
        <v>2</v>
      </c>
      <c r="K49" s="117">
        <v>2</v>
      </c>
      <c r="L49" s="105" t="s">
        <v>603</v>
      </c>
      <c r="M49" s="108"/>
    </row>
    <row r="50" spans="1:13" ht="124.8" x14ac:dyDescent="0.3">
      <c r="A50" s="122"/>
      <c r="B50" s="123"/>
      <c r="C50" s="114"/>
      <c r="D50" s="116">
        <v>0</v>
      </c>
      <c r="E50" s="116">
        <v>0</v>
      </c>
      <c r="F50" s="116">
        <v>0</v>
      </c>
      <c r="G50" s="116">
        <v>0</v>
      </c>
      <c r="H50" s="114" t="s">
        <v>604</v>
      </c>
      <c r="I50" s="119" t="s">
        <v>29</v>
      </c>
      <c r="J50" s="119">
        <v>1</v>
      </c>
      <c r="K50" s="128">
        <v>1</v>
      </c>
      <c r="L50" s="118" t="s">
        <v>605</v>
      </c>
      <c r="M50" s="121"/>
    </row>
    <row r="51" spans="1:13" ht="171.6" x14ac:dyDescent="0.3">
      <c r="A51" s="122"/>
      <c r="B51" s="123"/>
      <c r="C51" s="114"/>
      <c r="D51" s="116">
        <v>0</v>
      </c>
      <c r="E51" s="116">
        <v>0</v>
      </c>
      <c r="F51" s="116">
        <v>0</v>
      </c>
      <c r="G51" s="116">
        <v>0</v>
      </c>
      <c r="H51" s="114" t="s">
        <v>163</v>
      </c>
      <c r="I51" s="119" t="s">
        <v>29</v>
      </c>
      <c r="J51" s="119">
        <v>1</v>
      </c>
      <c r="K51" s="128">
        <v>1</v>
      </c>
      <c r="L51" s="118" t="s">
        <v>606</v>
      </c>
      <c r="M51" s="121"/>
    </row>
    <row r="52" spans="1:13" ht="124.8" x14ac:dyDescent="0.3">
      <c r="A52" s="122"/>
      <c r="B52" s="123"/>
      <c r="C52" s="114"/>
      <c r="D52" s="116">
        <v>0</v>
      </c>
      <c r="E52" s="116">
        <v>0</v>
      </c>
      <c r="F52" s="116">
        <v>0</v>
      </c>
      <c r="G52" s="116">
        <v>0</v>
      </c>
      <c r="H52" s="114" t="s">
        <v>158</v>
      </c>
      <c r="I52" s="119" t="s">
        <v>29</v>
      </c>
      <c r="J52" s="119">
        <v>2</v>
      </c>
      <c r="K52" s="128">
        <v>3</v>
      </c>
      <c r="L52" s="118" t="s">
        <v>607</v>
      </c>
      <c r="M52" s="121"/>
    </row>
    <row r="53" spans="1:13" ht="253.2" customHeight="1" x14ac:dyDescent="0.3">
      <c r="A53" s="100" t="s">
        <v>608</v>
      </c>
      <c r="B53" s="101" t="s">
        <v>609</v>
      </c>
      <c r="C53" s="102"/>
      <c r="D53" s="111">
        <f>SUM(D54:D56)</f>
        <v>114.2</v>
      </c>
      <c r="E53" s="111">
        <f>SUM(E54:E56)</f>
        <v>114.2</v>
      </c>
      <c r="F53" s="111">
        <f>SUM(F54:F56)</f>
        <v>101.7</v>
      </c>
      <c r="G53" s="111">
        <f>SUM(G54:G56)</f>
        <v>12.5</v>
      </c>
      <c r="H53" s="102" t="s">
        <v>610</v>
      </c>
      <c r="I53" s="106" t="s">
        <v>29</v>
      </c>
      <c r="J53" s="106">
        <v>1</v>
      </c>
      <c r="K53" s="117">
        <v>2</v>
      </c>
      <c r="L53" s="105" t="s">
        <v>611</v>
      </c>
      <c r="M53" s="108"/>
    </row>
    <row r="54" spans="1:13" ht="27" customHeight="1" x14ac:dyDescent="0.3">
      <c r="A54" s="122"/>
      <c r="B54" s="123"/>
      <c r="C54" s="114"/>
      <c r="D54" s="116">
        <v>0</v>
      </c>
      <c r="E54" s="116">
        <v>0</v>
      </c>
      <c r="F54" s="116">
        <v>0</v>
      </c>
      <c r="G54" s="116">
        <v>0</v>
      </c>
      <c r="H54" s="368" t="s">
        <v>612</v>
      </c>
      <c r="I54" s="373" t="s">
        <v>56</v>
      </c>
      <c r="J54" s="373">
        <v>100</v>
      </c>
      <c r="K54" s="374">
        <v>100</v>
      </c>
      <c r="L54" s="367" t="s">
        <v>613</v>
      </c>
      <c r="M54" s="395"/>
    </row>
    <row r="55" spans="1:13" ht="15.6" x14ac:dyDescent="0.3">
      <c r="A55" s="122"/>
      <c r="B55" s="123"/>
      <c r="C55" s="114" t="s">
        <v>534</v>
      </c>
      <c r="D55" s="116">
        <v>5</v>
      </c>
      <c r="E55" s="116">
        <v>5</v>
      </c>
      <c r="F55" s="116">
        <v>0</v>
      </c>
      <c r="G55" s="116">
        <v>5</v>
      </c>
      <c r="H55" s="368"/>
      <c r="I55" s="373"/>
      <c r="J55" s="373"/>
      <c r="K55" s="374"/>
      <c r="L55" s="367"/>
      <c r="M55" s="395"/>
    </row>
    <row r="56" spans="1:13" ht="15.6" x14ac:dyDescent="0.3">
      <c r="A56" s="188"/>
      <c r="B56" s="189"/>
      <c r="C56" s="133" t="s">
        <v>27</v>
      </c>
      <c r="D56" s="143">
        <v>109.2</v>
      </c>
      <c r="E56" s="143">
        <v>109.2</v>
      </c>
      <c r="F56" s="143">
        <v>101.7</v>
      </c>
      <c r="G56" s="143">
        <v>7.5</v>
      </c>
      <c r="H56" s="368"/>
      <c r="I56" s="373"/>
      <c r="J56" s="373"/>
      <c r="K56" s="374"/>
      <c r="L56" s="367"/>
      <c r="M56" s="395"/>
    </row>
    <row r="57" spans="1:13" ht="15.6" x14ac:dyDescent="0.3">
      <c r="A57" s="145"/>
      <c r="B57" s="145"/>
      <c r="C57" s="146"/>
      <c r="D57" s="147"/>
      <c r="E57" s="147"/>
      <c r="F57" s="147"/>
      <c r="G57" s="147"/>
      <c r="H57" s="146"/>
      <c r="I57" s="148"/>
      <c r="J57" s="149"/>
      <c r="K57" s="149"/>
      <c r="L57" s="146"/>
      <c r="M57" s="146"/>
    </row>
    <row r="58" spans="1:13" ht="15.6" x14ac:dyDescent="0.3">
      <c r="A58" s="145"/>
      <c r="B58" s="145"/>
      <c r="C58" s="146"/>
      <c r="D58" s="147"/>
      <c r="E58" s="147"/>
      <c r="F58" s="147"/>
      <c r="G58" s="147"/>
      <c r="H58" s="146"/>
      <c r="I58" s="148"/>
      <c r="J58" s="149"/>
      <c r="K58" s="149"/>
      <c r="L58" s="146"/>
      <c r="M58" s="146"/>
    </row>
    <row r="59" spans="1:13" ht="15.6" x14ac:dyDescent="0.3">
      <c r="A59" s="145"/>
      <c r="B59" s="145"/>
      <c r="C59" s="146"/>
      <c r="D59" s="147"/>
      <c r="E59" s="147"/>
      <c r="F59" s="147"/>
      <c r="G59" s="147"/>
      <c r="H59" s="146"/>
      <c r="I59" s="148"/>
      <c r="J59" s="149"/>
      <c r="K59" s="149"/>
      <c r="L59" s="146"/>
      <c r="M59" s="146"/>
    </row>
    <row r="60" spans="1:13" ht="15.6" x14ac:dyDescent="0.3">
      <c r="A60" s="145"/>
      <c r="B60" s="145"/>
      <c r="C60" s="146"/>
      <c r="D60" s="147"/>
      <c r="E60" s="147"/>
      <c r="F60" s="147"/>
      <c r="G60" s="147"/>
      <c r="H60" s="146"/>
      <c r="I60" s="148"/>
      <c r="J60" s="149"/>
      <c r="K60" s="149"/>
      <c r="L60" s="146"/>
      <c r="M60" s="146"/>
    </row>
    <row r="61" spans="1:13" ht="15.6" x14ac:dyDescent="0.3">
      <c r="A61" s="145"/>
      <c r="B61" s="145"/>
      <c r="C61" s="146"/>
      <c r="D61" s="147"/>
      <c r="E61" s="147"/>
      <c r="F61" s="147"/>
      <c r="G61" s="147"/>
      <c r="H61" s="146"/>
      <c r="I61" s="148"/>
      <c r="J61" s="149"/>
      <c r="K61" s="149"/>
      <c r="L61" s="146"/>
      <c r="M61" s="146"/>
    </row>
    <row r="62" spans="1:13" ht="171.6" x14ac:dyDescent="0.3">
      <c r="A62" s="218" t="s">
        <v>5</v>
      </c>
      <c r="B62" s="218" t="s">
        <v>101</v>
      </c>
      <c r="C62" s="218" t="s">
        <v>222</v>
      </c>
      <c r="D62" s="218" t="s">
        <v>223</v>
      </c>
      <c r="E62" s="218" t="s">
        <v>104</v>
      </c>
      <c r="F62" s="218" t="s">
        <v>9</v>
      </c>
      <c r="G62" s="151"/>
      <c r="H62" s="151"/>
      <c r="I62" s="151"/>
      <c r="J62" s="151"/>
      <c r="K62" s="219"/>
      <c r="L62" s="153" t="s">
        <v>101</v>
      </c>
      <c r="M62" s="153" t="s">
        <v>105</v>
      </c>
    </row>
    <row r="63" spans="1:13" ht="31.2" x14ac:dyDescent="0.3">
      <c r="A63" s="123" t="s">
        <v>106</v>
      </c>
      <c r="B63" s="123" t="s">
        <v>107</v>
      </c>
      <c r="C63" s="155">
        <f>SUM(C64:C66)</f>
        <v>3841.1</v>
      </c>
      <c r="D63" s="155">
        <f>SUM(D64:D66)</f>
        <v>3836.1</v>
      </c>
      <c r="E63" s="155">
        <f>SUM(E64:E66)+0.1</f>
        <v>2654.9</v>
      </c>
      <c r="F63" s="155">
        <f>SUM(F64:F66)-0.1</f>
        <v>1181.2000000000003</v>
      </c>
      <c r="G63" s="151"/>
      <c r="H63" s="151"/>
      <c r="I63" s="151"/>
      <c r="J63" s="151"/>
      <c r="K63" s="220"/>
      <c r="L63" s="157" t="s">
        <v>108</v>
      </c>
      <c r="M63" s="153">
        <v>7</v>
      </c>
    </row>
    <row r="64" spans="1:13" ht="46.8" x14ac:dyDescent="0.3">
      <c r="A64" s="123" t="s">
        <v>27</v>
      </c>
      <c r="B64" s="123" t="s">
        <v>109</v>
      </c>
      <c r="C64" s="116">
        <v>632.1</v>
      </c>
      <c r="D64" s="116">
        <v>627.1</v>
      </c>
      <c r="E64" s="116">
        <v>415.6</v>
      </c>
      <c r="F64" s="116">
        <v>211.5</v>
      </c>
      <c r="G64" s="151"/>
      <c r="H64" s="151"/>
      <c r="I64" s="151"/>
      <c r="J64" s="151"/>
      <c r="K64" s="221"/>
      <c r="L64" s="157" t="s">
        <v>110</v>
      </c>
      <c r="M64" s="153">
        <v>2</v>
      </c>
    </row>
    <row r="65" spans="1:13" ht="46.8" x14ac:dyDescent="0.3">
      <c r="A65" s="123" t="s">
        <v>200</v>
      </c>
      <c r="B65" s="123" t="s">
        <v>225</v>
      </c>
      <c r="C65" s="116">
        <v>1933</v>
      </c>
      <c r="D65" s="116">
        <v>1933</v>
      </c>
      <c r="E65" s="116">
        <v>1526.3</v>
      </c>
      <c r="F65" s="116">
        <v>406.7</v>
      </c>
      <c r="G65" s="151"/>
      <c r="H65" s="151"/>
      <c r="I65" s="151"/>
      <c r="J65" s="151"/>
      <c r="K65" s="222"/>
      <c r="L65" s="157" t="s">
        <v>112</v>
      </c>
      <c r="M65" s="153"/>
    </row>
    <row r="66" spans="1:13" ht="31.2" x14ac:dyDescent="0.3">
      <c r="A66" s="123" t="s">
        <v>36</v>
      </c>
      <c r="B66" s="123" t="s">
        <v>111</v>
      </c>
      <c r="C66" s="116">
        <v>1276</v>
      </c>
      <c r="D66" s="116">
        <v>1276</v>
      </c>
      <c r="E66" s="116">
        <v>712.9</v>
      </c>
      <c r="F66" s="116">
        <v>563.1</v>
      </c>
      <c r="G66" s="151"/>
      <c r="H66" s="151"/>
      <c r="I66" s="151"/>
      <c r="J66" s="151"/>
      <c r="K66" s="212"/>
      <c r="L66" s="213" t="s">
        <v>114</v>
      </c>
      <c r="M66" s="214">
        <v>9</v>
      </c>
    </row>
    <row r="67" spans="1:13" ht="15.6" x14ac:dyDescent="0.3">
      <c r="A67" s="123" t="s">
        <v>614</v>
      </c>
      <c r="B67" s="123" t="s">
        <v>615</v>
      </c>
      <c r="C67" s="155">
        <f>SUM(C68:C68)</f>
        <v>5</v>
      </c>
      <c r="D67" s="155">
        <f>SUM(D68:D68)</f>
        <v>6.5</v>
      </c>
      <c r="E67" s="155">
        <f>SUM(E68:E68)</f>
        <v>1.5</v>
      </c>
      <c r="F67" s="155">
        <f>SUM(F68:F68)</f>
        <v>5</v>
      </c>
      <c r="G67" s="151"/>
      <c r="H67" s="151"/>
      <c r="I67" s="151"/>
      <c r="J67" s="151"/>
      <c r="K67" s="223"/>
      <c r="L67" s="223"/>
      <c r="M67" s="223"/>
    </row>
    <row r="68" spans="1:13" ht="15.6" x14ac:dyDescent="0.3">
      <c r="A68" s="123" t="s">
        <v>534</v>
      </c>
      <c r="B68" s="123" t="s">
        <v>616</v>
      </c>
      <c r="C68" s="116">
        <v>5</v>
      </c>
      <c r="D68" s="116">
        <v>6.5</v>
      </c>
      <c r="E68" s="116">
        <v>1.5</v>
      </c>
      <c r="F68" s="116">
        <v>5</v>
      </c>
      <c r="G68" s="151"/>
      <c r="H68" s="151"/>
      <c r="I68" s="151"/>
      <c r="J68" s="151"/>
      <c r="K68" s="151"/>
      <c r="L68" s="151"/>
      <c r="M68" s="151"/>
    </row>
    <row r="69" spans="1:13" ht="15.6" x14ac:dyDescent="0.3">
      <c r="A69" s="194"/>
      <c r="B69" s="164" t="s">
        <v>113</v>
      </c>
      <c r="C69" s="165">
        <f>C63+C67</f>
        <v>3846.1</v>
      </c>
      <c r="D69" s="165">
        <f>D63+D67</f>
        <v>3842.6</v>
      </c>
      <c r="E69" s="165">
        <f>E63+E67</f>
        <v>2656.4</v>
      </c>
      <c r="F69" s="165">
        <f>F63+F67</f>
        <v>1186.2000000000003</v>
      </c>
      <c r="G69" s="151"/>
      <c r="H69" s="151"/>
      <c r="I69" s="151"/>
      <c r="J69" s="151"/>
      <c r="K69" s="151"/>
      <c r="L69" s="151"/>
      <c r="M69" s="151"/>
    </row>
  </sheetData>
  <mergeCells count="55">
    <mergeCell ref="M54:M56"/>
    <mergeCell ref="H54:H56"/>
    <mergeCell ref="I54:I56"/>
    <mergeCell ref="J54:J56"/>
    <mergeCell ref="K54:K56"/>
    <mergeCell ref="L54:L56"/>
    <mergeCell ref="M39:M40"/>
    <mergeCell ref="H45:H47"/>
    <mergeCell ref="I45:I47"/>
    <mergeCell ref="J45:J47"/>
    <mergeCell ref="K45:K47"/>
    <mergeCell ref="L45:L47"/>
    <mergeCell ref="M45:M47"/>
    <mergeCell ref="H39:H40"/>
    <mergeCell ref="I39:I40"/>
    <mergeCell ref="J39:J40"/>
    <mergeCell ref="K39:K40"/>
    <mergeCell ref="L39:L40"/>
    <mergeCell ref="H21:M21"/>
    <mergeCell ref="H25:M25"/>
    <mergeCell ref="H26:M26"/>
    <mergeCell ref="A30:A35"/>
    <mergeCell ref="B30:B35"/>
    <mergeCell ref="H32:H35"/>
    <mergeCell ref="I32:I35"/>
    <mergeCell ref="J32:J35"/>
    <mergeCell ref="K32:K35"/>
    <mergeCell ref="L32:L35"/>
    <mergeCell ref="M32:M35"/>
    <mergeCell ref="H12:M12"/>
    <mergeCell ref="H13:M13"/>
    <mergeCell ref="H14:M14"/>
    <mergeCell ref="A15:A17"/>
    <mergeCell ref="B15:B17"/>
    <mergeCell ref="H15:H17"/>
    <mergeCell ref="I15:I17"/>
    <mergeCell ref="J15:J17"/>
    <mergeCell ref="K15:K17"/>
    <mergeCell ref="L15:L17"/>
    <mergeCell ref="M15:M17"/>
    <mergeCell ref="A5:M5"/>
    <mergeCell ref="A6:M6"/>
    <mergeCell ref="A9:A11"/>
    <mergeCell ref="B9:B11"/>
    <mergeCell ref="C9:C11"/>
    <mergeCell ref="D9:D11"/>
    <mergeCell ref="E9:E11"/>
    <mergeCell ref="F9:F11"/>
    <mergeCell ref="G9:G11"/>
    <mergeCell ref="H9:M9"/>
    <mergeCell ref="H10:H11"/>
    <mergeCell ref="I10:I11"/>
    <mergeCell ref="J10:K10"/>
    <mergeCell ref="L10:L11"/>
    <mergeCell ref="M10:M11"/>
  </mergeCells>
  <pageMargins left="0.4" right="0.4" top="0.4" bottom="0.4" header="0.51180555555555496" footer="0.51180555555555496"/>
  <pageSetup paperSize="9" firstPageNumber="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36"/>
  <sheetViews>
    <sheetView topLeftCell="A17" zoomScale="50" zoomScaleNormal="50" workbookViewId="0">
      <selection activeCell="F27" sqref="F27"/>
    </sheetView>
  </sheetViews>
  <sheetFormatPr defaultColWidth="9.109375" defaultRowHeight="14.4" x14ac:dyDescent="0.3"/>
  <cols>
    <col min="1" max="1" width="9.6640625" style="86" customWidth="1"/>
    <col min="2" max="2" width="31.44140625" style="86" customWidth="1"/>
    <col min="3" max="3" width="6.6640625" style="86" customWidth="1"/>
    <col min="4" max="4" width="9.88671875" style="86" customWidth="1"/>
    <col min="5" max="5" width="10.44140625" style="86" customWidth="1"/>
    <col min="6" max="6" width="9.77734375" style="86" customWidth="1"/>
    <col min="7" max="7" width="0.88671875" style="86" hidden="1" customWidth="1"/>
    <col min="8" max="8" width="25.88671875" style="86" customWidth="1"/>
    <col min="9" max="10" width="5.6640625" style="86" customWidth="1"/>
    <col min="11" max="11" width="6.88671875" style="86" customWidth="1"/>
    <col min="12" max="12" width="39.21875" style="86" customWidth="1"/>
    <col min="13" max="13" width="37.109375" style="86" customWidth="1"/>
    <col min="14" max="1024" width="9.109375" style="86"/>
  </cols>
  <sheetData>
    <row r="1" spans="1:13" x14ac:dyDescent="0.3">
      <c r="M1" s="87" t="s">
        <v>0</v>
      </c>
    </row>
    <row r="2" spans="1:13" x14ac:dyDescent="0.3">
      <c r="M2" s="87" t="s">
        <v>1</v>
      </c>
    </row>
    <row r="3" spans="1:13" x14ac:dyDescent="0.3">
      <c r="M3" s="87" t="s">
        <v>2</v>
      </c>
    </row>
    <row r="4" spans="1:13" s="90" customFormat="1" ht="12" customHeight="1" x14ac:dyDescent="0.3">
      <c r="A4" s="215"/>
      <c r="B4" s="215"/>
      <c r="C4" s="215"/>
      <c r="D4" s="215"/>
      <c r="E4" s="215"/>
      <c r="F4" s="215"/>
      <c r="G4" s="215"/>
      <c r="H4" s="215"/>
      <c r="I4" s="215"/>
      <c r="J4" s="215"/>
      <c r="K4" s="215"/>
      <c r="L4" s="215"/>
      <c r="M4" s="215"/>
    </row>
    <row r="5" spans="1:13" ht="15.6" x14ac:dyDescent="0.3">
      <c r="A5" s="344" t="s">
        <v>3</v>
      </c>
      <c r="B5" s="344"/>
      <c r="C5" s="344"/>
      <c r="D5" s="344"/>
      <c r="E5" s="344"/>
      <c r="F5" s="344"/>
      <c r="G5" s="344"/>
      <c r="H5" s="344"/>
      <c r="I5" s="344"/>
      <c r="J5" s="344"/>
      <c r="K5" s="344"/>
      <c r="L5" s="344"/>
      <c r="M5" s="344"/>
    </row>
    <row r="6" spans="1:13" ht="15.6" x14ac:dyDescent="0.3">
      <c r="A6" s="344" t="s">
        <v>617</v>
      </c>
      <c r="B6" s="344"/>
      <c r="C6" s="344"/>
      <c r="D6" s="344"/>
      <c r="E6" s="344"/>
      <c r="F6" s="344"/>
      <c r="G6" s="344"/>
      <c r="H6" s="344"/>
      <c r="I6" s="344"/>
      <c r="J6" s="344"/>
      <c r="K6" s="344"/>
      <c r="L6" s="344"/>
      <c r="M6" s="344"/>
    </row>
    <row r="7" spans="1:13" x14ac:dyDescent="0.3">
      <c r="A7" s="224"/>
      <c r="B7" s="224"/>
      <c r="C7" s="224"/>
      <c r="D7" s="224"/>
      <c r="E7" s="224"/>
      <c r="F7" s="224"/>
      <c r="G7" s="224"/>
      <c r="H7" s="224"/>
      <c r="I7" s="224"/>
      <c r="J7" s="224"/>
      <c r="K7" s="224"/>
      <c r="L7" s="224"/>
      <c r="M7" s="224"/>
    </row>
    <row r="9" spans="1:13" ht="27.6" customHeight="1" x14ac:dyDescent="0.3">
      <c r="A9" s="382" t="s">
        <v>5</v>
      </c>
      <c r="B9" s="383" t="s">
        <v>6</v>
      </c>
      <c r="C9" s="383" t="s">
        <v>7</v>
      </c>
      <c r="D9" s="383" t="s">
        <v>222</v>
      </c>
      <c r="E9" s="383" t="s">
        <v>223</v>
      </c>
      <c r="F9" s="383" t="s">
        <v>104</v>
      </c>
      <c r="G9" s="383" t="s">
        <v>9</v>
      </c>
      <c r="H9" s="424" t="s">
        <v>517</v>
      </c>
      <c r="I9" s="424"/>
      <c r="J9" s="424"/>
      <c r="K9" s="424"/>
      <c r="L9" s="424"/>
      <c r="M9" s="424"/>
    </row>
    <row r="10" spans="1:13" ht="15.6" customHeight="1" x14ac:dyDescent="0.3">
      <c r="A10" s="382"/>
      <c r="B10" s="383"/>
      <c r="C10" s="383"/>
      <c r="D10" s="383"/>
      <c r="E10" s="383"/>
      <c r="F10" s="383"/>
      <c r="G10" s="383"/>
      <c r="H10" s="388" t="s">
        <v>518</v>
      </c>
      <c r="I10" s="388" t="s">
        <v>519</v>
      </c>
      <c r="J10" s="425" t="s">
        <v>520</v>
      </c>
      <c r="K10" s="425"/>
      <c r="L10" s="388" t="s">
        <v>11</v>
      </c>
      <c r="M10" s="426" t="s">
        <v>521</v>
      </c>
    </row>
    <row r="11" spans="1:13" ht="49.8" customHeight="1" x14ac:dyDescent="0.3">
      <c r="A11" s="382"/>
      <c r="B11" s="383"/>
      <c r="C11" s="383"/>
      <c r="D11" s="383"/>
      <c r="E11" s="383"/>
      <c r="F11" s="383"/>
      <c r="G11" s="383"/>
      <c r="H11" s="383"/>
      <c r="I11" s="383"/>
      <c r="J11" s="166" t="s">
        <v>522</v>
      </c>
      <c r="K11" s="166" t="s">
        <v>523</v>
      </c>
      <c r="L11" s="388"/>
      <c r="M11" s="426"/>
    </row>
    <row r="12" spans="1:13" ht="31.2" x14ac:dyDescent="0.3">
      <c r="A12" s="196" t="s">
        <v>618</v>
      </c>
      <c r="B12" s="167" t="s">
        <v>619</v>
      </c>
      <c r="C12" s="168"/>
      <c r="D12" s="93">
        <f>SUM(D13:D13)</f>
        <v>248.79999999999998</v>
      </c>
      <c r="E12" s="93">
        <f>SUM(E13:E13)</f>
        <v>220.89999999999998</v>
      </c>
      <c r="F12" s="93">
        <f>SUM(F13:F13)</f>
        <v>131.4</v>
      </c>
      <c r="G12" s="93">
        <f>SUM(G13:G13)</f>
        <v>89.5</v>
      </c>
      <c r="H12" s="355"/>
      <c r="I12" s="355"/>
      <c r="J12" s="355"/>
      <c r="K12" s="355"/>
      <c r="L12" s="355"/>
      <c r="M12" s="355"/>
    </row>
    <row r="13" spans="1:13" ht="46.8" x14ac:dyDescent="0.3">
      <c r="A13" s="225" t="s">
        <v>620</v>
      </c>
      <c r="B13" s="137" t="s">
        <v>621</v>
      </c>
      <c r="C13" s="138"/>
      <c r="D13" s="96">
        <f>D14+D20+D28</f>
        <v>248.79999999999998</v>
      </c>
      <c r="E13" s="96">
        <f>E14+E20+E28</f>
        <v>220.89999999999998</v>
      </c>
      <c r="F13" s="96">
        <f>F14+F20+F28</f>
        <v>131.4</v>
      </c>
      <c r="G13" s="96">
        <f>G14+G20+G28</f>
        <v>89.5</v>
      </c>
      <c r="H13" s="357"/>
      <c r="I13" s="357"/>
      <c r="J13" s="357"/>
      <c r="K13" s="357"/>
      <c r="L13" s="357"/>
      <c r="M13" s="357"/>
    </row>
    <row r="14" spans="1:13" ht="63" customHeight="1" x14ac:dyDescent="0.3">
      <c r="A14" s="226" t="s">
        <v>622</v>
      </c>
      <c r="B14" s="124" t="s">
        <v>623</v>
      </c>
      <c r="C14" s="125"/>
      <c r="D14" s="99">
        <f>D15+D17+D18+D19</f>
        <v>115.6</v>
      </c>
      <c r="E14" s="99">
        <f>E15+E17+E18+E19</f>
        <v>113.6</v>
      </c>
      <c r="F14" s="99">
        <f>F15+F17+F18+F19</f>
        <v>67.2</v>
      </c>
      <c r="G14" s="99">
        <f>G15+G17+G18+G19</f>
        <v>46.4</v>
      </c>
      <c r="H14" s="359"/>
      <c r="I14" s="359"/>
      <c r="J14" s="359"/>
      <c r="K14" s="359"/>
      <c r="L14" s="359"/>
      <c r="M14" s="359"/>
    </row>
    <row r="15" spans="1:13" ht="104.4" customHeight="1" x14ac:dyDescent="0.3">
      <c r="A15" s="227" t="s">
        <v>624</v>
      </c>
      <c r="B15" s="101" t="s">
        <v>625</v>
      </c>
      <c r="C15" s="102"/>
      <c r="D15" s="111">
        <f>SUM(D16:D16)</f>
        <v>55</v>
      </c>
      <c r="E15" s="111">
        <f>SUM(E16:E16)</f>
        <v>55</v>
      </c>
      <c r="F15" s="111">
        <f>SUM(F16:F16)</f>
        <v>24.8</v>
      </c>
      <c r="G15" s="111">
        <f>SUM(G16:G16)</f>
        <v>30.2</v>
      </c>
      <c r="H15" s="361" t="s">
        <v>626</v>
      </c>
      <c r="I15" s="364" t="s">
        <v>29</v>
      </c>
      <c r="J15" s="364">
        <v>80</v>
      </c>
      <c r="K15" s="360">
        <v>89</v>
      </c>
      <c r="L15" s="409" t="s">
        <v>627</v>
      </c>
      <c r="M15" s="422"/>
    </row>
    <row r="16" spans="1:13" ht="24" customHeight="1" x14ac:dyDescent="0.3">
      <c r="A16" s="228"/>
      <c r="B16" s="123"/>
      <c r="C16" s="114" t="s">
        <v>27</v>
      </c>
      <c r="D16" s="116">
        <v>55</v>
      </c>
      <c r="E16" s="116">
        <v>55</v>
      </c>
      <c r="F16" s="116">
        <v>24.8</v>
      </c>
      <c r="G16" s="116">
        <v>30.2</v>
      </c>
      <c r="H16" s="361"/>
      <c r="I16" s="364"/>
      <c r="J16" s="364"/>
      <c r="K16" s="360"/>
      <c r="L16" s="409"/>
      <c r="M16" s="422"/>
    </row>
    <row r="17" spans="1:13" ht="62.4" x14ac:dyDescent="0.3">
      <c r="A17" s="100" t="s">
        <v>628</v>
      </c>
      <c r="B17" s="101" t="s">
        <v>629</v>
      </c>
      <c r="C17" s="102" t="s">
        <v>27</v>
      </c>
      <c r="D17" s="104">
        <v>10</v>
      </c>
      <c r="E17" s="104">
        <v>10</v>
      </c>
      <c r="F17" s="104">
        <v>4.2</v>
      </c>
      <c r="G17" s="104">
        <v>5.8</v>
      </c>
      <c r="H17" s="105" t="s">
        <v>630</v>
      </c>
      <c r="I17" s="106" t="s">
        <v>56</v>
      </c>
      <c r="J17" s="229">
        <v>100</v>
      </c>
      <c r="K17" s="107">
        <v>42</v>
      </c>
      <c r="L17" s="105" t="s">
        <v>631</v>
      </c>
      <c r="M17" s="198" t="s">
        <v>632</v>
      </c>
    </row>
    <row r="18" spans="1:13" ht="93.6" x14ac:dyDescent="0.3">
      <c r="A18" s="100" t="s">
        <v>633</v>
      </c>
      <c r="B18" s="101" t="s">
        <v>634</v>
      </c>
      <c r="C18" s="102" t="s">
        <v>27</v>
      </c>
      <c r="D18" s="104">
        <v>12.6</v>
      </c>
      <c r="E18" s="104">
        <v>10.6</v>
      </c>
      <c r="F18" s="104">
        <v>0.2</v>
      </c>
      <c r="G18" s="104">
        <v>10.4</v>
      </c>
      <c r="H18" s="105" t="s">
        <v>635</v>
      </c>
      <c r="I18" s="106" t="s">
        <v>29</v>
      </c>
      <c r="J18" s="229">
        <v>20</v>
      </c>
      <c r="K18" s="107">
        <v>4</v>
      </c>
      <c r="L18" s="197" t="s">
        <v>636</v>
      </c>
      <c r="M18" s="181" t="s">
        <v>637</v>
      </c>
    </row>
    <row r="19" spans="1:13" ht="46.8" x14ac:dyDescent="0.3">
      <c r="A19" s="227" t="s">
        <v>638</v>
      </c>
      <c r="B19" s="101" t="s">
        <v>639</v>
      </c>
      <c r="C19" s="102" t="s">
        <v>27</v>
      </c>
      <c r="D19" s="104">
        <v>38</v>
      </c>
      <c r="E19" s="104">
        <v>38</v>
      </c>
      <c r="F19" s="104">
        <v>38</v>
      </c>
      <c r="G19" s="104">
        <v>0</v>
      </c>
      <c r="H19" s="105" t="s">
        <v>640</v>
      </c>
      <c r="I19" s="106" t="s">
        <v>56</v>
      </c>
      <c r="J19" s="229">
        <v>100</v>
      </c>
      <c r="K19" s="117">
        <v>100</v>
      </c>
      <c r="L19" s="105" t="s">
        <v>641</v>
      </c>
      <c r="M19" s="181"/>
    </row>
    <row r="20" spans="1:13" ht="62.4" x14ac:dyDescent="0.3">
      <c r="A20" s="226" t="s">
        <v>642</v>
      </c>
      <c r="B20" s="124" t="s">
        <v>643</v>
      </c>
      <c r="C20" s="125"/>
      <c r="D20" s="99">
        <f>D21+D22+D24+D25</f>
        <v>131</v>
      </c>
      <c r="E20" s="99">
        <f>E21+E22+E24+E25</f>
        <v>105.1</v>
      </c>
      <c r="F20" s="99">
        <f>F21+F22+F24+F25</f>
        <v>63.599999999999994</v>
      </c>
      <c r="G20" s="99">
        <f>G21+G22+G24+G25</f>
        <v>41.5</v>
      </c>
      <c r="H20" s="366"/>
      <c r="I20" s="366"/>
      <c r="J20" s="366"/>
      <c r="K20" s="366"/>
      <c r="L20" s="366"/>
      <c r="M20" s="366"/>
    </row>
    <row r="21" spans="1:13" ht="46.8" x14ac:dyDescent="0.3">
      <c r="A21" s="100" t="s">
        <v>644</v>
      </c>
      <c r="B21" s="101" t="s">
        <v>645</v>
      </c>
      <c r="C21" s="102" t="s">
        <v>27</v>
      </c>
      <c r="D21" s="104">
        <v>21</v>
      </c>
      <c r="E21" s="104">
        <v>6.3</v>
      </c>
      <c r="F21" s="104">
        <v>6.3</v>
      </c>
      <c r="G21" s="104">
        <v>0</v>
      </c>
      <c r="H21" s="105" t="s">
        <v>646</v>
      </c>
      <c r="I21" s="106" t="s">
        <v>56</v>
      </c>
      <c r="J21" s="229">
        <v>100</v>
      </c>
      <c r="K21" s="230">
        <v>100</v>
      </c>
      <c r="L21" s="231"/>
      <c r="M21" s="108"/>
    </row>
    <row r="22" spans="1:13" ht="78" customHeight="1" x14ac:dyDescent="0.3">
      <c r="A22" s="363" t="s">
        <v>647</v>
      </c>
      <c r="B22" s="361" t="s">
        <v>648</v>
      </c>
      <c r="C22" s="102"/>
      <c r="D22" s="111">
        <f>SUM(D23:D23)</f>
        <v>70</v>
      </c>
      <c r="E22" s="111">
        <f>SUM(E23:E23)</f>
        <v>70</v>
      </c>
      <c r="F22" s="111">
        <f>SUM(F23:F23)</f>
        <v>40.6</v>
      </c>
      <c r="G22" s="111">
        <f>SUM(G23:G23)</f>
        <v>29.4</v>
      </c>
      <c r="H22" s="361" t="s">
        <v>649</v>
      </c>
      <c r="I22" s="364" t="s">
        <v>56</v>
      </c>
      <c r="J22" s="364">
        <v>100</v>
      </c>
      <c r="K22" s="379">
        <v>60</v>
      </c>
      <c r="L22" s="427" t="s">
        <v>650</v>
      </c>
      <c r="M22" s="362" t="s">
        <v>651</v>
      </c>
    </row>
    <row r="23" spans="1:13" ht="15.6" x14ac:dyDescent="0.3">
      <c r="A23" s="363"/>
      <c r="B23" s="361"/>
      <c r="C23" s="114" t="s">
        <v>27</v>
      </c>
      <c r="D23" s="116">
        <v>70</v>
      </c>
      <c r="E23" s="116">
        <v>70</v>
      </c>
      <c r="F23" s="116">
        <v>40.6</v>
      </c>
      <c r="G23" s="116">
        <v>29.4</v>
      </c>
      <c r="H23" s="361"/>
      <c r="I23" s="364"/>
      <c r="J23" s="364"/>
      <c r="K23" s="379"/>
      <c r="L23" s="427"/>
      <c r="M23" s="362"/>
    </row>
    <row r="24" spans="1:13" ht="78" x14ac:dyDescent="0.3">
      <c r="A24" s="100" t="s">
        <v>652</v>
      </c>
      <c r="B24" s="101" t="s">
        <v>653</v>
      </c>
      <c r="C24" s="102" t="s">
        <v>27</v>
      </c>
      <c r="D24" s="104">
        <v>40</v>
      </c>
      <c r="E24" s="104">
        <v>15.6</v>
      </c>
      <c r="F24" s="104">
        <v>3.5</v>
      </c>
      <c r="G24" s="104">
        <v>12.1</v>
      </c>
      <c r="H24" s="105" t="s">
        <v>654</v>
      </c>
      <c r="I24" s="106" t="s">
        <v>56</v>
      </c>
      <c r="J24" s="229">
        <v>100</v>
      </c>
      <c r="K24" s="107">
        <v>22</v>
      </c>
      <c r="L24" s="105"/>
      <c r="M24" s="198" t="s">
        <v>655</v>
      </c>
    </row>
    <row r="25" spans="1:13" ht="46.8" customHeight="1" x14ac:dyDescent="0.3">
      <c r="A25" s="363" t="s">
        <v>656</v>
      </c>
      <c r="B25" s="361" t="s">
        <v>657</v>
      </c>
      <c r="C25" s="102"/>
      <c r="D25" s="111">
        <f>SUM(D26:D27)</f>
        <v>0</v>
      </c>
      <c r="E25" s="111">
        <f>SUM(E26:E27)</f>
        <v>13.2</v>
      </c>
      <c r="F25" s="111">
        <f>SUM(F26:F27)</f>
        <v>13.2</v>
      </c>
      <c r="G25" s="111">
        <f>SUM(G26:G27)</f>
        <v>0</v>
      </c>
      <c r="H25" s="105" t="s">
        <v>658</v>
      </c>
      <c r="I25" s="106" t="s">
        <v>29</v>
      </c>
      <c r="J25" s="106">
        <v>2</v>
      </c>
      <c r="K25" s="117">
        <v>2</v>
      </c>
      <c r="L25" s="186" t="s">
        <v>659</v>
      </c>
      <c r="M25" s="181"/>
    </row>
    <row r="26" spans="1:13" ht="15.6" customHeight="1" x14ac:dyDescent="0.3">
      <c r="A26" s="363"/>
      <c r="B26" s="361"/>
      <c r="C26" s="114"/>
      <c r="D26" s="116">
        <v>0</v>
      </c>
      <c r="E26" s="116">
        <v>0</v>
      </c>
      <c r="F26" s="116">
        <v>0</v>
      </c>
      <c r="G26" s="116">
        <v>0</v>
      </c>
      <c r="H26" s="368" t="s">
        <v>660</v>
      </c>
      <c r="I26" s="373" t="s">
        <v>29</v>
      </c>
      <c r="J26" s="373">
        <v>1</v>
      </c>
      <c r="K26" s="374">
        <v>1</v>
      </c>
      <c r="L26" s="428" t="s">
        <v>661</v>
      </c>
      <c r="M26" s="429"/>
    </row>
    <row r="27" spans="1:13" ht="15.6" x14ac:dyDescent="0.3">
      <c r="A27" s="363"/>
      <c r="B27" s="361"/>
      <c r="C27" s="114" t="s">
        <v>200</v>
      </c>
      <c r="D27" s="116">
        <v>0</v>
      </c>
      <c r="E27" s="116">
        <v>13.2</v>
      </c>
      <c r="F27" s="116">
        <v>13.2</v>
      </c>
      <c r="G27" s="116">
        <v>0</v>
      </c>
      <c r="H27" s="368"/>
      <c r="I27" s="373"/>
      <c r="J27" s="373"/>
      <c r="K27" s="374"/>
      <c r="L27" s="428"/>
      <c r="M27" s="429"/>
    </row>
    <row r="28" spans="1:13" ht="31.2" x14ac:dyDescent="0.3">
      <c r="A28" s="226" t="s">
        <v>662</v>
      </c>
      <c r="B28" s="124" t="s">
        <v>663</v>
      </c>
      <c r="C28" s="125"/>
      <c r="D28" s="99">
        <f>SUM(D29:D29)</f>
        <v>2.2000000000000002</v>
      </c>
      <c r="E28" s="99">
        <f>SUM(E29:E29)</f>
        <v>2.2000000000000002</v>
      </c>
      <c r="F28" s="99">
        <f>SUM(F29:F29)</f>
        <v>0.6</v>
      </c>
      <c r="G28" s="99">
        <f>SUM(G29:G29)</f>
        <v>1.6</v>
      </c>
      <c r="H28" s="125"/>
      <c r="I28" s="200"/>
      <c r="J28" s="232"/>
      <c r="K28" s="232"/>
      <c r="L28" s="125"/>
      <c r="M28" s="201"/>
    </row>
    <row r="29" spans="1:13" ht="62.4" x14ac:dyDescent="0.3">
      <c r="A29" s="233" t="s">
        <v>664</v>
      </c>
      <c r="B29" s="234" t="s">
        <v>665</v>
      </c>
      <c r="C29" s="183" t="s">
        <v>27</v>
      </c>
      <c r="D29" s="235">
        <v>2.2000000000000002</v>
      </c>
      <c r="E29" s="235">
        <v>2.2000000000000002</v>
      </c>
      <c r="F29" s="235">
        <v>0.6</v>
      </c>
      <c r="G29" s="235">
        <v>1.6</v>
      </c>
      <c r="H29" s="183" t="s">
        <v>666</v>
      </c>
      <c r="I29" s="112" t="s">
        <v>56</v>
      </c>
      <c r="J29" s="112">
        <v>100</v>
      </c>
      <c r="K29" s="141">
        <v>27</v>
      </c>
      <c r="L29" s="202" t="s">
        <v>667</v>
      </c>
      <c r="M29" s="113" t="s">
        <v>668</v>
      </c>
    </row>
    <row r="30" spans="1:13" x14ac:dyDescent="0.3">
      <c r="A30" s="205"/>
      <c r="B30" s="205"/>
      <c r="C30" s="206"/>
      <c r="D30" s="207"/>
      <c r="E30" s="207"/>
      <c r="F30" s="207"/>
      <c r="G30" s="207"/>
      <c r="H30" s="206"/>
      <c r="I30" s="208"/>
      <c r="J30" s="209"/>
      <c r="K30" s="209"/>
      <c r="L30" s="206"/>
      <c r="M30" s="206"/>
    </row>
    <row r="31" spans="1:13" ht="21.75" customHeight="1" x14ac:dyDescent="0.3">
      <c r="A31" s="205"/>
      <c r="B31" s="205"/>
      <c r="C31" s="206"/>
      <c r="D31" s="207"/>
      <c r="E31" s="207"/>
      <c r="F31" s="207"/>
      <c r="G31" s="207"/>
      <c r="H31" s="206"/>
      <c r="I31" s="208"/>
      <c r="J31" s="209"/>
      <c r="K31" s="209"/>
      <c r="L31" s="206"/>
      <c r="M31" s="206"/>
    </row>
    <row r="32" spans="1:13" ht="95.4" customHeight="1" x14ac:dyDescent="0.3">
      <c r="A32" s="236" t="s">
        <v>5</v>
      </c>
      <c r="B32" s="236" t="s">
        <v>101</v>
      </c>
      <c r="C32" s="236" t="s">
        <v>222</v>
      </c>
      <c r="D32" s="236" t="s">
        <v>223</v>
      </c>
      <c r="E32" s="236" t="s">
        <v>104</v>
      </c>
      <c r="F32" s="236" t="s">
        <v>669</v>
      </c>
      <c r="K32" s="237"/>
      <c r="L32" s="193" t="s">
        <v>101</v>
      </c>
      <c r="M32" s="193" t="s">
        <v>105</v>
      </c>
    </row>
    <row r="33" spans="1:13" ht="24.6" customHeight="1" x14ac:dyDescent="0.3">
      <c r="A33" s="238" t="s">
        <v>106</v>
      </c>
      <c r="B33" s="238" t="s">
        <v>107</v>
      </c>
      <c r="C33" s="239">
        <f>SUM(C34:C35)</f>
        <v>248.8</v>
      </c>
      <c r="D33" s="239">
        <f>SUM(D34:D35)</f>
        <v>220.89999999999998</v>
      </c>
      <c r="E33" s="239">
        <f>SUM(E34:E35)</f>
        <v>131.4</v>
      </c>
      <c r="F33" s="239">
        <f>SUM(F34:F35)</f>
        <v>89.5</v>
      </c>
      <c r="K33" s="240"/>
      <c r="L33" s="241" t="s">
        <v>108</v>
      </c>
      <c r="M33" s="242">
        <v>4</v>
      </c>
    </row>
    <row r="34" spans="1:13" ht="27" x14ac:dyDescent="0.3">
      <c r="A34" s="238" t="s">
        <v>27</v>
      </c>
      <c r="B34" s="238" t="s">
        <v>109</v>
      </c>
      <c r="C34" s="243">
        <v>248.8</v>
      </c>
      <c r="D34" s="243">
        <v>207.7</v>
      </c>
      <c r="E34" s="243">
        <v>118.2</v>
      </c>
      <c r="F34" s="243">
        <v>89.5</v>
      </c>
      <c r="K34" s="244"/>
      <c r="L34" s="241" t="s">
        <v>110</v>
      </c>
      <c r="M34" s="242">
        <v>5</v>
      </c>
    </row>
    <row r="35" spans="1:13" ht="27" x14ac:dyDescent="0.3">
      <c r="A35" s="238" t="s">
        <v>200</v>
      </c>
      <c r="B35" s="238" t="s">
        <v>225</v>
      </c>
      <c r="C35" s="243">
        <v>0</v>
      </c>
      <c r="D35" s="243">
        <v>13.2</v>
      </c>
      <c r="E35" s="243">
        <v>13.2</v>
      </c>
      <c r="F35" s="243">
        <v>0</v>
      </c>
      <c r="K35" s="245"/>
      <c r="L35" s="241" t="s">
        <v>112</v>
      </c>
      <c r="M35" s="242"/>
    </row>
    <row r="36" spans="1:13" ht="15.6" x14ac:dyDescent="0.3">
      <c r="A36" s="246"/>
      <c r="B36" s="247" t="s">
        <v>113</v>
      </c>
      <c r="C36" s="248">
        <f>SUM(C33:C33)</f>
        <v>248.8</v>
      </c>
      <c r="D36" s="248">
        <f>SUM(D33:D33)</f>
        <v>220.89999999999998</v>
      </c>
      <c r="E36" s="248">
        <f>SUM(E33:E33)</f>
        <v>131.4</v>
      </c>
      <c r="F36" s="248">
        <f>SUM(F33:F33)</f>
        <v>89.5</v>
      </c>
      <c r="K36" s="160"/>
      <c r="L36" s="161" t="s">
        <v>114</v>
      </c>
      <c r="M36" s="193">
        <v>9</v>
      </c>
    </row>
  </sheetData>
  <mergeCells count="41">
    <mergeCell ref="K26:K27"/>
    <mergeCell ref="L26:L27"/>
    <mergeCell ref="M26:M27"/>
    <mergeCell ref="A25:A27"/>
    <mergeCell ref="B25:B27"/>
    <mergeCell ref="H26:H27"/>
    <mergeCell ref="I26:I27"/>
    <mergeCell ref="J26:J27"/>
    <mergeCell ref="H20:M20"/>
    <mergeCell ref="A22:A23"/>
    <mergeCell ref="B22:B23"/>
    <mergeCell ref="H22:H23"/>
    <mergeCell ref="I22:I23"/>
    <mergeCell ref="J22:J23"/>
    <mergeCell ref="K22:K23"/>
    <mergeCell ref="L22:L23"/>
    <mergeCell ref="M22:M23"/>
    <mergeCell ref="H12:M12"/>
    <mergeCell ref="H13:M13"/>
    <mergeCell ref="H14:M14"/>
    <mergeCell ref="H15:H16"/>
    <mergeCell ref="I15:I16"/>
    <mergeCell ref="J15:J16"/>
    <mergeCell ref="K15:K16"/>
    <mergeCell ref="L15:L16"/>
    <mergeCell ref="M15:M16"/>
    <mergeCell ref="A5:M5"/>
    <mergeCell ref="A6:M6"/>
    <mergeCell ref="A9:A11"/>
    <mergeCell ref="B9:B11"/>
    <mergeCell ref="C9:C11"/>
    <mergeCell ref="D9:D11"/>
    <mergeCell ref="E9:E11"/>
    <mergeCell ref="F9:F11"/>
    <mergeCell ref="G9:G11"/>
    <mergeCell ref="H9:M9"/>
    <mergeCell ref="H10:H11"/>
    <mergeCell ref="I10:I11"/>
    <mergeCell ref="J10:K10"/>
    <mergeCell ref="L10:L11"/>
    <mergeCell ref="M10:M11"/>
  </mergeCells>
  <pageMargins left="0.4" right="0.4" top="0.4" bottom="0.4" header="0.51180555555555496" footer="0.51180555555555496"/>
  <pageSetup paperSize="9" firstPageNumber="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82"/>
  <sheetViews>
    <sheetView topLeftCell="A35" zoomScale="86" zoomScaleNormal="86" workbookViewId="0">
      <selection activeCell="N37" sqref="N37"/>
    </sheetView>
  </sheetViews>
  <sheetFormatPr defaultColWidth="9.109375" defaultRowHeight="14.4" x14ac:dyDescent="0.3"/>
  <cols>
    <col min="1" max="1" width="9" style="86" customWidth="1"/>
    <col min="2" max="2" width="25.5546875" style="86" customWidth="1"/>
    <col min="3" max="3" width="9.88671875" style="86" customWidth="1"/>
    <col min="4" max="4" width="10.5546875" style="86" customWidth="1"/>
    <col min="5" max="5" width="11.6640625" style="86" customWidth="1"/>
    <col min="6" max="6" width="10.109375" style="86" customWidth="1"/>
    <col min="7" max="7" width="0.109375" style="86" customWidth="1"/>
    <col min="8" max="8" width="26.33203125" style="86" customWidth="1"/>
    <col min="9" max="9" width="5.6640625" style="86" customWidth="1"/>
    <col min="10" max="10" width="10.44140625" style="86" customWidth="1"/>
    <col min="11" max="11" width="10.77734375" style="86" customWidth="1"/>
    <col min="12" max="12" width="32.33203125" style="86" customWidth="1"/>
    <col min="13" max="13" width="49.109375" style="86" customWidth="1"/>
    <col min="14" max="15" width="37.44140625" style="86" customWidth="1"/>
    <col min="16" max="1024" width="9.109375" style="86"/>
  </cols>
  <sheetData>
    <row r="1" spans="1:13" s="90" customFormat="1" x14ac:dyDescent="0.3">
      <c r="A1" s="215"/>
      <c r="B1" s="215"/>
      <c r="C1" s="215"/>
      <c r="D1" s="215"/>
      <c r="E1" s="215"/>
      <c r="F1" s="215"/>
      <c r="G1" s="215"/>
      <c r="H1" s="215"/>
      <c r="I1" s="215"/>
      <c r="J1" s="215"/>
      <c r="K1" s="215"/>
      <c r="L1" s="215"/>
      <c r="M1" s="87" t="s">
        <v>0</v>
      </c>
    </row>
    <row r="2" spans="1:13" s="90" customFormat="1" x14ac:dyDescent="0.3">
      <c r="A2" s="215"/>
      <c r="B2" s="215"/>
      <c r="C2" s="215"/>
      <c r="D2" s="215"/>
      <c r="E2" s="215"/>
      <c r="F2" s="215"/>
      <c r="G2" s="215"/>
      <c r="H2" s="215"/>
      <c r="I2" s="215"/>
      <c r="J2" s="215"/>
      <c r="K2" s="215"/>
      <c r="L2" s="215"/>
      <c r="M2" s="87" t="s">
        <v>1</v>
      </c>
    </row>
    <row r="3" spans="1:13" s="90" customFormat="1" x14ac:dyDescent="0.3">
      <c r="A3" s="215"/>
      <c r="B3" s="215"/>
      <c r="C3" s="215"/>
      <c r="D3" s="215"/>
      <c r="E3" s="215"/>
      <c r="F3" s="215"/>
      <c r="G3" s="215"/>
      <c r="H3" s="215"/>
      <c r="I3" s="215"/>
      <c r="J3" s="215"/>
      <c r="K3" s="215"/>
      <c r="L3" s="215"/>
      <c r="M3" s="87" t="s">
        <v>2</v>
      </c>
    </row>
    <row r="4" spans="1:13" s="90" customFormat="1" ht="12" customHeight="1" x14ac:dyDescent="0.3">
      <c r="A4" s="215"/>
      <c r="B4" s="215"/>
      <c r="C4" s="215"/>
      <c r="D4" s="215"/>
      <c r="E4" s="215"/>
      <c r="F4" s="215"/>
      <c r="G4" s="215"/>
      <c r="H4" s="215"/>
      <c r="I4" s="215"/>
      <c r="J4" s="215"/>
      <c r="K4" s="215"/>
      <c r="L4" s="215"/>
      <c r="M4" s="215"/>
    </row>
    <row r="5" spans="1:13" ht="15.6" x14ac:dyDescent="0.3">
      <c r="A5" s="344" t="s">
        <v>3</v>
      </c>
      <c r="B5" s="344"/>
      <c r="C5" s="344"/>
      <c r="D5" s="344"/>
      <c r="E5" s="344"/>
      <c r="F5" s="344"/>
      <c r="G5" s="344"/>
      <c r="H5" s="344"/>
      <c r="I5" s="344"/>
      <c r="J5" s="344"/>
      <c r="K5" s="344"/>
      <c r="L5" s="344"/>
      <c r="M5" s="344"/>
    </row>
    <row r="6" spans="1:13" ht="15.6" x14ac:dyDescent="0.3">
      <c r="A6" s="344" t="s">
        <v>670</v>
      </c>
      <c r="B6" s="344"/>
      <c r="C6" s="344"/>
      <c r="D6" s="344"/>
      <c r="E6" s="344"/>
      <c r="F6" s="344"/>
      <c r="G6" s="344"/>
      <c r="H6" s="344"/>
      <c r="I6" s="344"/>
      <c r="J6" s="344"/>
      <c r="K6" s="344"/>
      <c r="L6" s="344"/>
      <c r="M6" s="344"/>
    </row>
    <row r="7" spans="1:13" x14ac:dyDescent="0.3">
      <c r="A7" s="224"/>
      <c r="B7" s="224"/>
      <c r="C7" s="224"/>
      <c r="D7" s="224"/>
      <c r="E7" s="224"/>
      <c r="F7" s="224"/>
      <c r="G7" s="224"/>
      <c r="H7" s="224"/>
      <c r="I7" s="224"/>
      <c r="J7" s="224"/>
      <c r="K7" s="224"/>
      <c r="L7" s="224"/>
      <c r="M7" s="224"/>
    </row>
    <row r="9" spans="1:13" ht="15.6" customHeight="1" x14ac:dyDescent="0.3">
      <c r="A9" s="382" t="s">
        <v>5</v>
      </c>
      <c r="B9" s="383" t="s">
        <v>6</v>
      </c>
      <c r="C9" s="430" t="s">
        <v>7</v>
      </c>
      <c r="D9" s="430" t="s">
        <v>222</v>
      </c>
      <c r="E9" s="430" t="s">
        <v>223</v>
      </c>
      <c r="F9" s="430" t="s">
        <v>104</v>
      </c>
      <c r="G9" s="430" t="s">
        <v>9</v>
      </c>
      <c r="H9" s="431" t="s">
        <v>517</v>
      </c>
      <c r="I9" s="431"/>
      <c r="J9" s="431"/>
      <c r="K9" s="431"/>
      <c r="L9" s="431"/>
      <c r="M9" s="431"/>
    </row>
    <row r="10" spans="1:13" ht="15.6" customHeight="1" x14ac:dyDescent="0.3">
      <c r="A10" s="382"/>
      <c r="B10" s="383"/>
      <c r="C10" s="430"/>
      <c r="D10" s="430"/>
      <c r="E10" s="430"/>
      <c r="F10" s="430"/>
      <c r="G10" s="430"/>
      <c r="H10" s="432" t="s">
        <v>518</v>
      </c>
      <c r="I10" s="432" t="s">
        <v>519</v>
      </c>
      <c r="J10" s="433" t="s">
        <v>520</v>
      </c>
      <c r="K10" s="433"/>
      <c r="L10" s="388" t="s">
        <v>11</v>
      </c>
      <c r="M10" s="426" t="s">
        <v>12</v>
      </c>
    </row>
    <row r="11" spans="1:13" ht="15.6" x14ac:dyDescent="0.3">
      <c r="A11" s="382"/>
      <c r="B11" s="383"/>
      <c r="C11" s="430"/>
      <c r="D11" s="430"/>
      <c r="E11" s="430"/>
      <c r="F11" s="430"/>
      <c r="G11" s="430"/>
      <c r="H11" s="430"/>
      <c r="I11" s="430"/>
      <c r="J11" s="249" t="s">
        <v>522</v>
      </c>
      <c r="K11" s="249" t="s">
        <v>523</v>
      </c>
      <c r="L11" s="388"/>
      <c r="M11" s="426"/>
    </row>
    <row r="12" spans="1:13" ht="15.6" x14ac:dyDescent="0.3">
      <c r="A12" s="196" t="s">
        <v>671</v>
      </c>
      <c r="B12" s="167" t="s">
        <v>672</v>
      </c>
      <c r="C12" s="168"/>
      <c r="D12" s="93">
        <f>D13+D47+D58</f>
        <v>6926.4999999999991</v>
      </c>
      <c r="E12" s="93">
        <f>E13+E47+E58</f>
        <v>6936.8999999999987</v>
      </c>
      <c r="F12" s="93">
        <f>F13+F47+F58</f>
        <v>6755.5</v>
      </c>
      <c r="G12" s="93">
        <f>G13+G47+G58</f>
        <v>181.39999999999998</v>
      </c>
      <c r="H12" s="355"/>
      <c r="I12" s="355"/>
      <c r="J12" s="355"/>
      <c r="K12" s="355"/>
      <c r="L12" s="355"/>
      <c r="M12" s="355"/>
    </row>
    <row r="13" spans="1:13" ht="46.8" x14ac:dyDescent="0.3">
      <c r="A13" s="94" t="s">
        <v>673</v>
      </c>
      <c r="B13" s="137" t="s">
        <v>674</v>
      </c>
      <c r="C13" s="138"/>
      <c r="D13" s="96">
        <f>D14+D32+D36-0.1</f>
        <v>5861.0999999999995</v>
      </c>
      <c r="E13" s="96">
        <f>E14+E32+E36-0.1</f>
        <v>5872.5999999999985</v>
      </c>
      <c r="F13" s="96">
        <f>F14+F32+F36</f>
        <v>5746.2</v>
      </c>
      <c r="G13" s="96">
        <f>G14+G32+G36</f>
        <v>126.39999999999999</v>
      </c>
      <c r="H13" s="375"/>
      <c r="I13" s="375"/>
      <c r="J13" s="375"/>
      <c r="K13" s="375"/>
      <c r="L13" s="375"/>
      <c r="M13" s="375"/>
    </row>
    <row r="14" spans="1:13" ht="93.6" x14ac:dyDescent="0.3">
      <c r="A14" s="97" t="s">
        <v>675</v>
      </c>
      <c r="B14" s="124" t="s">
        <v>676</v>
      </c>
      <c r="C14" s="125"/>
      <c r="D14" s="99">
        <f>D15+D24+D29</f>
        <v>918.7</v>
      </c>
      <c r="E14" s="99">
        <f>E15+E24+E29</f>
        <v>891.8</v>
      </c>
      <c r="F14" s="99">
        <f>F15+F24+F29-0.1</f>
        <v>789.09999999999991</v>
      </c>
      <c r="G14" s="99">
        <f>G15+G24+G29</f>
        <v>102.6</v>
      </c>
      <c r="H14" s="366"/>
      <c r="I14" s="366"/>
      <c r="J14" s="366"/>
      <c r="K14" s="366"/>
      <c r="L14" s="366"/>
      <c r="M14" s="366"/>
    </row>
    <row r="15" spans="1:13" ht="54.6" customHeight="1" x14ac:dyDescent="0.3">
      <c r="A15" s="363" t="s">
        <v>677</v>
      </c>
      <c r="B15" s="361" t="s">
        <v>678</v>
      </c>
      <c r="C15" s="434"/>
      <c r="D15" s="435">
        <f>SUM(D16:D23)</f>
        <v>139.19999999999999</v>
      </c>
      <c r="E15" s="435">
        <f>SUM(E16:E23)</f>
        <v>143.4</v>
      </c>
      <c r="F15" s="435">
        <f>SUM(F16:F23)</f>
        <v>143.1</v>
      </c>
      <c r="G15" s="111">
        <f>SUM(G16:G23)</f>
        <v>0.3</v>
      </c>
      <c r="H15" s="105" t="s">
        <v>679</v>
      </c>
      <c r="I15" s="106" t="s">
        <v>29</v>
      </c>
      <c r="J15" s="106">
        <v>6</v>
      </c>
      <c r="K15" s="107">
        <v>5</v>
      </c>
      <c r="L15" s="105"/>
      <c r="M15" s="108" t="s">
        <v>680</v>
      </c>
    </row>
    <row r="16" spans="1:13" ht="78" x14ac:dyDescent="0.3">
      <c r="A16" s="363"/>
      <c r="B16" s="361"/>
      <c r="C16" s="434"/>
      <c r="D16" s="435"/>
      <c r="E16" s="435"/>
      <c r="F16" s="435"/>
      <c r="G16" s="116">
        <v>0</v>
      </c>
      <c r="H16" s="118" t="s">
        <v>681</v>
      </c>
      <c r="I16" s="119" t="s">
        <v>29</v>
      </c>
      <c r="J16" s="119">
        <v>54</v>
      </c>
      <c r="K16" s="128">
        <v>58</v>
      </c>
      <c r="L16" s="178" t="s">
        <v>682</v>
      </c>
      <c r="M16" s="121"/>
    </row>
    <row r="17" spans="1:13" ht="35.25" customHeight="1" x14ac:dyDescent="0.3">
      <c r="A17" s="363"/>
      <c r="B17" s="361"/>
      <c r="C17" s="434"/>
      <c r="D17" s="435"/>
      <c r="E17" s="435"/>
      <c r="F17" s="435"/>
      <c r="G17" s="116">
        <v>0</v>
      </c>
      <c r="H17" s="118" t="s">
        <v>683</v>
      </c>
      <c r="I17" s="119" t="s">
        <v>29</v>
      </c>
      <c r="J17" s="119">
        <v>135</v>
      </c>
      <c r="K17" s="128">
        <v>148</v>
      </c>
      <c r="L17" s="250"/>
      <c r="M17" s="121"/>
    </row>
    <row r="18" spans="1:13" ht="31.5" customHeight="1" x14ac:dyDescent="0.3">
      <c r="A18" s="363"/>
      <c r="B18" s="361"/>
      <c r="C18" s="434"/>
      <c r="D18" s="435"/>
      <c r="E18" s="435"/>
      <c r="F18" s="435"/>
      <c r="G18" s="116">
        <v>0</v>
      </c>
      <c r="H18" s="118" t="s">
        <v>684</v>
      </c>
      <c r="I18" s="119" t="s">
        <v>551</v>
      </c>
      <c r="J18" s="251">
        <v>22400</v>
      </c>
      <c r="K18" s="252">
        <v>23458</v>
      </c>
      <c r="L18" s="250"/>
      <c r="M18" s="121"/>
    </row>
    <row r="19" spans="1:13" ht="31.2" x14ac:dyDescent="0.3">
      <c r="A19" s="363"/>
      <c r="B19" s="361"/>
      <c r="C19" s="434"/>
      <c r="D19" s="435"/>
      <c r="E19" s="435"/>
      <c r="F19" s="435"/>
      <c r="G19" s="116">
        <v>0</v>
      </c>
      <c r="H19" s="118" t="s">
        <v>685</v>
      </c>
      <c r="I19" s="119" t="s">
        <v>29</v>
      </c>
      <c r="J19" s="119">
        <v>153</v>
      </c>
      <c r="K19" s="128">
        <v>157</v>
      </c>
      <c r="L19" s="250"/>
      <c r="M19" s="185"/>
    </row>
    <row r="20" spans="1:13" ht="31.2" x14ac:dyDescent="0.3">
      <c r="A20" s="363"/>
      <c r="B20" s="361"/>
      <c r="C20" s="434"/>
      <c r="D20" s="435"/>
      <c r="E20" s="435"/>
      <c r="F20" s="435"/>
      <c r="G20" s="116">
        <v>0</v>
      </c>
      <c r="H20" s="118" t="s">
        <v>686</v>
      </c>
      <c r="I20" s="119" t="s">
        <v>29</v>
      </c>
      <c r="J20" s="119">
        <v>715</v>
      </c>
      <c r="K20" s="128">
        <v>717</v>
      </c>
      <c r="L20" s="250"/>
      <c r="M20" s="121"/>
    </row>
    <row r="21" spans="1:13" ht="21.6" customHeight="1" x14ac:dyDescent="0.3">
      <c r="A21" s="363"/>
      <c r="B21" s="361"/>
      <c r="C21" s="434"/>
      <c r="D21" s="435"/>
      <c r="E21" s="435"/>
      <c r="F21" s="435"/>
      <c r="G21" s="116">
        <v>0</v>
      </c>
      <c r="H21" s="367" t="s">
        <v>687</v>
      </c>
      <c r="I21" s="373" t="s">
        <v>551</v>
      </c>
      <c r="J21" s="436">
        <v>2500</v>
      </c>
      <c r="K21" s="437">
        <v>2192</v>
      </c>
      <c r="L21" s="438"/>
      <c r="M21" s="439" t="s">
        <v>688</v>
      </c>
    </row>
    <row r="22" spans="1:13" ht="15.6" x14ac:dyDescent="0.3">
      <c r="A22" s="363"/>
      <c r="B22" s="361"/>
      <c r="C22" s="114" t="s">
        <v>689</v>
      </c>
      <c r="D22" s="116">
        <v>33.9</v>
      </c>
      <c r="E22" s="116">
        <v>33.9</v>
      </c>
      <c r="F22" s="116">
        <v>33.9</v>
      </c>
      <c r="G22" s="116">
        <v>0</v>
      </c>
      <c r="H22" s="367"/>
      <c r="I22" s="373"/>
      <c r="J22" s="436"/>
      <c r="K22" s="437"/>
      <c r="L22" s="438"/>
      <c r="M22" s="439"/>
    </row>
    <row r="23" spans="1:13" ht="15.6" x14ac:dyDescent="0.3">
      <c r="A23" s="363"/>
      <c r="B23" s="361"/>
      <c r="C23" s="114" t="s">
        <v>27</v>
      </c>
      <c r="D23" s="116">
        <v>105.3</v>
      </c>
      <c r="E23" s="116">
        <v>109.5</v>
      </c>
      <c r="F23" s="116">
        <v>109.2</v>
      </c>
      <c r="G23" s="116">
        <v>0.3</v>
      </c>
      <c r="H23" s="367"/>
      <c r="I23" s="373"/>
      <c r="J23" s="436"/>
      <c r="K23" s="437"/>
      <c r="L23" s="438"/>
      <c r="M23" s="439"/>
    </row>
    <row r="24" spans="1:13" ht="96" customHeight="1" x14ac:dyDescent="0.3">
      <c r="A24" s="363" t="s">
        <v>690</v>
      </c>
      <c r="B24" s="361" t="s">
        <v>691</v>
      </c>
      <c r="C24" s="434"/>
      <c r="D24" s="435">
        <f>SUM(D25:D28)</f>
        <v>238</v>
      </c>
      <c r="E24" s="435">
        <f>SUM(E25:E28)</f>
        <v>238</v>
      </c>
      <c r="F24" s="435">
        <f>SUM(F25:F28)</f>
        <v>212.2</v>
      </c>
      <c r="G24" s="111">
        <f>SUM(G25:G28)</f>
        <v>25.8</v>
      </c>
      <c r="H24" s="105" t="s">
        <v>692</v>
      </c>
      <c r="I24" s="106" t="s">
        <v>29</v>
      </c>
      <c r="J24" s="106">
        <v>2</v>
      </c>
      <c r="K24" s="117">
        <v>5</v>
      </c>
      <c r="L24" s="203" t="s">
        <v>693</v>
      </c>
      <c r="M24" s="108"/>
    </row>
    <row r="25" spans="1:13" ht="109.2" x14ac:dyDescent="0.3">
      <c r="A25" s="363"/>
      <c r="B25" s="361"/>
      <c r="C25" s="434"/>
      <c r="D25" s="435"/>
      <c r="E25" s="435"/>
      <c r="F25" s="435"/>
      <c r="G25" s="116">
        <v>0</v>
      </c>
      <c r="H25" s="118" t="s">
        <v>694</v>
      </c>
      <c r="I25" s="119" t="s">
        <v>29</v>
      </c>
      <c r="J25" s="119">
        <v>6</v>
      </c>
      <c r="K25" s="128">
        <v>7</v>
      </c>
      <c r="L25" s="253" t="s">
        <v>695</v>
      </c>
      <c r="M25" s="121"/>
    </row>
    <row r="26" spans="1:13" ht="234" x14ac:dyDescent="0.3">
      <c r="A26" s="363"/>
      <c r="B26" s="361"/>
      <c r="C26" s="434"/>
      <c r="D26" s="435"/>
      <c r="E26" s="435"/>
      <c r="F26" s="435"/>
      <c r="G26" s="116">
        <v>0</v>
      </c>
      <c r="H26" s="118" t="s">
        <v>696</v>
      </c>
      <c r="I26" s="119" t="s">
        <v>29</v>
      </c>
      <c r="J26" s="119">
        <v>6</v>
      </c>
      <c r="K26" s="128">
        <v>7</v>
      </c>
      <c r="L26" s="253" t="s">
        <v>697</v>
      </c>
      <c r="M26" s="121"/>
    </row>
    <row r="27" spans="1:13" ht="107.25" customHeight="1" x14ac:dyDescent="0.3">
      <c r="A27" s="363"/>
      <c r="B27" s="361"/>
      <c r="C27" s="434"/>
      <c r="D27" s="435"/>
      <c r="E27" s="435"/>
      <c r="F27" s="435"/>
      <c r="G27" s="116">
        <v>0</v>
      </c>
      <c r="H27" s="367" t="s">
        <v>698</v>
      </c>
      <c r="I27" s="373" t="s">
        <v>29</v>
      </c>
      <c r="J27" s="373">
        <v>10</v>
      </c>
      <c r="K27" s="374">
        <v>13</v>
      </c>
      <c r="L27" s="440" t="s">
        <v>699</v>
      </c>
      <c r="M27" s="429"/>
    </row>
    <row r="28" spans="1:13" ht="103.2" customHeight="1" x14ac:dyDescent="0.3">
      <c r="A28" s="363"/>
      <c r="B28" s="361"/>
      <c r="C28" s="114" t="s">
        <v>27</v>
      </c>
      <c r="D28" s="116">
        <v>238</v>
      </c>
      <c r="E28" s="116">
        <v>238</v>
      </c>
      <c r="F28" s="116">
        <v>212.2</v>
      </c>
      <c r="G28" s="116">
        <v>25.8</v>
      </c>
      <c r="H28" s="367"/>
      <c r="I28" s="373"/>
      <c r="J28" s="373"/>
      <c r="K28" s="374"/>
      <c r="L28" s="440"/>
      <c r="M28" s="429"/>
    </row>
    <row r="29" spans="1:13" ht="46.8" customHeight="1" x14ac:dyDescent="0.3">
      <c r="A29" s="441" t="s">
        <v>700</v>
      </c>
      <c r="B29" s="361" t="s">
        <v>701</v>
      </c>
      <c r="C29" s="364" t="s">
        <v>27</v>
      </c>
      <c r="D29" s="397">
        <f>SUM(D30:D31)+541.5</f>
        <v>541.5</v>
      </c>
      <c r="E29" s="397">
        <f>SUM(E30:E31)+510.4</f>
        <v>510.4</v>
      </c>
      <c r="F29" s="397">
        <f>SUM(F30:F31)+433.9</f>
        <v>433.9</v>
      </c>
      <c r="G29" s="111">
        <f>SUM(G30:G31)+76.5</f>
        <v>76.5</v>
      </c>
      <c r="H29" s="105" t="s">
        <v>702</v>
      </c>
      <c r="I29" s="106" t="s">
        <v>551</v>
      </c>
      <c r="J29" s="254">
        <v>124000</v>
      </c>
      <c r="K29" s="255">
        <v>101900</v>
      </c>
      <c r="L29" s="105"/>
      <c r="M29" s="108" t="s">
        <v>703</v>
      </c>
    </row>
    <row r="30" spans="1:13" ht="31.2" x14ac:dyDescent="0.3">
      <c r="A30" s="441"/>
      <c r="B30" s="361"/>
      <c r="C30" s="364"/>
      <c r="D30" s="397"/>
      <c r="E30" s="397"/>
      <c r="F30" s="397"/>
      <c r="G30" s="116">
        <v>0</v>
      </c>
      <c r="H30" s="118" t="s">
        <v>684</v>
      </c>
      <c r="I30" s="119" t="s">
        <v>551</v>
      </c>
      <c r="J30" s="256">
        <v>4700</v>
      </c>
      <c r="K30" s="257">
        <v>4322</v>
      </c>
      <c r="L30" s="118"/>
      <c r="M30" s="121" t="s">
        <v>703</v>
      </c>
    </row>
    <row r="31" spans="1:13" ht="156" x14ac:dyDescent="0.3">
      <c r="A31" s="441"/>
      <c r="B31" s="361"/>
      <c r="C31" s="364"/>
      <c r="D31" s="397"/>
      <c r="E31" s="397"/>
      <c r="F31" s="397"/>
      <c r="G31" s="116">
        <v>0</v>
      </c>
      <c r="H31" s="118" t="s">
        <v>704</v>
      </c>
      <c r="I31" s="119" t="s">
        <v>29</v>
      </c>
      <c r="J31" s="119">
        <v>6</v>
      </c>
      <c r="K31" s="128">
        <v>6</v>
      </c>
      <c r="L31" s="253" t="s">
        <v>705</v>
      </c>
      <c r="M31" s="121"/>
    </row>
    <row r="32" spans="1:13" ht="59.4" customHeight="1" x14ac:dyDescent="0.3">
      <c r="A32" s="97" t="s">
        <v>706</v>
      </c>
      <c r="B32" s="124" t="s">
        <v>707</v>
      </c>
      <c r="C32" s="125"/>
      <c r="D32" s="99">
        <f>SUM(D33:D34)</f>
        <v>48.599999999999994</v>
      </c>
      <c r="E32" s="99">
        <f>SUM(E33:E34)</f>
        <v>48.599999999999994</v>
      </c>
      <c r="F32" s="99">
        <f>SUM(F33:F34)</f>
        <v>48.599999999999994</v>
      </c>
      <c r="G32" s="99">
        <f>SUM(G33:G34)</f>
        <v>0</v>
      </c>
      <c r="H32" s="366"/>
      <c r="I32" s="366"/>
      <c r="J32" s="366"/>
      <c r="K32" s="366"/>
      <c r="L32" s="366"/>
      <c r="M32" s="366"/>
    </row>
    <row r="33" spans="1:13" ht="62.4" x14ac:dyDescent="0.3">
      <c r="A33" s="100" t="s">
        <v>708</v>
      </c>
      <c r="B33" s="101" t="s">
        <v>709</v>
      </c>
      <c r="C33" s="102" t="s">
        <v>27</v>
      </c>
      <c r="D33" s="104">
        <v>34.799999999999997</v>
      </c>
      <c r="E33" s="104">
        <v>34.799999999999997</v>
      </c>
      <c r="F33" s="104">
        <v>34.799999999999997</v>
      </c>
      <c r="G33" s="104">
        <v>0</v>
      </c>
      <c r="H33" s="105" t="s">
        <v>710</v>
      </c>
      <c r="I33" s="106" t="s">
        <v>29</v>
      </c>
      <c r="J33" s="106">
        <v>10</v>
      </c>
      <c r="K33" s="117">
        <v>10</v>
      </c>
      <c r="L33" s="203"/>
      <c r="M33" s="108"/>
    </row>
    <row r="34" spans="1:13" ht="78" customHeight="1" x14ac:dyDescent="0.3">
      <c r="A34" s="363" t="s">
        <v>711</v>
      </c>
      <c r="B34" s="361" t="s">
        <v>712</v>
      </c>
      <c r="C34" s="396" t="s">
        <v>27</v>
      </c>
      <c r="D34" s="397">
        <f>SUM(D35:D35)+13.8</f>
        <v>13.8</v>
      </c>
      <c r="E34" s="397">
        <f>SUM(E35:E35)+13.8</f>
        <v>13.8</v>
      </c>
      <c r="F34" s="397">
        <f>SUM(F35:F35)+13.8</f>
        <v>13.8</v>
      </c>
      <c r="G34" s="111">
        <f>SUM(G35:G35)</f>
        <v>0</v>
      </c>
      <c r="H34" s="105" t="s">
        <v>713</v>
      </c>
      <c r="I34" s="106" t="s">
        <v>56</v>
      </c>
      <c r="J34" s="106">
        <v>9.4</v>
      </c>
      <c r="K34" s="107">
        <v>8</v>
      </c>
      <c r="L34" s="197" t="s">
        <v>714</v>
      </c>
      <c r="M34" s="108"/>
    </row>
    <row r="35" spans="1:13" ht="219.6" customHeight="1" x14ac:dyDescent="0.3">
      <c r="A35" s="363"/>
      <c r="B35" s="361"/>
      <c r="C35" s="396"/>
      <c r="D35" s="397"/>
      <c r="E35" s="397"/>
      <c r="F35" s="397"/>
      <c r="G35" s="116">
        <v>0</v>
      </c>
      <c r="H35" s="118" t="s">
        <v>715</v>
      </c>
      <c r="I35" s="119" t="s">
        <v>56</v>
      </c>
      <c r="J35" s="119">
        <v>2</v>
      </c>
      <c r="K35" s="120">
        <v>0.7</v>
      </c>
      <c r="L35" s="253" t="s">
        <v>716</v>
      </c>
      <c r="M35" s="121" t="s">
        <v>717</v>
      </c>
    </row>
    <row r="36" spans="1:13" ht="46.8" x14ac:dyDescent="0.3">
      <c r="A36" s="97" t="s">
        <v>718</v>
      </c>
      <c r="B36" s="124" t="s">
        <v>719</v>
      </c>
      <c r="C36" s="125"/>
      <c r="D36" s="99">
        <f>SUM(D37:D37)</f>
        <v>4893.8999999999996</v>
      </c>
      <c r="E36" s="99">
        <f>SUM(E37:E37)</f>
        <v>4932.2999999999993</v>
      </c>
      <c r="F36" s="99">
        <f>SUM(F37:F37)</f>
        <v>4908.5</v>
      </c>
      <c r="G36" s="99">
        <f>SUM(G37:G37)</f>
        <v>23.8</v>
      </c>
      <c r="H36" s="366"/>
      <c r="I36" s="366"/>
      <c r="J36" s="366"/>
      <c r="K36" s="366"/>
      <c r="L36" s="366"/>
      <c r="M36" s="366"/>
    </row>
    <row r="37" spans="1:13" ht="155.4" customHeight="1" x14ac:dyDescent="0.3">
      <c r="A37" s="363" t="s">
        <v>720</v>
      </c>
      <c r="B37" s="361" t="s">
        <v>721</v>
      </c>
      <c r="C37" s="434"/>
      <c r="D37" s="111">
        <f>SUM(D38:D46)</f>
        <v>4893.8999999999996</v>
      </c>
      <c r="E37" s="111">
        <f>SUM(E38:E46)</f>
        <v>4932.2999999999993</v>
      </c>
      <c r="F37" s="111">
        <f>SUM(F38:F46)</f>
        <v>4908.5</v>
      </c>
      <c r="G37" s="111">
        <f>SUM(G38:G46)</f>
        <v>23.8</v>
      </c>
      <c r="H37" s="105" t="s">
        <v>722</v>
      </c>
      <c r="I37" s="106" t="s">
        <v>551</v>
      </c>
      <c r="J37" s="254">
        <v>9000</v>
      </c>
      <c r="K37" s="255">
        <v>7615</v>
      </c>
      <c r="L37" s="186" t="s">
        <v>723</v>
      </c>
      <c r="M37" s="274" t="s">
        <v>1543</v>
      </c>
    </row>
    <row r="38" spans="1:13" ht="152.4" customHeight="1" x14ac:dyDescent="0.3">
      <c r="A38" s="363"/>
      <c r="B38" s="361"/>
      <c r="C38" s="434"/>
      <c r="D38" s="116">
        <v>0</v>
      </c>
      <c r="E38" s="116">
        <v>0</v>
      </c>
      <c r="F38" s="116">
        <v>0</v>
      </c>
      <c r="G38" s="116">
        <v>0</v>
      </c>
      <c r="H38" s="118" t="s">
        <v>724</v>
      </c>
      <c r="I38" s="119" t="s">
        <v>56</v>
      </c>
      <c r="J38" s="119">
        <v>7.8</v>
      </c>
      <c r="K38" s="128">
        <v>9.4</v>
      </c>
      <c r="L38" s="118" t="s">
        <v>725</v>
      </c>
      <c r="M38" s="121"/>
    </row>
    <row r="39" spans="1:13" ht="37.5" customHeight="1" x14ac:dyDescent="0.3">
      <c r="A39" s="363"/>
      <c r="B39" s="361"/>
      <c r="C39" s="434"/>
      <c r="D39" s="116">
        <v>0</v>
      </c>
      <c r="E39" s="116">
        <v>0</v>
      </c>
      <c r="F39" s="116">
        <v>0</v>
      </c>
      <c r="G39" s="116">
        <v>0</v>
      </c>
      <c r="H39" s="118" t="s">
        <v>726</v>
      </c>
      <c r="I39" s="119" t="s">
        <v>29</v>
      </c>
      <c r="J39" s="119">
        <v>3</v>
      </c>
      <c r="K39" s="128">
        <v>3</v>
      </c>
      <c r="L39" s="118"/>
      <c r="M39" s="121"/>
    </row>
    <row r="40" spans="1:13" ht="43.2" customHeight="1" x14ac:dyDescent="0.3">
      <c r="A40" s="363"/>
      <c r="B40" s="361"/>
      <c r="C40" s="434"/>
      <c r="D40" s="116">
        <v>0</v>
      </c>
      <c r="E40" s="116">
        <v>0</v>
      </c>
      <c r="F40" s="116">
        <v>0</v>
      </c>
      <c r="G40" s="116">
        <v>0</v>
      </c>
      <c r="H40" s="118" t="s">
        <v>727</v>
      </c>
      <c r="I40" s="119" t="s">
        <v>29</v>
      </c>
      <c r="J40" s="119">
        <v>4</v>
      </c>
      <c r="K40" s="128">
        <v>4</v>
      </c>
      <c r="L40" s="118"/>
      <c r="M40" s="121"/>
    </row>
    <row r="41" spans="1:13" ht="93.6" x14ac:dyDescent="0.3">
      <c r="A41" s="363"/>
      <c r="B41" s="361"/>
      <c r="C41" s="434"/>
      <c r="D41" s="116">
        <v>0</v>
      </c>
      <c r="E41" s="116">
        <v>0</v>
      </c>
      <c r="F41" s="116">
        <v>0</v>
      </c>
      <c r="G41" s="116">
        <v>0</v>
      </c>
      <c r="H41" s="118" t="s">
        <v>728</v>
      </c>
      <c r="I41" s="119" t="s">
        <v>56</v>
      </c>
      <c r="J41" s="119">
        <v>21</v>
      </c>
      <c r="K41" s="128">
        <v>21.4</v>
      </c>
      <c r="L41" s="118" t="s">
        <v>729</v>
      </c>
      <c r="M41" s="121" t="s">
        <v>730</v>
      </c>
    </row>
    <row r="42" spans="1:13" ht="31.2" x14ac:dyDescent="0.3">
      <c r="A42" s="363"/>
      <c r="B42" s="361"/>
      <c r="C42" s="434"/>
      <c r="D42" s="116">
        <v>0</v>
      </c>
      <c r="E42" s="116">
        <v>0</v>
      </c>
      <c r="F42" s="116">
        <v>0</v>
      </c>
      <c r="G42" s="116">
        <v>0</v>
      </c>
      <c r="H42" s="118" t="s">
        <v>731</v>
      </c>
      <c r="I42" s="119" t="s">
        <v>29</v>
      </c>
      <c r="J42" s="179">
        <v>8</v>
      </c>
      <c r="K42" s="128">
        <v>8</v>
      </c>
      <c r="L42" s="118"/>
      <c r="M42" s="121"/>
    </row>
    <row r="43" spans="1:13" ht="24.6" customHeight="1" x14ac:dyDescent="0.3">
      <c r="A43" s="363"/>
      <c r="B43" s="361"/>
      <c r="C43" s="434"/>
      <c r="D43" s="116">
        <v>0</v>
      </c>
      <c r="E43" s="116">
        <v>0</v>
      </c>
      <c r="F43" s="116">
        <v>0</v>
      </c>
      <c r="G43" s="116">
        <v>0</v>
      </c>
      <c r="H43" s="403" t="s">
        <v>732</v>
      </c>
      <c r="I43" s="373" t="s">
        <v>29</v>
      </c>
      <c r="J43" s="373">
        <v>20</v>
      </c>
      <c r="K43" s="374">
        <v>20</v>
      </c>
      <c r="L43" s="438"/>
      <c r="M43" s="395"/>
    </row>
    <row r="44" spans="1:13" ht="15.6" x14ac:dyDescent="0.3">
      <c r="A44" s="363"/>
      <c r="B44" s="361"/>
      <c r="C44" s="114" t="s">
        <v>182</v>
      </c>
      <c r="D44" s="116">
        <v>372.8</v>
      </c>
      <c r="E44" s="116">
        <v>393.7</v>
      </c>
      <c r="F44" s="116">
        <v>372.7</v>
      </c>
      <c r="G44" s="116">
        <v>21</v>
      </c>
      <c r="H44" s="403"/>
      <c r="I44" s="373"/>
      <c r="J44" s="373"/>
      <c r="K44" s="374"/>
      <c r="L44" s="438"/>
      <c r="M44" s="395"/>
    </row>
    <row r="45" spans="1:13" ht="15.6" x14ac:dyDescent="0.3">
      <c r="A45" s="363"/>
      <c r="B45" s="361"/>
      <c r="C45" s="114" t="s">
        <v>36</v>
      </c>
      <c r="D45" s="116">
        <v>27.2</v>
      </c>
      <c r="E45" s="116">
        <v>27.2</v>
      </c>
      <c r="F45" s="116">
        <v>27.2</v>
      </c>
      <c r="G45" s="116">
        <v>0</v>
      </c>
      <c r="H45" s="403"/>
      <c r="I45" s="373"/>
      <c r="J45" s="373"/>
      <c r="K45" s="374"/>
      <c r="L45" s="438"/>
      <c r="M45" s="395"/>
    </row>
    <row r="46" spans="1:13" ht="15.6" x14ac:dyDescent="0.3">
      <c r="A46" s="363"/>
      <c r="B46" s="361"/>
      <c r="C46" s="114" t="s">
        <v>27</v>
      </c>
      <c r="D46" s="116">
        <v>4493.8999999999996</v>
      </c>
      <c r="E46" s="116">
        <v>4511.3999999999996</v>
      </c>
      <c r="F46" s="116">
        <v>4508.6000000000004</v>
      </c>
      <c r="G46" s="116">
        <v>2.8</v>
      </c>
      <c r="H46" s="403"/>
      <c r="I46" s="373"/>
      <c r="J46" s="373"/>
      <c r="K46" s="374"/>
      <c r="L46" s="438"/>
      <c r="M46" s="395"/>
    </row>
    <row r="47" spans="1:13" ht="93.6" x14ac:dyDescent="0.3">
      <c r="A47" s="94" t="s">
        <v>733</v>
      </c>
      <c r="B47" s="137" t="s">
        <v>734</v>
      </c>
      <c r="C47" s="138"/>
      <c r="D47" s="96">
        <f>D48+D55</f>
        <v>700</v>
      </c>
      <c r="E47" s="96">
        <f>E48+E55</f>
        <v>700</v>
      </c>
      <c r="F47" s="96">
        <f>F48+F55</f>
        <v>645</v>
      </c>
      <c r="G47" s="96">
        <f>G48+G55</f>
        <v>55</v>
      </c>
      <c r="H47" s="375"/>
      <c r="I47" s="375"/>
      <c r="J47" s="375"/>
      <c r="K47" s="375"/>
      <c r="L47" s="375"/>
      <c r="M47" s="375"/>
    </row>
    <row r="48" spans="1:13" ht="31.2" x14ac:dyDescent="0.3">
      <c r="A48" s="97" t="s">
        <v>735</v>
      </c>
      <c r="B48" s="124" t="s">
        <v>736</v>
      </c>
      <c r="C48" s="125"/>
      <c r="D48" s="99">
        <f>D49+D53</f>
        <v>640</v>
      </c>
      <c r="E48" s="99">
        <f>E49+E53</f>
        <v>657.4</v>
      </c>
      <c r="F48" s="99">
        <f>F49+F53</f>
        <v>602.4</v>
      </c>
      <c r="G48" s="99">
        <f>G49+G53</f>
        <v>55</v>
      </c>
      <c r="H48" s="366"/>
      <c r="I48" s="366"/>
      <c r="J48" s="366"/>
      <c r="K48" s="366"/>
      <c r="L48" s="366"/>
      <c r="M48" s="366"/>
    </row>
    <row r="49" spans="1:13" ht="37.799999999999997" customHeight="1" x14ac:dyDescent="0.3">
      <c r="A49" s="363" t="s">
        <v>737</v>
      </c>
      <c r="B49" s="361" t="s">
        <v>738</v>
      </c>
      <c r="C49" s="102"/>
      <c r="D49" s="111">
        <f>SUM(D50:D52)</f>
        <v>610</v>
      </c>
      <c r="E49" s="111">
        <f>SUM(E50:E52)</f>
        <v>610</v>
      </c>
      <c r="F49" s="111">
        <f>SUM(F50:F52)-0.1</f>
        <v>577.6</v>
      </c>
      <c r="G49" s="111">
        <f>SUM(G50:G52)+0.1</f>
        <v>32.4</v>
      </c>
      <c r="H49" s="361" t="s">
        <v>739</v>
      </c>
      <c r="I49" s="364" t="s">
        <v>56</v>
      </c>
      <c r="J49" s="364">
        <v>100</v>
      </c>
      <c r="K49" s="360">
        <v>100</v>
      </c>
      <c r="L49" s="361" t="s">
        <v>740</v>
      </c>
      <c r="M49" s="422"/>
    </row>
    <row r="50" spans="1:13" ht="16.2" customHeight="1" x14ac:dyDescent="0.3">
      <c r="A50" s="363"/>
      <c r="B50" s="361"/>
      <c r="C50" s="114"/>
      <c r="D50" s="116">
        <v>0</v>
      </c>
      <c r="E50" s="116">
        <v>0</v>
      </c>
      <c r="F50" s="116">
        <v>0</v>
      </c>
      <c r="G50" s="116">
        <v>0</v>
      </c>
      <c r="H50" s="361"/>
      <c r="I50" s="364"/>
      <c r="J50" s="364"/>
      <c r="K50" s="360"/>
      <c r="L50" s="361"/>
      <c r="M50" s="422"/>
    </row>
    <row r="51" spans="1:13" ht="15.6" x14ac:dyDescent="0.3">
      <c r="A51" s="363"/>
      <c r="B51" s="361"/>
      <c r="C51" s="114" t="s">
        <v>27</v>
      </c>
      <c r="D51" s="116">
        <v>60</v>
      </c>
      <c r="E51" s="116">
        <v>60</v>
      </c>
      <c r="F51" s="116">
        <v>34.200000000000003</v>
      </c>
      <c r="G51" s="116">
        <v>25.8</v>
      </c>
      <c r="H51" s="361"/>
      <c r="I51" s="364"/>
      <c r="J51" s="364"/>
      <c r="K51" s="360"/>
      <c r="L51" s="361"/>
      <c r="M51" s="422"/>
    </row>
    <row r="52" spans="1:13" ht="15.6" x14ac:dyDescent="0.3">
      <c r="A52" s="363"/>
      <c r="B52" s="361"/>
      <c r="C52" s="114" t="s">
        <v>36</v>
      </c>
      <c r="D52" s="116">
        <v>550</v>
      </c>
      <c r="E52" s="116">
        <v>550</v>
      </c>
      <c r="F52" s="116">
        <v>543.5</v>
      </c>
      <c r="G52" s="116">
        <v>6.5</v>
      </c>
      <c r="H52" s="361"/>
      <c r="I52" s="364"/>
      <c r="J52" s="364"/>
      <c r="K52" s="360"/>
      <c r="L52" s="361"/>
      <c r="M52" s="422"/>
    </row>
    <row r="53" spans="1:13" ht="62.4" customHeight="1" x14ac:dyDescent="0.3">
      <c r="A53" s="363" t="s">
        <v>741</v>
      </c>
      <c r="B53" s="361" t="s">
        <v>742</v>
      </c>
      <c r="C53" s="102"/>
      <c r="D53" s="111">
        <f>SUM(D54:D54)</f>
        <v>30</v>
      </c>
      <c r="E53" s="111">
        <f>SUM(E54:E54)</f>
        <v>47.4</v>
      </c>
      <c r="F53" s="111">
        <f>SUM(F54:F54)</f>
        <v>24.8</v>
      </c>
      <c r="G53" s="111">
        <f>SUM(G54:G54)</f>
        <v>22.6</v>
      </c>
      <c r="H53" s="361" t="s">
        <v>743</v>
      </c>
      <c r="I53" s="364" t="s">
        <v>56</v>
      </c>
      <c r="J53" s="364">
        <v>100</v>
      </c>
      <c r="K53" s="442">
        <v>90</v>
      </c>
      <c r="L53" s="361" t="s">
        <v>744</v>
      </c>
      <c r="M53" s="389" t="s">
        <v>745</v>
      </c>
    </row>
    <row r="54" spans="1:13" ht="15.6" x14ac:dyDescent="0.3">
      <c r="A54" s="363"/>
      <c r="B54" s="361"/>
      <c r="C54" s="114" t="s">
        <v>27</v>
      </c>
      <c r="D54" s="116">
        <v>30</v>
      </c>
      <c r="E54" s="116">
        <v>47.4</v>
      </c>
      <c r="F54" s="116">
        <v>24.8</v>
      </c>
      <c r="G54" s="116">
        <v>22.6</v>
      </c>
      <c r="H54" s="361"/>
      <c r="I54" s="364"/>
      <c r="J54" s="364"/>
      <c r="K54" s="442"/>
      <c r="L54" s="361"/>
      <c r="M54" s="389"/>
    </row>
    <row r="55" spans="1:13" ht="46.8" x14ac:dyDescent="0.3">
      <c r="A55" s="97" t="s">
        <v>746</v>
      </c>
      <c r="B55" s="124" t="s">
        <v>747</v>
      </c>
      <c r="C55" s="125"/>
      <c r="D55" s="99">
        <f t="shared" ref="D55:G56" si="0">SUM(D56:D56)</f>
        <v>60</v>
      </c>
      <c r="E55" s="99">
        <f t="shared" si="0"/>
        <v>42.6</v>
      </c>
      <c r="F55" s="99">
        <f t="shared" si="0"/>
        <v>42.6</v>
      </c>
      <c r="G55" s="99">
        <f t="shared" si="0"/>
        <v>0</v>
      </c>
      <c r="H55" s="366"/>
      <c r="I55" s="366"/>
      <c r="J55" s="366"/>
      <c r="K55" s="366"/>
      <c r="L55" s="366"/>
      <c r="M55" s="366"/>
    </row>
    <row r="56" spans="1:13" ht="62.4" customHeight="1" x14ac:dyDescent="0.3">
      <c r="A56" s="363" t="s">
        <v>748</v>
      </c>
      <c r="B56" s="361" t="s">
        <v>749</v>
      </c>
      <c r="C56" s="102"/>
      <c r="D56" s="111">
        <f t="shared" si="0"/>
        <v>60</v>
      </c>
      <c r="E56" s="111">
        <f t="shared" si="0"/>
        <v>42.6</v>
      </c>
      <c r="F56" s="111">
        <f t="shared" si="0"/>
        <v>42.6</v>
      </c>
      <c r="G56" s="111">
        <f t="shared" si="0"/>
        <v>0</v>
      </c>
      <c r="H56" s="361" t="s">
        <v>750</v>
      </c>
      <c r="I56" s="364" t="s">
        <v>56</v>
      </c>
      <c r="J56" s="364">
        <v>100</v>
      </c>
      <c r="K56" s="442">
        <v>50</v>
      </c>
      <c r="L56" s="361" t="s">
        <v>751</v>
      </c>
      <c r="M56" s="407" t="s">
        <v>752</v>
      </c>
    </row>
    <row r="57" spans="1:13" ht="15.6" x14ac:dyDescent="0.3">
      <c r="A57" s="363"/>
      <c r="B57" s="361"/>
      <c r="C57" s="114" t="s">
        <v>27</v>
      </c>
      <c r="D57" s="116">
        <v>60</v>
      </c>
      <c r="E57" s="116">
        <v>42.6</v>
      </c>
      <c r="F57" s="116">
        <v>42.6</v>
      </c>
      <c r="G57" s="116">
        <v>0</v>
      </c>
      <c r="H57" s="361"/>
      <c r="I57" s="364"/>
      <c r="J57" s="364"/>
      <c r="K57" s="442"/>
      <c r="L57" s="361"/>
      <c r="M57" s="407"/>
    </row>
    <row r="58" spans="1:13" ht="46.8" x14ac:dyDescent="0.3">
      <c r="A58" s="94" t="s">
        <v>753</v>
      </c>
      <c r="B58" s="137" t="s">
        <v>754</v>
      </c>
      <c r="C58" s="138"/>
      <c r="D58" s="96">
        <f>D59+D62</f>
        <v>365.4</v>
      </c>
      <c r="E58" s="96">
        <f>E59+E62</f>
        <v>364.29999999999995</v>
      </c>
      <c r="F58" s="96">
        <f>F59+F62</f>
        <v>364.29999999999995</v>
      </c>
      <c r="G58" s="96">
        <f>G59+G62</f>
        <v>0</v>
      </c>
      <c r="H58" s="375"/>
      <c r="I58" s="375"/>
      <c r="J58" s="375"/>
      <c r="K58" s="375"/>
      <c r="L58" s="375"/>
      <c r="M58" s="375"/>
    </row>
    <row r="59" spans="1:13" ht="78" x14ac:dyDescent="0.3">
      <c r="A59" s="97" t="s">
        <v>755</v>
      </c>
      <c r="B59" s="124" t="s">
        <v>756</v>
      </c>
      <c r="C59" s="125"/>
      <c r="D59" s="99">
        <f t="shared" ref="D59:G60" si="1">SUM(D60:D60)</f>
        <v>15.5</v>
      </c>
      <c r="E59" s="99">
        <f t="shared" si="1"/>
        <v>12.2</v>
      </c>
      <c r="F59" s="99">
        <f t="shared" si="1"/>
        <v>12.2</v>
      </c>
      <c r="G59" s="99">
        <f t="shared" si="1"/>
        <v>0</v>
      </c>
      <c r="H59" s="366"/>
      <c r="I59" s="366"/>
      <c r="J59" s="366"/>
      <c r="K59" s="366"/>
      <c r="L59" s="366"/>
      <c r="M59" s="366"/>
    </row>
    <row r="60" spans="1:13" ht="62.4" customHeight="1" x14ac:dyDescent="0.3">
      <c r="A60" s="363" t="s">
        <v>757</v>
      </c>
      <c r="B60" s="361" t="s">
        <v>758</v>
      </c>
      <c r="C60" s="102"/>
      <c r="D60" s="111">
        <f t="shared" si="1"/>
        <v>15.5</v>
      </c>
      <c r="E60" s="111">
        <f t="shared" si="1"/>
        <v>12.2</v>
      </c>
      <c r="F60" s="111">
        <f t="shared" si="1"/>
        <v>12.2</v>
      </c>
      <c r="G60" s="111">
        <f t="shared" si="1"/>
        <v>0</v>
      </c>
      <c r="H60" s="361" t="s">
        <v>759</v>
      </c>
      <c r="I60" s="364" t="s">
        <v>56</v>
      </c>
      <c r="J60" s="364">
        <v>15</v>
      </c>
      <c r="K60" s="360">
        <v>17.399999999999999</v>
      </c>
      <c r="L60" s="372" t="s">
        <v>760</v>
      </c>
      <c r="M60" s="362" t="s">
        <v>761</v>
      </c>
    </row>
    <row r="61" spans="1:13" ht="15.6" x14ac:dyDescent="0.3">
      <c r="A61" s="363"/>
      <c r="B61" s="361"/>
      <c r="C61" s="114" t="s">
        <v>27</v>
      </c>
      <c r="D61" s="116">
        <v>15.5</v>
      </c>
      <c r="E61" s="116">
        <v>12.2</v>
      </c>
      <c r="F61" s="116">
        <v>12.2</v>
      </c>
      <c r="G61" s="116">
        <v>0</v>
      </c>
      <c r="H61" s="361"/>
      <c r="I61" s="364"/>
      <c r="J61" s="364"/>
      <c r="K61" s="360"/>
      <c r="L61" s="372"/>
      <c r="M61" s="362"/>
    </row>
    <row r="62" spans="1:13" ht="109.2" x14ac:dyDescent="0.3">
      <c r="A62" s="97" t="s">
        <v>762</v>
      </c>
      <c r="B62" s="124" t="s">
        <v>763</v>
      </c>
      <c r="C62" s="125"/>
      <c r="D62" s="99">
        <f>D63+D65+D68</f>
        <v>349.9</v>
      </c>
      <c r="E62" s="99">
        <f>E63+E65+E68</f>
        <v>352.09999999999997</v>
      </c>
      <c r="F62" s="99">
        <f>F63+F65+F68</f>
        <v>352.09999999999997</v>
      </c>
      <c r="G62" s="99">
        <f>G63+G65+G68</f>
        <v>0</v>
      </c>
      <c r="H62" s="366"/>
      <c r="I62" s="366"/>
      <c r="J62" s="366"/>
      <c r="K62" s="366"/>
      <c r="L62" s="366"/>
      <c r="M62" s="366"/>
    </row>
    <row r="63" spans="1:13" ht="78" customHeight="1" x14ac:dyDescent="0.3">
      <c r="A63" s="363" t="s">
        <v>764</v>
      </c>
      <c r="B63" s="361" t="s">
        <v>765</v>
      </c>
      <c r="C63" s="102"/>
      <c r="D63" s="111">
        <f>SUM(D64:D64)</f>
        <v>31.9</v>
      </c>
      <c r="E63" s="111">
        <f>SUM(E64:E64)</f>
        <v>31.9</v>
      </c>
      <c r="F63" s="111">
        <f>SUM(F64:F64)</f>
        <v>31.9</v>
      </c>
      <c r="G63" s="111">
        <f>SUM(G64:G64)</f>
        <v>0</v>
      </c>
      <c r="H63" s="361" t="s">
        <v>766</v>
      </c>
      <c r="I63" s="364" t="s">
        <v>56</v>
      </c>
      <c r="J63" s="364">
        <v>10</v>
      </c>
      <c r="K63" s="360">
        <v>15</v>
      </c>
      <c r="L63" s="443"/>
      <c r="M63" s="444"/>
    </row>
    <row r="64" spans="1:13" ht="15.6" x14ac:dyDescent="0.3">
      <c r="A64" s="363"/>
      <c r="B64" s="361"/>
      <c r="C64" s="114" t="s">
        <v>27</v>
      </c>
      <c r="D64" s="116">
        <v>31.9</v>
      </c>
      <c r="E64" s="116">
        <v>31.9</v>
      </c>
      <c r="F64" s="116">
        <v>31.9</v>
      </c>
      <c r="G64" s="116">
        <v>0</v>
      </c>
      <c r="H64" s="361"/>
      <c r="I64" s="364"/>
      <c r="J64" s="364"/>
      <c r="K64" s="360"/>
      <c r="L64" s="443"/>
      <c r="M64" s="444"/>
    </row>
    <row r="65" spans="1:13" ht="220.8" customHeight="1" x14ac:dyDescent="0.3">
      <c r="A65" s="363" t="s">
        <v>767</v>
      </c>
      <c r="B65" s="361" t="s">
        <v>768</v>
      </c>
      <c r="C65" s="102"/>
      <c r="D65" s="111">
        <f>SUM(D66:D67)</f>
        <v>290</v>
      </c>
      <c r="E65" s="111">
        <f>SUM(E66:E67)</f>
        <v>290.2</v>
      </c>
      <c r="F65" s="111">
        <f>SUM(F66:F67)</f>
        <v>290.2</v>
      </c>
      <c r="G65" s="111">
        <f>SUM(G66:G67)</f>
        <v>0</v>
      </c>
      <c r="H65" s="361" t="s">
        <v>769</v>
      </c>
      <c r="I65" s="364" t="s">
        <v>56</v>
      </c>
      <c r="J65" s="364">
        <v>100</v>
      </c>
      <c r="K65" s="360">
        <v>100</v>
      </c>
      <c r="L65" s="372" t="s">
        <v>770</v>
      </c>
      <c r="M65" s="444"/>
    </row>
    <row r="66" spans="1:13" ht="87" customHeight="1" x14ac:dyDescent="0.3">
      <c r="A66" s="363"/>
      <c r="B66" s="361"/>
      <c r="C66" s="114" t="s">
        <v>36</v>
      </c>
      <c r="D66" s="116">
        <v>290</v>
      </c>
      <c r="E66" s="116">
        <v>290</v>
      </c>
      <c r="F66" s="116">
        <v>290</v>
      </c>
      <c r="G66" s="116">
        <v>0</v>
      </c>
      <c r="H66" s="361"/>
      <c r="I66" s="364"/>
      <c r="J66" s="364"/>
      <c r="K66" s="360"/>
      <c r="L66" s="372"/>
      <c r="M66" s="444"/>
    </row>
    <row r="67" spans="1:13" ht="67.8" customHeight="1" x14ac:dyDescent="0.3">
      <c r="A67" s="363"/>
      <c r="B67" s="361"/>
      <c r="C67" s="114" t="s">
        <v>27</v>
      </c>
      <c r="D67" s="116">
        <v>0</v>
      </c>
      <c r="E67" s="116">
        <v>0.2</v>
      </c>
      <c r="F67" s="116">
        <v>0.2</v>
      </c>
      <c r="G67" s="116">
        <v>0</v>
      </c>
      <c r="H67" s="361"/>
      <c r="I67" s="364"/>
      <c r="J67" s="364"/>
      <c r="K67" s="360"/>
      <c r="L67" s="372"/>
      <c r="M67" s="444"/>
    </row>
    <row r="68" spans="1:13" ht="46.8" customHeight="1" x14ac:dyDescent="0.3">
      <c r="A68" s="363" t="s">
        <v>771</v>
      </c>
      <c r="B68" s="361" t="s">
        <v>772</v>
      </c>
      <c r="C68" s="102"/>
      <c r="D68" s="111">
        <f>SUM(D69:D71)</f>
        <v>28</v>
      </c>
      <c r="E68" s="111">
        <f>SUM(E69:E71)</f>
        <v>30</v>
      </c>
      <c r="F68" s="111">
        <f>SUM(F69:F71)</f>
        <v>30</v>
      </c>
      <c r="G68" s="111">
        <f>SUM(G69:G71)</f>
        <v>0</v>
      </c>
      <c r="H68" s="361" t="s">
        <v>773</v>
      </c>
      <c r="I68" s="364" t="s">
        <v>29</v>
      </c>
      <c r="J68" s="364">
        <v>1</v>
      </c>
      <c r="K68" s="360">
        <v>1</v>
      </c>
      <c r="L68" s="361" t="s">
        <v>774</v>
      </c>
      <c r="M68" s="413"/>
    </row>
    <row r="69" spans="1:13" ht="15.6" x14ac:dyDescent="0.3">
      <c r="A69" s="363"/>
      <c r="B69" s="361"/>
      <c r="C69" s="114" t="s">
        <v>36</v>
      </c>
      <c r="D69" s="116">
        <v>7</v>
      </c>
      <c r="E69" s="116">
        <v>7</v>
      </c>
      <c r="F69" s="116">
        <v>7</v>
      </c>
      <c r="G69" s="116">
        <v>0</v>
      </c>
      <c r="H69" s="361"/>
      <c r="I69" s="364"/>
      <c r="J69" s="364"/>
      <c r="K69" s="360"/>
      <c r="L69" s="361"/>
      <c r="M69" s="413"/>
    </row>
    <row r="70" spans="1:13" ht="15.6" x14ac:dyDescent="0.3">
      <c r="A70" s="363"/>
      <c r="B70" s="361"/>
      <c r="C70" s="114" t="s">
        <v>27</v>
      </c>
      <c r="D70" s="116">
        <v>0</v>
      </c>
      <c r="E70" s="116">
        <v>2</v>
      </c>
      <c r="F70" s="116">
        <v>9</v>
      </c>
      <c r="G70" s="116">
        <v>-7</v>
      </c>
      <c r="H70" s="361"/>
      <c r="I70" s="364"/>
      <c r="J70" s="364"/>
      <c r="K70" s="360"/>
      <c r="L70" s="361"/>
      <c r="M70" s="413"/>
    </row>
    <row r="71" spans="1:13" ht="15.6" x14ac:dyDescent="0.3">
      <c r="A71" s="363"/>
      <c r="B71" s="361"/>
      <c r="C71" s="133" t="s">
        <v>242</v>
      </c>
      <c r="D71" s="143">
        <v>21</v>
      </c>
      <c r="E71" s="143">
        <v>21</v>
      </c>
      <c r="F71" s="143">
        <v>14</v>
      </c>
      <c r="G71" s="143">
        <v>7</v>
      </c>
      <c r="H71" s="361"/>
      <c r="I71" s="364"/>
      <c r="J71" s="364"/>
      <c r="K71" s="360"/>
      <c r="L71" s="361"/>
      <c r="M71" s="413"/>
    </row>
    <row r="72" spans="1:13" x14ac:dyDescent="0.3">
      <c r="A72" s="205"/>
      <c r="B72" s="205"/>
      <c r="C72" s="206"/>
      <c r="D72" s="207"/>
      <c r="E72" s="207"/>
      <c r="F72" s="207"/>
      <c r="G72" s="207"/>
      <c r="H72" s="206"/>
      <c r="I72" s="208"/>
      <c r="J72" s="209"/>
      <c r="K72" s="209"/>
      <c r="L72" s="206"/>
      <c r="M72" s="206"/>
    </row>
    <row r="73" spans="1:13" x14ac:dyDescent="0.3">
      <c r="A73" s="205"/>
      <c r="B73" s="205"/>
      <c r="C73" s="206"/>
      <c r="D73" s="207"/>
      <c r="E73" s="207"/>
      <c r="F73" s="207"/>
      <c r="G73" s="207"/>
      <c r="H73" s="206"/>
      <c r="I73" s="208"/>
      <c r="J73" s="209"/>
      <c r="K73" s="209"/>
      <c r="L73" s="206"/>
      <c r="M73" s="206"/>
    </row>
    <row r="74" spans="1:13" ht="73.5" customHeight="1" x14ac:dyDescent="0.3">
      <c r="A74" s="150" t="s">
        <v>5</v>
      </c>
      <c r="B74" s="150" t="s">
        <v>101</v>
      </c>
      <c r="C74" s="150" t="s">
        <v>222</v>
      </c>
      <c r="D74" s="150" t="s">
        <v>223</v>
      </c>
      <c r="E74" s="150" t="s">
        <v>104</v>
      </c>
      <c r="F74" s="150" t="s">
        <v>669</v>
      </c>
      <c r="K74" s="258"/>
      <c r="L74" s="214" t="s">
        <v>101</v>
      </c>
      <c r="M74" s="214" t="s">
        <v>105</v>
      </c>
    </row>
    <row r="75" spans="1:13" ht="15.6" x14ac:dyDescent="0.3">
      <c r="A75" s="259" t="s">
        <v>106</v>
      </c>
      <c r="B75" s="259" t="s">
        <v>107</v>
      </c>
      <c r="C75" s="260">
        <f>SUM(C76:C79)</f>
        <v>6892.7</v>
      </c>
      <c r="D75" s="260">
        <f>SUM(D76:D79)</f>
        <v>6903.0999999999995</v>
      </c>
      <c r="E75" s="260">
        <f>SUM(E76:E79)</f>
        <v>6721.6</v>
      </c>
      <c r="F75" s="260">
        <f>SUM(F76:F79)</f>
        <v>181.4</v>
      </c>
      <c r="K75" s="220"/>
      <c r="L75" s="261" t="s">
        <v>108</v>
      </c>
      <c r="M75" s="262">
        <v>7</v>
      </c>
    </row>
    <row r="76" spans="1:13" ht="40.200000000000003" x14ac:dyDescent="0.3">
      <c r="A76" s="259" t="s">
        <v>27</v>
      </c>
      <c r="B76" s="259" t="s">
        <v>109</v>
      </c>
      <c r="C76" s="263">
        <v>5624.7</v>
      </c>
      <c r="D76" s="263">
        <v>5614.2</v>
      </c>
      <c r="E76" s="263">
        <v>5467.3</v>
      </c>
      <c r="F76" s="263">
        <v>146.9</v>
      </c>
      <c r="K76" s="221"/>
      <c r="L76" s="261" t="s">
        <v>110</v>
      </c>
      <c r="M76" s="262">
        <v>6</v>
      </c>
    </row>
    <row r="77" spans="1:13" ht="27" x14ac:dyDescent="0.3">
      <c r="A77" s="259" t="s">
        <v>242</v>
      </c>
      <c r="B77" s="259" t="s">
        <v>375</v>
      </c>
      <c r="C77" s="263">
        <v>21</v>
      </c>
      <c r="D77" s="263">
        <v>21</v>
      </c>
      <c r="E77" s="263">
        <v>14</v>
      </c>
      <c r="F77" s="263">
        <v>7</v>
      </c>
      <c r="K77" s="222"/>
      <c r="L77" s="261" t="s">
        <v>112</v>
      </c>
      <c r="M77" s="262"/>
    </row>
    <row r="78" spans="1:13" ht="15.6" x14ac:dyDescent="0.3">
      <c r="A78" s="259" t="s">
        <v>182</v>
      </c>
      <c r="B78" s="259" t="s">
        <v>226</v>
      </c>
      <c r="C78" s="263">
        <v>372.8</v>
      </c>
      <c r="D78" s="263">
        <v>393.7</v>
      </c>
      <c r="E78" s="263">
        <v>372.7</v>
      </c>
      <c r="F78" s="263">
        <v>21</v>
      </c>
      <c r="K78" s="212"/>
      <c r="L78" s="213" t="s">
        <v>114</v>
      </c>
      <c r="M78" s="214">
        <v>13</v>
      </c>
    </row>
    <row r="79" spans="1:13" ht="15" x14ac:dyDescent="0.3">
      <c r="A79" s="259" t="s">
        <v>36</v>
      </c>
      <c r="B79" s="259" t="s">
        <v>111</v>
      </c>
      <c r="C79" s="263">
        <v>874.2</v>
      </c>
      <c r="D79" s="263">
        <v>874.2</v>
      </c>
      <c r="E79" s="263">
        <v>867.6</v>
      </c>
      <c r="F79" s="263">
        <v>6.5</v>
      </c>
    </row>
    <row r="80" spans="1:13" ht="15" x14ac:dyDescent="0.3">
      <c r="A80" s="259" t="s">
        <v>614</v>
      </c>
      <c r="B80" s="259" t="s">
        <v>615</v>
      </c>
      <c r="C80" s="260">
        <f>SUM(C81:C81)</f>
        <v>33.9</v>
      </c>
      <c r="D80" s="260">
        <f>SUM(D81:D81)</f>
        <v>33.9</v>
      </c>
      <c r="E80" s="260">
        <f>SUM(E81:E81)</f>
        <v>33.9</v>
      </c>
      <c r="F80" s="260">
        <f>SUM(F81:F81)</f>
        <v>0</v>
      </c>
    </row>
    <row r="81" spans="1:6" ht="15" x14ac:dyDescent="0.3">
      <c r="A81" s="259" t="s">
        <v>689</v>
      </c>
      <c r="B81" s="259" t="s">
        <v>775</v>
      </c>
      <c r="C81" s="263">
        <v>33.9</v>
      </c>
      <c r="D81" s="263">
        <v>33.9</v>
      </c>
      <c r="E81" s="263">
        <v>33.9</v>
      </c>
      <c r="F81" s="263">
        <v>0</v>
      </c>
    </row>
    <row r="82" spans="1:6" ht="15.6" x14ac:dyDescent="0.3">
      <c r="A82" s="264"/>
      <c r="B82" s="265" t="s">
        <v>113</v>
      </c>
      <c r="C82" s="266">
        <f>C75+C80</f>
        <v>6926.5999999999995</v>
      </c>
      <c r="D82" s="266">
        <f>D75+D80</f>
        <v>6936.9999999999991</v>
      </c>
      <c r="E82" s="266">
        <f>E75+E80</f>
        <v>6755.5</v>
      </c>
      <c r="F82" s="266">
        <f>F75+F80</f>
        <v>181.4</v>
      </c>
    </row>
  </sheetData>
  <mergeCells count="127">
    <mergeCell ref="A65:A67"/>
    <mergeCell ref="B65:B67"/>
    <mergeCell ref="H65:H67"/>
    <mergeCell ref="I65:I67"/>
    <mergeCell ref="J65:J67"/>
    <mergeCell ref="K65:K67"/>
    <mergeCell ref="L65:L67"/>
    <mergeCell ref="M65:M67"/>
    <mergeCell ref="A68:A71"/>
    <mergeCell ref="B68:B71"/>
    <mergeCell ref="H68:H71"/>
    <mergeCell ref="I68:I71"/>
    <mergeCell ref="J68:J71"/>
    <mergeCell ref="K68:K71"/>
    <mergeCell ref="L68:L71"/>
    <mergeCell ref="M68:M71"/>
    <mergeCell ref="H62:M62"/>
    <mergeCell ref="A63:A64"/>
    <mergeCell ref="B63:B64"/>
    <mergeCell ref="H63:H64"/>
    <mergeCell ref="I63:I64"/>
    <mergeCell ref="J63:J64"/>
    <mergeCell ref="K63:K64"/>
    <mergeCell ref="L63:L64"/>
    <mergeCell ref="M63:M64"/>
    <mergeCell ref="H59:M59"/>
    <mergeCell ref="A60:A61"/>
    <mergeCell ref="B60:B61"/>
    <mergeCell ref="H60:H61"/>
    <mergeCell ref="I60:I61"/>
    <mergeCell ref="J60:J61"/>
    <mergeCell ref="K60:K61"/>
    <mergeCell ref="L60:L61"/>
    <mergeCell ref="M60:M61"/>
    <mergeCell ref="A56:A57"/>
    <mergeCell ref="B56:B57"/>
    <mergeCell ref="H56:H57"/>
    <mergeCell ref="I56:I57"/>
    <mergeCell ref="J56:J57"/>
    <mergeCell ref="K56:K57"/>
    <mergeCell ref="L56:L57"/>
    <mergeCell ref="M56:M57"/>
    <mergeCell ref="H58:M58"/>
    <mergeCell ref="A53:A54"/>
    <mergeCell ref="B53:B54"/>
    <mergeCell ref="H53:H54"/>
    <mergeCell ref="I53:I54"/>
    <mergeCell ref="J53:J54"/>
    <mergeCell ref="K53:K54"/>
    <mergeCell ref="L53:L54"/>
    <mergeCell ref="M53:M54"/>
    <mergeCell ref="H55:M55"/>
    <mergeCell ref="H47:M47"/>
    <mergeCell ref="H48:M48"/>
    <mergeCell ref="A49:A52"/>
    <mergeCell ref="B49:B52"/>
    <mergeCell ref="H49:H52"/>
    <mergeCell ref="I49:I52"/>
    <mergeCell ref="J49:J52"/>
    <mergeCell ref="K49:K52"/>
    <mergeCell ref="L49:L52"/>
    <mergeCell ref="M49:M52"/>
    <mergeCell ref="H32:M32"/>
    <mergeCell ref="A34:A35"/>
    <mergeCell ref="B34:B35"/>
    <mergeCell ref="C34:C35"/>
    <mergeCell ref="D34:D35"/>
    <mergeCell ref="E34:E35"/>
    <mergeCell ref="F34:F35"/>
    <mergeCell ref="H36:M36"/>
    <mergeCell ref="A37:A46"/>
    <mergeCell ref="B37:B46"/>
    <mergeCell ref="C37:C43"/>
    <mergeCell ref="H43:H46"/>
    <mergeCell ref="I43:I46"/>
    <mergeCell ref="J43:J46"/>
    <mergeCell ref="K43:K46"/>
    <mergeCell ref="L43:L46"/>
    <mergeCell ref="M43:M46"/>
    <mergeCell ref="K27:K28"/>
    <mergeCell ref="L27:L28"/>
    <mergeCell ref="M27:M28"/>
    <mergeCell ref="A29:A31"/>
    <mergeCell ref="B29:B31"/>
    <mergeCell ref="C29:C31"/>
    <mergeCell ref="D29:D31"/>
    <mergeCell ref="E29:E31"/>
    <mergeCell ref="F29:F31"/>
    <mergeCell ref="A24:A28"/>
    <mergeCell ref="B24:B28"/>
    <mergeCell ref="C24:C27"/>
    <mergeCell ref="D24:D27"/>
    <mergeCell ref="E24:E27"/>
    <mergeCell ref="F24:F27"/>
    <mergeCell ref="H27:H28"/>
    <mergeCell ref="I27:I28"/>
    <mergeCell ref="J27:J28"/>
    <mergeCell ref="H12:M12"/>
    <mergeCell ref="H13:M13"/>
    <mergeCell ref="H14:M14"/>
    <mergeCell ref="A15:A23"/>
    <mergeCell ref="B15:B23"/>
    <mergeCell ref="C15:C21"/>
    <mergeCell ref="D15:D21"/>
    <mergeCell ref="E15:E21"/>
    <mergeCell ref="F15:F21"/>
    <mergeCell ref="H21:H23"/>
    <mergeCell ref="I21:I23"/>
    <mergeCell ref="J21:J23"/>
    <mergeCell ref="K21:K23"/>
    <mergeCell ref="L21:L23"/>
    <mergeCell ref="M21:M23"/>
    <mergeCell ref="A5:M5"/>
    <mergeCell ref="A6:M6"/>
    <mergeCell ref="A9:A11"/>
    <mergeCell ref="B9:B11"/>
    <mergeCell ref="C9:C11"/>
    <mergeCell ref="D9:D11"/>
    <mergeCell ref="E9:E11"/>
    <mergeCell ref="F9:F11"/>
    <mergeCell ref="G9:G11"/>
    <mergeCell ref="H9:M9"/>
    <mergeCell ref="H10:H11"/>
    <mergeCell ref="I10:I11"/>
    <mergeCell ref="J10:K10"/>
    <mergeCell ref="L10:L11"/>
    <mergeCell ref="M10:M11"/>
  </mergeCells>
  <pageMargins left="0.4" right="0.4" top="0.4" bottom="0.4" header="0.51180555555555496" footer="0.51180555555555496"/>
  <pageSetup paperSize="9" firstPageNumber="0" orientation="landscape"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166"/>
  <sheetViews>
    <sheetView topLeftCell="H151" zoomScale="85" zoomScaleNormal="85" workbookViewId="0">
      <selection activeCell="L92" sqref="L92:L97"/>
    </sheetView>
  </sheetViews>
  <sheetFormatPr defaultColWidth="9.109375" defaultRowHeight="14.4" x14ac:dyDescent="0.3"/>
  <cols>
    <col min="1" max="1" width="12" style="86" customWidth="1"/>
    <col min="2" max="2" width="36.5546875" style="86" customWidth="1"/>
    <col min="3" max="3" width="10.88671875" style="86" customWidth="1"/>
    <col min="4" max="4" width="9.6640625" style="86" customWidth="1"/>
    <col min="5" max="5" width="12.88671875" style="86" customWidth="1"/>
    <col min="6" max="6" width="14.6640625" style="86" customWidth="1"/>
    <col min="7" max="7" width="13.44140625" style="86" hidden="1" customWidth="1"/>
    <col min="8" max="8" width="25.88671875" style="86" customWidth="1"/>
    <col min="9" max="9" width="5.6640625" style="86" customWidth="1"/>
    <col min="10" max="10" width="8.6640625" style="86" customWidth="1"/>
    <col min="11" max="11" width="8.5546875" style="86" customWidth="1"/>
    <col min="12" max="12" width="34.33203125" style="86" customWidth="1"/>
    <col min="13" max="13" width="43.88671875" style="86" customWidth="1"/>
    <col min="14" max="1024" width="9.109375" style="86"/>
  </cols>
  <sheetData>
    <row r="1" spans="1:13" s="90" customFormat="1" x14ac:dyDescent="0.3">
      <c r="A1" s="215"/>
      <c r="B1" s="215"/>
      <c r="C1" s="215"/>
      <c r="D1" s="215"/>
      <c r="E1" s="215"/>
      <c r="F1" s="215"/>
      <c r="G1" s="215"/>
      <c r="H1" s="215"/>
      <c r="I1" s="215"/>
      <c r="J1" s="215"/>
      <c r="K1" s="215"/>
      <c r="L1" s="215"/>
      <c r="M1" s="87" t="s">
        <v>0</v>
      </c>
    </row>
    <row r="2" spans="1:13" s="90" customFormat="1" x14ac:dyDescent="0.3">
      <c r="A2" s="215"/>
      <c r="B2" s="215"/>
      <c r="C2" s="215"/>
      <c r="D2" s="215"/>
      <c r="E2" s="215"/>
      <c r="F2" s="215"/>
      <c r="G2" s="215"/>
      <c r="H2" s="215"/>
      <c r="I2" s="215"/>
      <c r="J2" s="215"/>
      <c r="K2" s="215"/>
      <c r="L2" s="215"/>
      <c r="M2" s="87" t="s">
        <v>1</v>
      </c>
    </row>
    <row r="3" spans="1:13" x14ac:dyDescent="0.3">
      <c r="M3" s="87" t="s">
        <v>2</v>
      </c>
    </row>
    <row r="4" spans="1:13" ht="12" customHeight="1" x14ac:dyDescent="0.3"/>
    <row r="5" spans="1:13" ht="15.6" x14ac:dyDescent="0.3">
      <c r="A5" s="344" t="s">
        <v>3</v>
      </c>
      <c r="B5" s="344"/>
      <c r="C5" s="344"/>
      <c r="D5" s="344"/>
      <c r="E5" s="344"/>
      <c r="F5" s="344"/>
      <c r="G5" s="344"/>
      <c r="H5" s="344"/>
      <c r="I5" s="344"/>
      <c r="J5" s="344"/>
      <c r="K5" s="344"/>
      <c r="L5" s="344"/>
      <c r="M5" s="344"/>
    </row>
    <row r="6" spans="1:13" ht="15.6" x14ac:dyDescent="0.3">
      <c r="A6" s="344" t="s">
        <v>776</v>
      </c>
      <c r="B6" s="344"/>
      <c r="C6" s="344"/>
      <c r="D6" s="344"/>
      <c r="E6" s="344"/>
      <c r="F6" s="344"/>
      <c r="G6" s="344"/>
      <c r="H6" s="344"/>
      <c r="I6" s="344"/>
      <c r="J6" s="344"/>
      <c r="K6" s="344"/>
      <c r="L6" s="344"/>
      <c r="M6" s="344"/>
    </row>
    <row r="8" spans="1:13" ht="15.6" customHeight="1" x14ac:dyDescent="0.3">
      <c r="A8" s="445" t="s">
        <v>5</v>
      </c>
      <c r="B8" s="416" t="s">
        <v>6</v>
      </c>
      <c r="C8" s="416" t="s">
        <v>7</v>
      </c>
      <c r="D8" s="416" t="s">
        <v>222</v>
      </c>
      <c r="E8" s="416" t="s">
        <v>223</v>
      </c>
      <c r="F8" s="416" t="s">
        <v>104</v>
      </c>
      <c r="G8" s="415" t="s">
        <v>9</v>
      </c>
      <c r="H8" s="417" t="s">
        <v>517</v>
      </c>
      <c r="I8" s="417"/>
      <c r="J8" s="417"/>
      <c r="K8" s="417"/>
      <c r="L8" s="417"/>
      <c r="M8" s="417"/>
    </row>
    <row r="9" spans="1:13" ht="15.6" customHeight="1" x14ac:dyDescent="0.3">
      <c r="A9" s="445"/>
      <c r="B9" s="416"/>
      <c r="C9" s="416"/>
      <c r="D9" s="416"/>
      <c r="E9" s="416"/>
      <c r="F9" s="416"/>
      <c r="G9" s="415"/>
      <c r="H9" s="418" t="s">
        <v>518</v>
      </c>
      <c r="I9" s="419" t="s">
        <v>519</v>
      </c>
      <c r="J9" s="420" t="s">
        <v>520</v>
      </c>
      <c r="K9" s="420"/>
      <c r="L9" s="419" t="s">
        <v>11</v>
      </c>
      <c r="M9" s="421" t="s">
        <v>12</v>
      </c>
    </row>
    <row r="10" spans="1:13" ht="65.400000000000006" customHeight="1" x14ac:dyDescent="0.3">
      <c r="A10" s="445"/>
      <c r="B10" s="416"/>
      <c r="C10" s="416"/>
      <c r="D10" s="416"/>
      <c r="E10" s="416"/>
      <c r="F10" s="416"/>
      <c r="G10" s="415"/>
      <c r="H10" s="415"/>
      <c r="I10" s="419"/>
      <c r="J10" s="216" t="s">
        <v>522</v>
      </c>
      <c r="K10" s="216" t="s">
        <v>523</v>
      </c>
      <c r="L10" s="419"/>
      <c r="M10" s="421"/>
    </row>
    <row r="11" spans="1:13" ht="31.2" x14ac:dyDescent="0.3">
      <c r="A11" s="91" t="s">
        <v>777</v>
      </c>
      <c r="B11" s="167" t="s">
        <v>778</v>
      </c>
      <c r="C11" s="168"/>
      <c r="D11" s="93">
        <f>D12+D31+D73+D85+D100</f>
        <v>63720.600000000006</v>
      </c>
      <c r="E11" s="93">
        <f>E12+E31+E73+E85+E100+0.1</f>
        <v>65478.1</v>
      </c>
      <c r="F11" s="93">
        <f>F12+F31+F73+F85+F100-0.1</f>
        <v>63134</v>
      </c>
      <c r="G11" s="93" t="e">
        <f>G12+G31+G73+G85+G100</f>
        <v>#REF!</v>
      </c>
      <c r="H11" s="355"/>
      <c r="I11" s="355"/>
      <c r="J11" s="355"/>
      <c r="K11" s="355"/>
      <c r="L11" s="355"/>
      <c r="M11" s="355"/>
    </row>
    <row r="12" spans="1:13" ht="31.2" x14ac:dyDescent="0.3">
      <c r="A12" s="94" t="s">
        <v>779</v>
      </c>
      <c r="B12" s="137" t="s">
        <v>780</v>
      </c>
      <c r="C12" s="138"/>
      <c r="D12" s="96">
        <f>D13+D20</f>
        <v>653.70000000000005</v>
      </c>
      <c r="E12" s="96">
        <f>E13+E20</f>
        <v>624.79999999999995</v>
      </c>
      <c r="F12" s="96">
        <f>F13+F20</f>
        <v>609.70000000000005</v>
      </c>
      <c r="G12" s="96">
        <f>G13+G20</f>
        <v>15.1</v>
      </c>
      <c r="H12" s="357"/>
      <c r="I12" s="357"/>
      <c r="J12" s="357"/>
      <c r="K12" s="357"/>
      <c r="L12" s="357"/>
      <c r="M12" s="357"/>
    </row>
    <row r="13" spans="1:13" ht="46.8" x14ac:dyDescent="0.3">
      <c r="A13" s="97" t="s">
        <v>781</v>
      </c>
      <c r="B13" s="124" t="s">
        <v>782</v>
      </c>
      <c r="C13" s="125"/>
      <c r="D13" s="99">
        <f>D14+D19</f>
        <v>167</v>
      </c>
      <c r="E13" s="99">
        <f>E14+E19</f>
        <v>138.1</v>
      </c>
      <c r="F13" s="99">
        <f>F14+F19</f>
        <v>138.1</v>
      </c>
      <c r="G13" s="99">
        <f>G14+G19</f>
        <v>0</v>
      </c>
      <c r="H13" s="359"/>
      <c r="I13" s="359"/>
      <c r="J13" s="359"/>
      <c r="K13" s="359"/>
      <c r="L13" s="359"/>
      <c r="M13" s="359"/>
    </row>
    <row r="14" spans="1:13" ht="46.8" customHeight="1" x14ac:dyDescent="0.3">
      <c r="A14" s="441" t="s">
        <v>783</v>
      </c>
      <c r="B14" s="361" t="s">
        <v>784</v>
      </c>
      <c r="C14" s="102"/>
      <c r="D14" s="111">
        <f>SUM(D15:D18)</f>
        <v>107</v>
      </c>
      <c r="E14" s="111">
        <f>SUM(E15:E18)</f>
        <v>78.099999999999994</v>
      </c>
      <c r="F14" s="111">
        <f>SUM(F15:F18)</f>
        <v>78.099999999999994</v>
      </c>
      <c r="G14" s="111">
        <f>SUM(G15:G18)</f>
        <v>0</v>
      </c>
      <c r="H14" s="105" t="s">
        <v>785</v>
      </c>
      <c r="I14" s="106" t="s">
        <v>786</v>
      </c>
      <c r="J14" s="254">
        <v>1500</v>
      </c>
      <c r="K14" s="267">
        <v>1500</v>
      </c>
      <c r="L14" s="105" t="s">
        <v>787</v>
      </c>
      <c r="M14" s="108"/>
    </row>
    <row r="15" spans="1:13" ht="126.6" customHeight="1" x14ac:dyDescent="0.3">
      <c r="A15" s="441"/>
      <c r="B15" s="361"/>
      <c r="C15" s="114"/>
      <c r="D15" s="116">
        <v>0</v>
      </c>
      <c r="E15" s="116">
        <v>0</v>
      </c>
      <c r="F15" s="116">
        <v>0</v>
      </c>
      <c r="G15" s="116">
        <v>0</v>
      </c>
      <c r="H15" s="118" t="s">
        <v>788</v>
      </c>
      <c r="I15" s="119" t="s">
        <v>786</v>
      </c>
      <c r="J15" s="119">
        <v>8</v>
      </c>
      <c r="K15" s="128">
        <v>8</v>
      </c>
      <c r="L15" s="178" t="s">
        <v>789</v>
      </c>
      <c r="M15" s="121"/>
    </row>
    <row r="16" spans="1:13" ht="33.75" customHeight="1" x14ac:dyDescent="0.3">
      <c r="A16" s="441"/>
      <c r="B16" s="361"/>
      <c r="C16" s="114"/>
      <c r="D16" s="116">
        <v>0</v>
      </c>
      <c r="E16" s="116">
        <v>0</v>
      </c>
      <c r="F16" s="116">
        <v>0</v>
      </c>
      <c r="G16" s="116">
        <v>0</v>
      </c>
      <c r="H16" s="118" t="s">
        <v>790</v>
      </c>
      <c r="I16" s="119" t="s">
        <v>786</v>
      </c>
      <c r="J16" s="119">
        <v>10</v>
      </c>
      <c r="K16" s="128">
        <v>10</v>
      </c>
      <c r="L16" s="178" t="s">
        <v>791</v>
      </c>
      <c r="M16" s="121"/>
    </row>
    <row r="17" spans="1:13" ht="64.2" customHeight="1" x14ac:dyDescent="0.3">
      <c r="A17" s="441"/>
      <c r="B17" s="361"/>
      <c r="C17" s="114"/>
      <c r="D17" s="116">
        <v>0</v>
      </c>
      <c r="E17" s="116">
        <v>0</v>
      </c>
      <c r="F17" s="116">
        <v>0</v>
      </c>
      <c r="G17" s="116">
        <v>0</v>
      </c>
      <c r="H17" s="367" t="s">
        <v>792</v>
      </c>
      <c r="I17" s="373" t="s">
        <v>786</v>
      </c>
      <c r="J17" s="373">
        <v>5</v>
      </c>
      <c r="K17" s="374">
        <v>5</v>
      </c>
      <c r="L17" s="440" t="s">
        <v>793</v>
      </c>
      <c r="M17" s="395"/>
    </row>
    <row r="18" spans="1:13" ht="21" customHeight="1" x14ac:dyDescent="0.3">
      <c r="A18" s="441"/>
      <c r="B18" s="361"/>
      <c r="C18" s="114" t="s">
        <v>27</v>
      </c>
      <c r="D18" s="116">
        <v>107</v>
      </c>
      <c r="E18" s="116">
        <v>78.099999999999994</v>
      </c>
      <c r="F18" s="116">
        <v>78.099999999999994</v>
      </c>
      <c r="G18" s="116">
        <v>0</v>
      </c>
      <c r="H18" s="367"/>
      <c r="I18" s="373"/>
      <c r="J18" s="373"/>
      <c r="K18" s="374"/>
      <c r="L18" s="440"/>
      <c r="M18" s="395"/>
    </row>
    <row r="19" spans="1:13" ht="110.4" customHeight="1" x14ac:dyDescent="0.3">
      <c r="A19" s="100" t="s">
        <v>794</v>
      </c>
      <c r="B19" s="101" t="s">
        <v>795</v>
      </c>
      <c r="C19" s="102" t="s">
        <v>27</v>
      </c>
      <c r="D19" s="104">
        <v>60</v>
      </c>
      <c r="E19" s="104">
        <v>60</v>
      </c>
      <c r="F19" s="104">
        <v>60</v>
      </c>
      <c r="G19" s="104">
        <v>0</v>
      </c>
      <c r="H19" s="105" t="s">
        <v>796</v>
      </c>
      <c r="I19" s="106" t="s">
        <v>786</v>
      </c>
      <c r="J19" s="106">
        <v>9</v>
      </c>
      <c r="K19" s="117">
        <v>9</v>
      </c>
      <c r="L19" s="197" t="s">
        <v>797</v>
      </c>
      <c r="M19" s="108"/>
    </row>
    <row r="20" spans="1:13" ht="31.2" x14ac:dyDescent="0.3">
      <c r="A20" s="97" t="s">
        <v>798</v>
      </c>
      <c r="B20" s="124" t="s">
        <v>799</v>
      </c>
      <c r="C20" s="125"/>
      <c r="D20" s="99">
        <f>D21+D23+D24</f>
        <v>486.7</v>
      </c>
      <c r="E20" s="99">
        <f>E21+E23+E24</f>
        <v>486.7</v>
      </c>
      <c r="F20" s="99">
        <f>F21+F23+F24</f>
        <v>471.6</v>
      </c>
      <c r="G20" s="99">
        <f>G21+G23+G24</f>
        <v>15.1</v>
      </c>
      <c r="H20" s="359"/>
      <c r="I20" s="359"/>
      <c r="J20" s="359"/>
      <c r="K20" s="359"/>
      <c r="L20" s="359"/>
      <c r="M20" s="359"/>
    </row>
    <row r="21" spans="1:13" ht="71.400000000000006" customHeight="1" x14ac:dyDescent="0.3">
      <c r="A21" s="441" t="s">
        <v>800</v>
      </c>
      <c r="B21" s="361" t="s">
        <v>801</v>
      </c>
      <c r="C21" s="396" t="s">
        <v>27</v>
      </c>
      <c r="D21" s="397">
        <f>SUM(D22:D22)+29</f>
        <v>29</v>
      </c>
      <c r="E21" s="397">
        <f>SUM(E22:E22)+39</f>
        <v>39</v>
      </c>
      <c r="F21" s="397">
        <f>SUM(F22:F22)+39</f>
        <v>39</v>
      </c>
      <c r="G21" s="111">
        <f>SUM(G22:G22)</f>
        <v>0</v>
      </c>
      <c r="H21" s="105" t="s">
        <v>802</v>
      </c>
      <c r="I21" s="106" t="s">
        <v>29</v>
      </c>
      <c r="J21" s="106">
        <v>21</v>
      </c>
      <c r="K21" s="117">
        <v>21</v>
      </c>
      <c r="L21" s="105" t="s">
        <v>803</v>
      </c>
      <c r="M21" s="108"/>
    </row>
    <row r="22" spans="1:13" ht="78" x14ac:dyDescent="0.3">
      <c r="A22" s="441"/>
      <c r="B22" s="361"/>
      <c r="C22" s="396"/>
      <c r="D22" s="397"/>
      <c r="E22" s="397"/>
      <c r="F22" s="397"/>
      <c r="G22" s="116">
        <v>0</v>
      </c>
      <c r="H22" s="118" t="s">
        <v>804</v>
      </c>
      <c r="I22" s="119" t="s">
        <v>29</v>
      </c>
      <c r="J22" s="119">
        <v>1</v>
      </c>
      <c r="K22" s="128">
        <v>1</v>
      </c>
      <c r="L22" s="118" t="s">
        <v>805</v>
      </c>
      <c r="M22" s="121"/>
    </row>
    <row r="23" spans="1:13" ht="31.2" x14ac:dyDescent="0.3">
      <c r="A23" s="100" t="s">
        <v>806</v>
      </c>
      <c r="B23" s="101" t="s">
        <v>807</v>
      </c>
      <c r="C23" s="102" t="s">
        <v>27</v>
      </c>
      <c r="D23" s="104">
        <v>27.3</v>
      </c>
      <c r="E23" s="104">
        <v>27.3</v>
      </c>
      <c r="F23" s="104">
        <v>27.3</v>
      </c>
      <c r="G23" s="104">
        <v>0</v>
      </c>
      <c r="H23" s="105" t="s">
        <v>808</v>
      </c>
      <c r="I23" s="106" t="s">
        <v>786</v>
      </c>
      <c r="J23" s="254">
        <v>1000</v>
      </c>
      <c r="K23" s="267">
        <v>1166</v>
      </c>
      <c r="L23" s="197" t="s">
        <v>809</v>
      </c>
      <c r="M23" s="108"/>
    </row>
    <row r="24" spans="1:13" ht="78" customHeight="1" x14ac:dyDescent="0.3">
      <c r="A24" s="363" t="s">
        <v>810</v>
      </c>
      <c r="B24" s="361" t="s">
        <v>811</v>
      </c>
      <c r="C24" s="396" t="s">
        <v>27</v>
      </c>
      <c r="D24" s="397">
        <f>SUM(D25:D30)+430.4</f>
        <v>430.4</v>
      </c>
      <c r="E24" s="397">
        <f>SUM(E25:E30)+420.4</f>
        <v>420.4</v>
      </c>
      <c r="F24" s="397">
        <f>SUM(F25:F30)+405.3</f>
        <v>405.3</v>
      </c>
      <c r="G24" s="111">
        <f>SUM(G25:G30)+15.1</f>
        <v>15.1</v>
      </c>
      <c r="H24" s="105" t="s">
        <v>812</v>
      </c>
      <c r="I24" s="106" t="s">
        <v>786</v>
      </c>
      <c r="J24" s="106">
        <v>1</v>
      </c>
      <c r="K24" s="117">
        <v>1</v>
      </c>
      <c r="L24" s="203" t="s">
        <v>813</v>
      </c>
      <c r="M24" s="108"/>
    </row>
    <row r="25" spans="1:13" ht="31.2" x14ac:dyDescent="0.3">
      <c r="A25" s="363"/>
      <c r="B25" s="361"/>
      <c r="C25" s="396"/>
      <c r="D25" s="397"/>
      <c r="E25" s="397"/>
      <c r="F25" s="397"/>
      <c r="G25" s="116">
        <v>0</v>
      </c>
      <c r="H25" s="118" t="s">
        <v>814</v>
      </c>
      <c r="I25" s="119" t="s">
        <v>786</v>
      </c>
      <c r="J25" s="119">
        <v>100</v>
      </c>
      <c r="K25" s="120">
        <v>42</v>
      </c>
      <c r="L25" s="118"/>
      <c r="M25" s="121" t="s">
        <v>815</v>
      </c>
    </row>
    <row r="26" spans="1:13" ht="409.6" x14ac:dyDescent="0.3">
      <c r="A26" s="363"/>
      <c r="B26" s="361"/>
      <c r="C26" s="396"/>
      <c r="D26" s="397"/>
      <c r="E26" s="397"/>
      <c r="F26" s="397"/>
      <c r="G26" s="116">
        <v>0</v>
      </c>
      <c r="H26" s="118" t="s">
        <v>816</v>
      </c>
      <c r="I26" s="119" t="s">
        <v>786</v>
      </c>
      <c r="J26" s="119">
        <v>10</v>
      </c>
      <c r="K26" s="128">
        <v>11</v>
      </c>
      <c r="L26" s="178" t="s">
        <v>817</v>
      </c>
      <c r="M26" s="121"/>
    </row>
    <row r="27" spans="1:13" ht="46.8" x14ac:dyDescent="0.3">
      <c r="A27" s="363"/>
      <c r="B27" s="361"/>
      <c r="C27" s="396"/>
      <c r="D27" s="397"/>
      <c r="E27" s="397"/>
      <c r="F27" s="397"/>
      <c r="G27" s="116">
        <v>0</v>
      </c>
      <c r="H27" s="118" t="s">
        <v>818</v>
      </c>
      <c r="I27" s="119" t="s">
        <v>29</v>
      </c>
      <c r="J27" s="268">
        <v>160</v>
      </c>
      <c r="K27" s="269">
        <v>160</v>
      </c>
      <c r="L27" s="118" t="s">
        <v>819</v>
      </c>
      <c r="M27" s="121"/>
    </row>
    <row r="28" spans="1:13" ht="93.6" x14ac:dyDescent="0.3">
      <c r="A28" s="363"/>
      <c r="B28" s="361"/>
      <c r="C28" s="396"/>
      <c r="D28" s="397"/>
      <c r="E28" s="397"/>
      <c r="F28" s="397"/>
      <c r="G28" s="116">
        <v>0</v>
      </c>
      <c r="H28" s="118" t="s">
        <v>820</v>
      </c>
      <c r="I28" s="119" t="s">
        <v>29</v>
      </c>
      <c r="J28" s="119">
        <v>1</v>
      </c>
      <c r="K28" s="128">
        <v>1</v>
      </c>
      <c r="L28" s="118" t="s">
        <v>821</v>
      </c>
      <c r="M28" s="121"/>
    </row>
    <row r="29" spans="1:13" ht="93.6" x14ac:dyDescent="0.3">
      <c r="A29" s="363"/>
      <c r="B29" s="361"/>
      <c r="C29" s="396"/>
      <c r="D29" s="397"/>
      <c r="E29" s="397"/>
      <c r="F29" s="397"/>
      <c r="G29" s="116">
        <v>0</v>
      </c>
      <c r="H29" s="118" t="s">
        <v>822</v>
      </c>
      <c r="I29" s="119" t="s">
        <v>29</v>
      </c>
      <c r="J29" s="119">
        <v>10</v>
      </c>
      <c r="K29" s="120">
        <v>1</v>
      </c>
      <c r="L29" s="118" t="s">
        <v>823</v>
      </c>
      <c r="M29" s="270" t="s">
        <v>824</v>
      </c>
    </row>
    <row r="30" spans="1:13" ht="140.4" x14ac:dyDescent="0.3">
      <c r="A30" s="363"/>
      <c r="B30" s="361"/>
      <c r="C30" s="396"/>
      <c r="D30" s="397"/>
      <c r="E30" s="397"/>
      <c r="F30" s="397"/>
      <c r="G30" s="116">
        <v>0</v>
      </c>
      <c r="H30" s="118" t="s">
        <v>825</v>
      </c>
      <c r="I30" s="119" t="s">
        <v>786</v>
      </c>
      <c r="J30" s="119">
        <v>10</v>
      </c>
      <c r="K30" s="128">
        <v>10</v>
      </c>
      <c r="L30" s="178" t="s">
        <v>826</v>
      </c>
      <c r="M30" s="121"/>
    </row>
    <row r="31" spans="1:13" ht="62.4" x14ac:dyDescent="0.3">
      <c r="A31" s="94" t="s">
        <v>827</v>
      </c>
      <c r="B31" s="137" t="s">
        <v>828</v>
      </c>
      <c r="C31" s="138"/>
      <c r="D31" s="96">
        <f>SUM(D32:D32)</f>
        <v>37041.600000000006</v>
      </c>
      <c r="E31" s="96">
        <f>SUM(E32:E32)</f>
        <v>36994.699999999997</v>
      </c>
      <c r="F31" s="96">
        <f>SUM(F32:F32)</f>
        <v>36609.799999999996</v>
      </c>
      <c r="G31" s="96" t="e">
        <f>SUM(G32:G32)</f>
        <v>#REF!</v>
      </c>
      <c r="H31" s="357"/>
      <c r="I31" s="357"/>
      <c r="J31" s="357"/>
      <c r="K31" s="357"/>
      <c r="L31" s="357"/>
      <c r="M31" s="357"/>
    </row>
    <row r="32" spans="1:13" ht="46.8" x14ac:dyDescent="0.3">
      <c r="A32" s="97" t="s">
        <v>829</v>
      </c>
      <c r="B32" s="124" t="s">
        <v>830</v>
      </c>
      <c r="C32" s="125"/>
      <c r="D32" s="99">
        <f>D33+D50+D58+D59+D65+D68+D71+D64</f>
        <v>37041.600000000006</v>
      </c>
      <c r="E32" s="99">
        <f>E33+E50+E58+E59+E65+E68+E71</f>
        <v>36994.699999999997</v>
      </c>
      <c r="F32" s="99">
        <f>F33+F50+F58+F59+F65+F68+F71</f>
        <v>36609.799999999996</v>
      </c>
      <c r="G32" s="99" t="e">
        <f>G33+G50+G58+G59+#REF!+G65+G68+G71</f>
        <v>#REF!</v>
      </c>
      <c r="H32" s="359"/>
      <c r="I32" s="359"/>
      <c r="J32" s="359"/>
      <c r="K32" s="359"/>
      <c r="L32" s="359"/>
      <c r="M32" s="359"/>
    </row>
    <row r="33" spans="1:13" ht="31.2" customHeight="1" x14ac:dyDescent="0.3">
      <c r="A33" s="441" t="s">
        <v>831</v>
      </c>
      <c r="B33" s="361" t="s">
        <v>832</v>
      </c>
      <c r="C33" s="102"/>
      <c r="D33" s="111">
        <f>SUM(D34:D49)</f>
        <v>29665.9</v>
      </c>
      <c r="E33" s="111">
        <f>SUM(E34:E49)</f>
        <v>34842.6</v>
      </c>
      <c r="F33" s="111">
        <f>SUM(F34:F49)-0.1</f>
        <v>34656.9</v>
      </c>
      <c r="G33" s="111">
        <f>SUM(G34:G49)</f>
        <v>185.6</v>
      </c>
      <c r="H33" s="105" t="s">
        <v>833</v>
      </c>
      <c r="I33" s="106" t="s">
        <v>786</v>
      </c>
      <c r="J33" s="106">
        <v>31</v>
      </c>
      <c r="K33" s="117">
        <v>31</v>
      </c>
      <c r="L33" s="105"/>
      <c r="M33" s="108"/>
    </row>
    <row r="34" spans="1:13" ht="78" x14ac:dyDescent="0.3">
      <c r="A34" s="441"/>
      <c r="B34" s="361"/>
      <c r="C34" s="114"/>
      <c r="D34" s="116">
        <v>0</v>
      </c>
      <c r="E34" s="116">
        <v>0</v>
      </c>
      <c r="F34" s="116">
        <v>0</v>
      </c>
      <c r="G34" s="116">
        <v>0</v>
      </c>
      <c r="H34" s="118" t="s">
        <v>834</v>
      </c>
      <c r="I34" s="119" t="s">
        <v>551</v>
      </c>
      <c r="J34" s="119">
        <v>320</v>
      </c>
      <c r="K34" s="120">
        <v>275</v>
      </c>
      <c r="L34" s="178"/>
      <c r="M34" s="271" t="s">
        <v>1541</v>
      </c>
    </row>
    <row r="35" spans="1:13" ht="15.6" x14ac:dyDescent="0.3">
      <c r="A35" s="441"/>
      <c r="B35" s="361"/>
      <c r="C35" s="114"/>
      <c r="D35" s="116">
        <v>0</v>
      </c>
      <c r="E35" s="116">
        <v>0</v>
      </c>
      <c r="F35" s="116">
        <v>0</v>
      </c>
      <c r="G35" s="116">
        <v>0</v>
      </c>
      <c r="H35" s="118" t="s">
        <v>835</v>
      </c>
      <c r="I35" s="119" t="s">
        <v>551</v>
      </c>
      <c r="J35" s="256">
        <v>13100</v>
      </c>
      <c r="K35" s="257">
        <v>12998</v>
      </c>
      <c r="L35" s="178"/>
      <c r="M35" s="272" t="s">
        <v>836</v>
      </c>
    </row>
    <row r="36" spans="1:13" ht="15.6" x14ac:dyDescent="0.3">
      <c r="A36" s="441"/>
      <c r="B36" s="361"/>
      <c r="C36" s="114"/>
      <c r="D36" s="116">
        <v>0</v>
      </c>
      <c r="E36" s="116">
        <v>0</v>
      </c>
      <c r="F36" s="116">
        <v>0</v>
      </c>
      <c r="G36" s="116">
        <v>0</v>
      </c>
      <c r="H36" s="118" t="s">
        <v>837</v>
      </c>
      <c r="I36" s="119" t="s">
        <v>29</v>
      </c>
      <c r="J36" s="119">
        <v>1</v>
      </c>
      <c r="K36" s="128">
        <v>1</v>
      </c>
      <c r="L36" s="118"/>
      <c r="M36" s="121"/>
    </row>
    <row r="37" spans="1:13" ht="31.2" x14ac:dyDescent="0.3">
      <c r="A37" s="441"/>
      <c r="B37" s="361"/>
      <c r="C37" s="114"/>
      <c r="D37" s="116">
        <v>0</v>
      </c>
      <c r="E37" s="116">
        <v>0</v>
      </c>
      <c r="F37" s="116">
        <v>0</v>
      </c>
      <c r="G37" s="116">
        <v>0</v>
      </c>
      <c r="H37" s="118" t="s">
        <v>838</v>
      </c>
      <c r="I37" s="119" t="s">
        <v>435</v>
      </c>
      <c r="J37" s="119">
        <v>12.4</v>
      </c>
      <c r="K37" s="128">
        <v>12.4</v>
      </c>
      <c r="L37" s="118"/>
      <c r="M37" s="121"/>
    </row>
    <row r="38" spans="1:13" ht="46.8" x14ac:dyDescent="0.3">
      <c r="A38" s="441"/>
      <c r="B38" s="361"/>
      <c r="C38" s="114"/>
      <c r="D38" s="116">
        <v>0</v>
      </c>
      <c r="E38" s="116">
        <v>0</v>
      </c>
      <c r="F38" s="116">
        <v>0</v>
      </c>
      <c r="G38" s="116">
        <v>0</v>
      </c>
      <c r="H38" s="118" t="s">
        <v>839</v>
      </c>
      <c r="I38" s="119" t="s">
        <v>29</v>
      </c>
      <c r="J38" s="119">
        <v>27</v>
      </c>
      <c r="K38" s="128">
        <v>27</v>
      </c>
      <c r="L38" s="118"/>
      <c r="M38" s="121"/>
    </row>
    <row r="39" spans="1:13" ht="62.4" x14ac:dyDescent="0.3">
      <c r="A39" s="441"/>
      <c r="B39" s="361"/>
      <c r="C39" s="114"/>
      <c r="D39" s="116">
        <v>0</v>
      </c>
      <c r="E39" s="116">
        <v>0</v>
      </c>
      <c r="F39" s="116">
        <v>0</v>
      </c>
      <c r="G39" s="116">
        <v>0</v>
      </c>
      <c r="H39" s="118" t="s">
        <v>840</v>
      </c>
      <c r="I39" s="119" t="s">
        <v>56</v>
      </c>
      <c r="J39" s="119">
        <v>1</v>
      </c>
      <c r="K39" s="128">
        <v>1</v>
      </c>
      <c r="L39" s="118"/>
      <c r="M39" s="121"/>
    </row>
    <row r="40" spans="1:13" ht="31.2" x14ac:dyDescent="0.3">
      <c r="A40" s="441"/>
      <c r="B40" s="361"/>
      <c r="C40" s="114"/>
      <c r="D40" s="116">
        <v>0</v>
      </c>
      <c r="E40" s="116">
        <v>0</v>
      </c>
      <c r="F40" s="116">
        <v>0</v>
      </c>
      <c r="G40" s="116">
        <v>0</v>
      </c>
      <c r="H40" s="118" t="s">
        <v>841</v>
      </c>
      <c r="I40" s="119" t="s">
        <v>29</v>
      </c>
      <c r="J40" s="119">
        <v>1</v>
      </c>
      <c r="K40" s="128">
        <v>1</v>
      </c>
      <c r="L40" s="118"/>
      <c r="M40" s="121"/>
    </row>
    <row r="41" spans="1:13" ht="46.8" x14ac:dyDescent="0.3">
      <c r="A41" s="441"/>
      <c r="B41" s="361"/>
      <c r="C41" s="114"/>
      <c r="D41" s="116">
        <v>0</v>
      </c>
      <c r="E41" s="116">
        <v>0</v>
      </c>
      <c r="F41" s="116">
        <v>0</v>
      </c>
      <c r="G41" s="116">
        <v>0</v>
      </c>
      <c r="H41" s="118" t="s">
        <v>842</v>
      </c>
      <c r="I41" s="119" t="s">
        <v>29</v>
      </c>
      <c r="J41" s="119">
        <v>56</v>
      </c>
      <c r="K41" s="128">
        <v>56</v>
      </c>
      <c r="L41" s="118"/>
      <c r="M41" s="121"/>
    </row>
    <row r="42" spans="1:13" ht="31.2" x14ac:dyDescent="0.3">
      <c r="A42" s="441"/>
      <c r="B42" s="361"/>
      <c r="C42" s="114"/>
      <c r="D42" s="116">
        <v>0</v>
      </c>
      <c r="E42" s="116">
        <v>0</v>
      </c>
      <c r="F42" s="116">
        <v>0</v>
      </c>
      <c r="G42" s="116">
        <v>0</v>
      </c>
      <c r="H42" s="118" t="s">
        <v>843</v>
      </c>
      <c r="I42" s="119" t="s">
        <v>29</v>
      </c>
      <c r="J42" s="119">
        <v>35</v>
      </c>
      <c r="K42" s="128">
        <v>35</v>
      </c>
      <c r="L42" s="118"/>
      <c r="M42" s="121"/>
    </row>
    <row r="43" spans="1:13" ht="78" x14ac:dyDescent="0.3">
      <c r="A43" s="441"/>
      <c r="B43" s="361"/>
      <c r="C43" s="114"/>
      <c r="D43" s="116">
        <v>0</v>
      </c>
      <c r="E43" s="116">
        <v>0</v>
      </c>
      <c r="F43" s="116">
        <v>0</v>
      </c>
      <c r="G43" s="116">
        <v>0</v>
      </c>
      <c r="H43" s="118" t="s">
        <v>844</v>
      </c>
      <c r="I43" s="119" t="s">
        <v>551</v>
      </c>
      <c r="J43" s="256">
        <v>12542</v>
      </c>
      <c r="K43" s="252">
        <v>12542</v>
      </c>
      <c r="L43" s="118"/>
      <c r="M43" s="121"/>
    </row>
    <row r="44" spans="1:13" ht="62.4" customHeight="1" x14ac:dyDescent="0.3">
      <c r="A44" s="441"/>
      <c r="B44" s="361"/>
      <c r="C44" s="114"/>
      <c r="D44" s="116">
        <v>0</v>
      </c>
      <c r="E44" s="116">
        <v>0</v>
      </c>
      <c r="F44" s="116">
        <v>0</v>
      </c>
      <c r="G44" s="116">
        <v>0</v>
      </c>
      <c r="H44" s="367" t="s">
        <v>845</v>
      </c>
      <c r="I44" s="373" t="s">
        <v>29</v>
      </c>
      <c r="J44" s="436">
        <v>4000</v>
      </c>
      <c r="K44" s="446">
        <v>5060</v>
      </c>
      <c r="L44" s="423"/>
      <c r="M44" s="395"/>
    </row>
    <row r="45" spans="1:13" ht="15.6" x14ac:dyDescent="0.3">
      <c r="A45" s="441"/>
      <c r="B45" s="361"/>
      <c r="C45" s="114" t="s">
        <v>242</v>
      </c>
      <c r="D45" s="116">
        <v>3943</v>
      </c>
      <c r="E45" s="116">
        <v>3943</v>
      </c>
      <c r="F45" s="116">
        <v>3943</v>
      </c>
      <c r="G45" s="116">
        <v>0</v>
      </c>
      <c r="H45" s="367"/>
      <c r="I45" s="373"/>
      <c r="J45" s="436"/>
      <c r="K45" s="446"/>
      <c r="L45" s="423"/>
      <c r="M45" s="395"/>
    </row>
    <row r="46" spans="1:13" ht="15.6" x14ac:dyDescent="0.3">
      <c r="A46" s="441"/>
      <c r="B46" s="361"/>
      <c r="C46" s="114" t="s">
        <v>182</v>
      </c>
      <c r="D46" s="116">
        <v>1068</v>
      </c>
      <c r="E46" s="116">
        <v>1180.2</v>
      </c>
      <c r="F46" s="116">
        <v>1086.3</v>
      </c>
      <c r="G46" s="116">
        <v>93.9</v>
      </c>
      <c r="H46" s="367"/>
      <c r="I46" s="373"/>
      <c r="J46" s="436"/>
      <c r="K46" s="446"/>
      <c r="L46" s="423"/>
      <c r="M46" s="395"/>
    </row>
    <row r="47" spans="1:13" ht="15.6" x14ac:dyDescent="0.3">
      <c r="A47" s="441"/>
      <c r="B47" s="361"/>
      <c r="C47" s="114" t="s">
        <v>27</v>
      </c>
      <c r="D47" s="116">
        <v>7815.6</v>
      </c>
      <c r="E47" s="116">
        <v>8139.2</v>
      </c>
      <c r="F47" s="116">
        <v>8058.4</v>
      </c>
      <c r="G47" s="116">
        <v>80.8</v>
      </c>
      <c r="H47" s="367"/>
      <c r="I47" s="373"/>
      <c r="J47" s="436"/>
      <c r="K47" s="446"/>
      <c r="L47" s="423"/>
      <c r="M47" s="395"/>
    </row>
    <row r="48" spans="1:13" ht="15.6" x14ac:dyDescent="0.3">
      <c r="A48" s="441"/>
      <c r="B48" s="361"/>
      <c r="C48" s="114" t="s">
        <v>36</v>
      </c>
      <c r="D48" s="116">
        <v>148.1</v>
      </c>
      <c r="E48" s="116">
        <v>168.1</v>
      </c>
      <c r="F48" s="116">
        <v>168.1</v>
      </c>
      <c r="G48" s="116">
        <v>0</v>
      </c>
      <c r="H48" s="367"/>
      <c r="I48" s="373"/>
      <c r="J48" s="436"/>
      <c r="K48" s="446"/>
      <c r="L48" s="423"/>
      <c r="M48" s="395"/>
    </row>
    <row r="49" spans="1:13" ht="15.6" x14ac:dyDescent="0.3">
      <c r="A49" s="441"/>
      <c r="B49" s="361"/>
      <c r="C49" s="114" t="s">
        <v>846</v>
      </c>
      <c r="D49" s="116">
        <v>16691.2</v>
      </c>
      <c r="E49" s="116">
        <v>21412.1</v>
      </c>
      <c r="F49" s="116">
        <v>21401.200000000001</v>
      </c>
      <c r="G49" s="116">
        <v>10.9</v>
      </c>
      <c r="H49" s="367"/>
      <c r="I49" s="373"/>
      <c r="J49" s="436"/>
      <c r="K49" s="446"/>
      <c r="L49" s="423"/>
      <c r="M49" s="395"/>
    </row>
    <row r="50" spans="1:13" ht="31.2" customHeight="1" x14ac:dyDescent="0.3">
      <c r="A50" s="441" t="s">
        <v>847</v>
      </c>
      <c r="B50" s="361" t="s">
        <v>848</v>
      </c>
      <c r="C50" s="102"/>
      <c r="D50" s="111">
        <f>SUM(D51:D57)</f>
        <v>5697</v>
      </c>
      <c r="E50" s="111">
        <f>SUM(E51:E57)</f>
        <v>271.5</v>
      </c>
      <c r="F50" s="111">
        <f>SUM(F51:F57)</f>
        <v>269.8</v>
      </c>
      <c r="G50" s="111">
        <f>SUM(G51:G57)</f>
        <v>1.7</v>
      </c>
      <c r="H50" s="105" t="s">
        <v>849</v>
      </c>
      <c r="I50" s="106" t="s">
        <v>29</v>
      </c>
      <c r="J50" s="106">
        <v>36</v>
      </c>
      <c r="K50" s="117">
        <v>36</v>
      </c>
      <c r="L50" s="105"/>
      <c r="M50" s="108"/>
    </row>
    <row r="51" spans="1:13" ht="31.2" x14ac:dyDescent="0.3">
      <c r="A51" s="441"/>
      <c r="B51" s="361"/>
      <c r="C51" s="114"/>
      <c r="D51" s="116">
        <v>0</v>
      </c>
      <c r="E51" s="116">
        <v>0</v>
      </c>
      <c r="F51" s="116">
        <v>0</v>
      </c>
      <c r="G51" s="116">
        <v>0</v>
      </c>
      <c r="H51" s="118" t="s">
        <v>850</v>
      </c>
      <c r="I51" s="119" t="s">
        <v>551</v>
      </c>
      <c r="J51" s="119">
        <v>160</v>
      </c>
      <c r="K51" s="128">
        <v>173</v>
      </c>
      <c r="L51" s="118"/>
      <c r="M51" s="121"/>
    </row>
    <row r="52" spans="1:13" ht="62.4" x14ac:dyDescent="0.3">
      <c r="A52" s="441"/>
      <c r="B52" s="361"/>
      <c r="C52" s="114"/>
      <c r="D52" s="116">
        <v>0</v>
      </c>
      <c r="E52" s="116">
        <v>0</v>
      </c>
      <c r="F52" s="116">
        <v>0</v>
      </c>
      <c r="G52" s="116">
        <v>0</v>
      </c>
      <c r="H52" s="118" t="s">
        <v>851</v>
      </c>
      <c r="I52" s="119" t="s">
        <v>551</v>
      </c>
      <c r="J52" s="119">
        <v>164</v>
      </c>
      <c r="K52" s="120">
        <v>132</v>
      </c>
      <c r="L52" s="118"/>
      <c r="M52" s="121"/>
    </row>
    <row r="53" spans="1:13" ht="46.8" x14ac:dyDescent="0.3">
      <c r="A53" s="441"/>
      <c r="B53" s="361"/>
      <c r="C53" s="114"/>
      <c r="D53" s="116">
        <v>0</v>
      </c>
      <c r="E53" s="116">
        <v>0</v>
      </c>
      <c r="F53" s="116">
        <v>0</v>
      </c>
      <c r="G53" s="116">
        <v>0</v>
      </c>
      <c r="H53" s="118" t="s">
        <v>852</v>
      </c>
      <c r="I53" s="119" t="s">
        <v>29</v>
      </c>
      <c r="J53" s="119">
        <v>32</v>
      </c>
      <c r="K53" s="128">
        <v>32</v>
      </c>
      <c r="L53" s="118"/>
      <c r="M53" s="121"/>
    </row>
    <row r="54" spans="1:13" ht="31.2" x14ac:dyDescent="0.3">
      <c r="A54" s="441"/>
      <c r="B54" s="361"/>
      <c r="C54" s="114"/>
      <c r="D54" s="116">
        <v>0</v>
      </c>
      <c r="E54" s="116">
        <v>0</v>
      </c>
      <c r="F54" s="116">
        <v>0</v>
      </c>
      <c r="G54" s="116">
        <v>0</v>
      </c>
      <c r="H54" s="118" t="s">
        <v>853</v>
      </c>
      <c r="I54" s="119" t="s">
        <v>551</v>
      </c>
      <c r="J54" s="119">
        <v>800</v>
      </c>
      <c r="K54" s="128">
        <v>916</v>
      </c>
      <c r="L54" s="118"/>
      <c r="M54" s="273"/>
    </row>
    <row r="55" spans="1:13" ht="46.8" x14ac:dyDescent="0.3">
      <c r="A55" s="441"/>
      <c r="B55" s="361"/>
      <c r="C55" s="114"/>
      <c r="D55" s="116">
        <v>0</v>
      </c>
      <c r="E55" s="116">
        <v>0</v>
      </c>
      <c r="F55" s="116">
        <v>0</v>
      </c>
      <c r="G55" s="116">
        <v>0</v>
      </c>
      <c r="H55" s="118" t="s">
        <v>854</v>
      </c>
      <c r="I55" s="119" t="s">
        <v>29</v>
      </c>
      <c r="J55" s="119">
        <v>15</v>
      </c>
      <c r="K55" s="128">
        <v>15</v>
      </c>
      <c r="L55" s="118"/>
      <c r="M55" s="273"/>
    </row>
    <row r="56" spans="1:13" ht="36.6" customHeight="1" x14ac:dyDescent="0.3">
      <c r="A56" s="441"/>
      <c r="B56" s="361"/>
      <c r="C56" s="114"/>
      <c r="D56" s="116">
        <v>0</v>
      </c>
      <c r="E56" s="116">
        <v>0</v>
      </c>
      <c r="F56" s="116">
        <v>0</v>
      </c>
      <c r="G56" s="116">
        <v>0</v>
      </c>
      <c r="H56" s="367" t="s">
        <v>855</v>
      </c>
      <c r="I56" s="373" t="s">
        <v>29</v>
      </c>
      <c r="J56" s="373">
        <v>34</v>
      </c>
      <c r="K56" s="374">
        <v>34</v>
      </c>
      <c r="L56" s="367" t="s">
        <v>856</v>
      </c>
      <c r="M56" s="395"/>
    </row>
    <row r="57" spans="1:13" ht="15.6" x14ac:dyDescent="0.3">
      <c r="A57" s="441"/>
      <c r="B57" s="361"/>
      <c r="C57" s="114" t="s">
        <v>846</v>
      </c>
      <c r="D57" s="116">
        <v>5697</v>
      </c>
      <c r="E57" s="116">
        <v>271.5</v>
      </c>
      <c r="F57" s="116">
        <v>269.8</v>
      </c>
      <c r="G57" s="116">
        <v>1.7</v>
      </c>
      <c r="H57" s="367"/>
      <c r="I57" s="373"/>
      <c r="J57" s="373"/>
      <c r="K57" s="374"/>
      <c r="L57" s="367"/>
      <c r="M57" s="395"/>
    </row>
    <row r="58" spans="1:13" ht="62.4" x14ac:dyDescent="0.3">
      <c r="A58" s="100" t="s">
        <v>857</v>
      </c>
      <c r="B58" s="101" t="s">
        <v>858</v>
      </c>
      <c r="C58" s="102" t="s">
        <v>27</v>
      </c>
      <c r="D58" s="104">
        <v>80</v>
      </c>
      <c r="E58" s="104">
        <v>80</v>
      </c>
      <c r="F58" s="104">
        <v>80</v>
      </c>
      <c r="G58" s="104">
        <v>0</v>
      </c>
      <c r="H58" s="105" t="s">
        <v>859</v>
      </c>
      <c r="I58" s="106" t="s">
        <v>29</v>
      </c>
      <c r="J58" s="106">
        <v>700</v>
      </c>
      <c r="K58" s="230">
        <v>700</v>
      </c>
      <c r="L58" s="105" t="s">
        <v>860</v>
      </c>
      <c r="M58" s="274" t="s">
        <v>861</v>
      </c>
    </row>
    <row r="59" spans="1:13" ht="93.6" customHeight="1" x14ac:dyDescent="0.3">
      <c r="A59" s="363" t="s">
        <v>862</v>
      </c>
      <c r="B59" s="361" t="s">
        <v>863</v>
      </c>
      <c r="C59" s="102"/>
      <c r="D59" s="111">
        <f>SUM(D60:D63)</f>
        <v>1147.8000000000002</v>
      </c>
      <c r="E59" s="111">
        <f>SUM(E60:E63)</f>
        <v>1311.1</v>
      </c>
      <c r="F59" s="111">
        <f>SUM(F60:F63)</f>
        <v>1311.1</v>
      </c>
      <c r="G59" s="111">
        <f>SUM(G60:G63)</f>
        <v>0</v>
      </c>
      <c r="H59" s="105" t="s">
        <v>864</v>
      </c>
      <c r="I59" s="106" t="s">
        <v>29</v>
      </c>
      <c r="J59" s="106">
        <v>3</v>
      </c>
      <c r="K59" s="117">
        <v>3</v>
      </c>
      <c r="L59" s="105"/>
      <c r="M59" s="108"/>
    </row>
    <row r="60" spans="1:13" ht="46.8" x14ac:dyDescent="0.3">
      <c r="A60" s="363"/>
      <c r="B60" s="361"/>
      <c r="C60" s="114"/>
      <c r="D60" s="116">
        <v>0</v>
      </c>
      <c r="E60" s="116">
        <v>0</v>
      </c>
      <c r="F60" s="116">
        <v>0</v>
      </c>
      <c r="G60" s="116">
        <v>0</v>
      </c>
      <c r="H60" s="118" t="s">
        <v>865</v>
      </c>
      <c r="I60" s="119" t="s">
        <v>29</v>
      </c>
      <c r="J60" s="119">
        <v>1</v>
      </c>
      <c r="K60" s="128">
        <v>1</v>
      </c>
      <c r="L60" s="118"/>
      <c r="M60" s="121"/>
    </row>
    <row r="61" spans="1:13" ht="46.8" customHeight="1" x14ac:dyDescent="0.3">
      <c r="A61" s="363"/>
      <c r="B61" s="361"/>
      <c r="C61" s="114"/>
      <c r="D61" s="116">
        <v>0</v>
      </c>
      <c r="E61" s="116">
        <v>0</v>
      </c>
      <c r="F61" s="116">
        <v>0</v>
      </c>
      <c r="G61" s="116">
        <v>0</v>
      </c>
      <c r="H61" s="367" t="s">
        <v>866</v>
      </c>
      <c r="I61" s="373" t="s">
        <v>29</v>
      </c>
      <c r="J61" s="373">
        <v>1</v>
      </c>
      <c r="K61" s="374">
        <v>1</v>
      </c>
      <c r="L61" s="423"/>
      <c r="M61" s="395"/>
    </row>
    <row r="62" spans="1:13" ht="15.6" x14ac:dyDescent="0.3">
      <c r="A62" s="363"/>
      <c r="B62" s="361"/>
      <c r="C62" s="114" t="s">
        <v>27</v>
      </c>
      <c r="D62" s="116">
        <v>280.60000000000002</v>
      </c>
      <c r="E62" s="116">
        <v>290.7</v>
      </c>
      <c r="F62" s="116">
        <v>290.7</v>
      </c>
      <c r="G62" s="116">
        <v>0</v>
      </c>
      <c r="H62" s="367"/>
      <c r="I62" s="373"/>
      <c r="J62" s="373"/>
      <c r="K62" s="374"/>
      <c r="L62" s="423"/>
      <c r="M62" s="395"/>
    </row>
    <row r="63" spans="1:13" ht="16.2" thickBot="1" x14ac:dyDescent="0.35">
      <c r="A63" s="363"/>
      <c r="B63" s="361"/>
      <c r="C63" s="114" t="s">
        <v>846</v>
      </c>
      <c r="D63" s="116">
        <v>867.2</v>
      </c>
      <c r="E63" s="116">
        <v>1020.4</v>
      </c>
      <c r="F63" s="116">
        <v>1020.4</v>
      </c>
      <c r="G63" s="116">
        <v>0</v>
      </c>
      <c r="H63" s="367"/>
      <c r="I63" s="373"/>
      <c r="J63" s="373"/>
      <c r="K63" s="374"/>
      <c r="L63" s="423"/>
      <c r="M63" s="395"/>
    </row>
    <row r="64" spans="1:13" s="282" customFormat="1" ht="46.8" hidden="1" x14ac:dyDescent="0.3">
      <c r="A64" s="275" t="s">
        <v>867</v>
      </c>
      <c r="B64" s="276" t="s">
        <v>868</v>
      </c>
      <c r="C64" s="277" t="s">
        <v>182</v>
      </c>
      <c r="D64" s="26">
        <v>6</v>
      </c>
      <c r="E64" s="26">
        <v>0</v>
      </c>
      <c r="F64" s="26">
        <v>0</v>
      </c>
      <c r="G64" s="26">
        <v>0</v>
      </c>
      <c r="H64" s="277"/>
      <c r="I64" s="278"/>
      <c r="J64" s="279"/>
      <c r="K64" s="279"/>
      <c r="L64" s="280"/>
      <c r="M64" s="281"/>
    </row>
    <row r="65" spans="1:13" ht="31.2" customHeight="1" thickBot="1" x14ac:dyDescent="0.35">
      <c r="A65" s="441" t="s">
        <v>869</v>
      </c>
      <c r="B65" s="361" t="s">
        <v>870</v>
      </c>
      <c r="C65" s="102"/>
      <c r="D65" s="111">
        <f>SUM(D66:D67)</f>
        <v>359.09999999999997</v>
      </c>
      <c r="E65" s="111">
        <f>SUM(E66:E67)</f>
        <v>359.09999999999997</v>
      </c>
      <c r="F65" s="111">
        <f>SUM(F66:F67)</f>
        <v>214.1</v>
      </c>
      <c r="G65" s="111">
        <f>SUM(G66:G67)</f>
        <v>145</v>
      </c>
      <c r="H65" s="361" t="s">
        <v>871</v>
      </c>
      <c r="I65" s="364" t="s">
        <v>29</v>
      </c>
      <c r="J65" s="364">
        <v>6</v>
      </c>
      <c r="K65" s="360">
        <v>6</v>
      </c>
      <c r="L65" s="412"/>
      <c r="M65" s="447"/>
    </row>
    <row r="66" spans="1:13" ht="16.2" thickBot="1" x14ac:dyDescent="0.35">
      <c r="A66" s="441"/>
      <c r="B66" s="361"/>
      <c r="C66" s="114" t="s">
        <v>27</v>
      </c>
      <c r="D66" s="116">
        <v>53.9</v>
      </c>
      <c r="E66" s="116">
        <v>53.9</v>
      </c>
      <c r="F66" s="116">
        <v>0</v>
      </c>
      <c r="G66" s="116">
        <v>53.9</v>
      </c>
      <c r="H66" s="361"/>
      <c r="I66" s="364"/>
      <c r="J66" s="364"/>
      <c r="K66" s="360"/>
      <c r="L66" s="412"/>
      <c r="M66" s="447"/>
    </row>
    <row r="67" spans="1:13" ht="15.6" x14ac:dyDescent="0.3">
      <c r="A67" s="441"/>
      <c r="B67" s="361"/>
      <c r="C67" s="114" t="s">
        <v>200</v>
      </c>
      <c r="D67" s="116">
        <v>305.2</v>
      </c>
      <c r="E67" s="116">
        <v>305.2</v>
      </c>
      <c r="F67" s="116">
        <v>214.1</v>
      </c>
      <c r="G67" s="116">
        <v>91.1</v>
      </c>
      <c r="H67" s="361"/>
      <c r="I67" s="364"/>
      <c r="J67" s="364"/>
      <c r="K67" s="360"/>
      <c r="L67" s="412"/>
      <c r="M67" s="447"/>
    </row>
    <row r="68" spans="1:13" ht="46.8" customHeight="1" x14ac:dyDescent="0.3">
      <c r="A68" s="441" t="s">
        <v>872</v>
      </c>
      <c r="B68" s="361" t="s">
        <v>873</v>
      </c>
      <c r="C68" s="102"/>
      <c r="D68" s="111">
        <f>SUM(D69:D70)</f>
        <v>85.8</v>
      </c>
      <c r="E68" s="111">
        <f>SUM(E69:E70)</f>
        <v>85.8</v>
      </c>
      <c r="F68" s="111">
        <f>SUM(F69:F70)</f>
        <v>75.2</v>
      </c>
      <c r="G68" s="111">
        <f>SUM(G69:G70)</f>
        <v>10.600000000000001</v>
      </c>
      <c r="H68" s="361" t="s">
        <v>874</v>
      </c>
      <c r="I68" s="364" t="s">
        <v>29</v>
      </c>
      <c r="J68" s="364">
        <v>17</v>
      </c>
      <c r="K68" s="360">
        <v>17</v>
      </c>
      <c r="L68" s="412"/>
      <c r="M68" s="447"/>
    </row>
    <row r="69" spans="1:13" ht="15.6" x14ac:dyDescent="0.3">
      <c r="A69" s="441"/>
      <c r="B69" s="361"/>
      <c r="C69" s="114" t="s">
        <v>689</v>
      </c>
      <c r="D69" s="116">
        <v>85.8</v>
      </c>
      <c r="E69" s="116">
        <v>10.7</v>
      </c>
      <c r="F69" s="116">
        <v>9.4</v>
      </c>
      <c r="G69" s="116">
        <v>1.3</v>
      </c>
      <c r="H69" s="361"/>
      <c r="I69" s="364"/>
      <c r="J69" s="364"/>
      <c r="K69" s="360"/>
      <c r="L69" s="412"/>
      <c r="M69" s="447"/>
    </row>
    <row r="70" spans="1:13" ht="15.6" x14ac:dyDescent="0.3">
      <c r="A70" s="441"/>
      <c r="B70" s="361"/>
      <c r="C70" s="114" t="s">
        <v>875</v>
      </c>
      <c r="D70" s="116">
        <v>0</v>
      </c>
      <c r="E70" s="116">
        <v>75.099999999999994</v>
      </c>
      <c r="F70" s="116">
        <v>65.8</v>
      </c>
      <c r="G70" s="116">
        <v>9.3000000000000007</v>
      </c>
      <c r="H70" s="361"/>
      <c r="I70" s="364"/>
      <c r="J70" s="364"/>
      <c r="K70" s="360"/>
      <c r="L70" s="412"/>
      <c r="M70" s="447"/>
    </row>
    <row r="71" spans="1:13" ht="208.2" customHeight="1" x14ac:dyDescent="0.3">
      <c r="A71" s="441" t="s">
        <v>876</v>
      </c>
      <c r="B71" s="361" t="s">
        <v>877</v>
      </c>
      <c r="C71" s="102"/>
      <c r="D71" s="111">
        <f>SUM(D72:D72)</f>
        <v>0</v>
      </c>
      <c r="E71" s="111">
        <f>SUM(E72:E72)</f>
        <v>44.6</v>
      </c>
      <c r="F71" s="111">
        <f>SUM(F72:F72)</f>
        <v>2.7</v>
      </c>
      <c r="G71" s="111">
        <f>SUM(G72:G72)</f>
        <v>41.9</v>
      </c>
      <c r="H71" s="396" t="s">
        <v>878</v>
      </c>
      <c r="I71" s="364" t="s">
        <v>551</v>
      </c>
      <c r="J71" s="364">
        <v>69</v>
      </c>
      <c r="K71" s="360">
        <v>69</v>
      </c>
      <c r="L71" s="406" t="s">
        <v>879</v>
      </c>
      <c r="M71" s="422"/>
    </row>
    <row r="72" spans="1:13" ht="15.6" x14ac:dyDescent="0.3">
      <c r="A72" s="441"/>
      <c r="B72" s="361"/>
      <c r="C72" s="114" t="s">
        <v>200</v>
      </c>
      <c r="D72" s="116">
        <v>0</v>
      </c>
      <c r="E72" s="116">
        <v>44.6</v>
      </c>
      <c r="F72" s="116">
        <v>2.7</v>
      </c>
      <c r="G72" s="116">
        <v>41.9</v>
      </c>
      <c r="H72" s="396"/>
      <c r="I72" s="364"/>
      <c r="J72" s="364"/>
      <c r="K72" s="360"/>
      <c r="L72" s="406"/>
      <c r="M72" s="422"/>
    </row>
    <row r="73" spans="1:13" ht="46.8" x14ac:dyDescent="0.3">
      <c r="A73" s="94" t="s">
        <v>880</v>
      </c>
      <c r="B73" s="137" t="s">
        <v>881</v>
      </c>
      <c r="C73" s="138"/>
      <c r="D73" s="96">
        <f>SUM(D74:D74)</f>
        <v>15240.8</v>
      </c>
      <c r="E73" s="96">
        <f>SUM(E74:E74)</f>
        <v>16711.3</v>
      </c>
      <c r="F73" s="96">
        <f>SUM(F74:F74)</f>
        <v>16581.2</v>
      </c>
      <c r="G73" s="96">
        <f>SUM(G74:G74)</f>
        <v>130.19999999999999</v>
      </c>
      <c r="H73" s="357"/>
      <c r="I73" s="357"/>
      <c r="J73" s="357"/>
      <c r="K73" s="357"/>
      <c r="L73" s="357"/>
      <c r="M73" s="357"/>
    </row>
    <row r="74" spans="1:13" ht="31.2" x14ac:dyDescent="0.3">
      <c r="A74" s="97" t="s">
        <v>882</v>
      </c>
      <c r="B74" s="124" t="s">
        <v>883</v>
      </c>
      <c r="C74" s="125"/>
      <c r="D74" s="99">
        <f>D75+D84</f>
        <v>15240.8</v>
      </c>
      <c r="E74" s="99">
        <f>E75+E84</f>
        <v>16711.3</v>
      </c>
      <c r="F74" s="99">
        <f>F75+F84</f>
        <v>16581.2</v>
      </c>
      <c r="G74" s="99">
        <f>G75+G84</f>
        <v>130.19999999999999</v>
      </c>
      <c r="H74" s="359"/>
      <c r="I74" s="359"/>
      <c r="J74" s="359"/>
      <c r="K74" s="359"/>
      <c r="L74" s="359"/>
      <c r="M74" s="359"/>
    </row>
    <row r="75" spans="1:13" ht="78" customHeight="1" x14ac:dyDescent="0.3">
      <c r="A75" s="363" t="s">
        <v>884</v>
      </c>
      <c r="B75" s="361" t="s">
        <v>885</v>
      </c>
      <c r="C75" s="102"/>
      <c r="D75" s="111">
        <f>SUM(D76:D83)</f>
        <v>14941.5</v>
      </c>
      <c r="E75" s="111">
        <f>SUM(E76:E83)</f>
        <v>16353.6</v>
      </c>
      <c r="F75" s="111">
        <f>SUM(F76:F83)</f>
        <v>16223.5</v>
      </c>
      <c r="G75" s="111">
        <f>SUM(G76:G83)+0.1</f>
        <v>130.19999999999999</v>
      </c>
      <c r="H75" s="105" t="s">
        <v>886</v>
      </c>
      <c r="I75" s="106" t="s">
        <v>29</v>
      </c>
      <c r="J75" s="106">
        <v>260</v>
      </c>
      <c r="K75" s="117">
        <v>277</v>
      </c>
      <c r="L75" s="105"/>
      <c r="M75" s="283"/>
    </row>
    <row r="76" spans="1:13" ht="46.8" x14ac:dyDescent="0.3">
      <c r="A76" s="363"/>
      <c r="B76" s="361"/>
      <c r="C76" s="114"/>
      <c r="D76" s="116">
        <v>0</v>
      </c>
      <c r="E76" s="116">
        <v>0</v>
      </c>
      <c r="F76" s="116">
        <v>0</v>
      </c>
      <c r="G76" s="116">
        <v>0</v>
      </c>
      <c r="H76" s="118" t="s">
        <v>887</v>
      </c>
      <c r="I76" s="119" t="s">
        <v>29</v>
      </c>
      <c r="J76" s="119">
        <v>660</v>
      </c>
      <c r="K76" s="120">
        <v>639</v>
      </c>
      <c r="L76" s="118"/>
      <c r="M76" s="271" t="s">
        <v>888</v>
      </c>
    </row>
    <row r="77" spans="1:13" ht="31.2" x14ac:dyDescent="0.3">
      <c r="A77" s="363"/>
      <c r="B77" s="361"/>
      <c r="C77" s="114"/>
      <c r="D77" s="116">
        <v>0</v>
      </c>
      <c r="E77" s="116">
        <v>0</v>
      </c>
      <c r="F77" s="116">
        <v>0</v>
      </c>
      <c r="G77" s="116">
        <v>0</v>
      </c>
      <c r="H77" s="118" t="s">
        <v>889</v>
      </c>
      <c r="I77" s="119" t="s">
        <v>29</v>
      </c>
      <c r="J77" s="119">
        <v>31</v>
      </c>
      <c r="K77" s="128">
        <v>31</v>
      </c>
      <c r="L77" s="118"/>
      <c r="M77" s="121"/>
    </row>
    <row r="78" spans="1:13" ht="62.4" customHeight="1" x14ac:dyDescent="0.3">
      <c r="A78" s="363"/>
      <c r="B78" s="361"/>
      <c r="C78" s="114"/>
      <c r="D78" s="116">
        <v>0</v>
      </c>
      <c r="E78" s="116">
        <v>0</v>
      </c>
      <c r="F78" s="116">
        <v>0</v>
      </c>
      <c r="G78" s="116">
        <v>0</v>
      </c>
      <c r="H78" s="118" t="s">
        <v>890</v>
      </c>
      <c r="I78" s="119" t="s">
        <v>29</v>
      </c>
      <c r="J78" s="119">
        <v>800</v>
      </c>
      <c r="K78" s="120">
        <v>689</v>
      </c>
      <c r="L78" s="118"/>
      <c r="M78" s="121"/>
    </row>
    <row r="79" spans="1:13" ht="24" customHeight="1" x14ac:dyDescent="0.3">
      <c r="A79" s="363"/>
      <c r="B79" s="361"/>
      <c r="C79" s="114"/>
      <c r="D79" s="116">
        <v>0</v>
      </c>
      <c r="E79" s="116">
        <v>0</v>
      </c>
      <c r="F79" s="116">
        <v>0</v>
      </c>
      <c r="G79" s="116">
        <v>0</v>
      </c>
      <c r="H79" s="367" t="s">
        <v>891</v>
      </c>
      <c r="I79" s="373" t="s">
        <v>29</v>
      </c>
      <c r="J79" s="436">
        <v>4100</v>
      </c>
      <c r="K79" s="446">
        <v>4141</v>
      </c>
      <c r="L79" s="423"/>
      <c r="M79" s="395"/>
    </row>
    <row r="80" spans="1:13" ht="15.6" x14ac:dyDescent="0.3">
      <c r="A80" s="363"/>
      <c r="B80" s="361"/>
      <c r="C80" s="114" t="s">
        <v>182</v>
      </c>
      <c r="D80" s="116">
        <v>2042.1</v>
      </c>
      <c r="E80" s="116">
        <v>2087.8000000000002</v>
      </c>
      <c r="F80" s="116">
        <v>2005.5</v>
      </c>
      <c r="G80" s="116">
        <v>82.3</v>
      </c>
      <c r="H80" s="367"/>
      <c r="I80" s="373"/>
      <c r="J80" s="436"/>
      <c r="K80" s="446"/>
      <c r="L80" s="423"/>
      <c r="M80" s="395"/>
    </row>
    <row r="81" spans="1:13" ht="15.6" x14ac:dyDescent="0.3">
      <c r="A81" s="363"/>
      <c r="B81" s="361"/>
      <c r="C81" s="114" t="s">
        <v>36</v>
      </c>
      <c r="D81" s="116">
        <v>138.1</v>
      </c>
      <c r="E81" s="116">
        <v>138.1</v>
      </c>
      <c r="F81" s="116">
        <v>138.1</v>
      </c>
      <c r="G81" s="116">
        <v>0</v>
      </c>
      <c r="H81" s="367"/>
      <c r="I81" s="373"/>
      <c r="J81" s="436"/>
      <c r="K81" s="446"/>
      <c r="L81" s="423"/>
      <c r="M81" s="395"/>
    </row>
    <row r="82" spans="1:13" ht="15.6" x14ac:dyDescent="0.3">
      <c r="A82" s="363"/>
      <c r="B82" s="361"/>
      <c r="C82" s="114" t="s">
        <v>846</v>
      </c>
      <c r="D82" s="116">
        <v>4478.8</v>
      </c>
      <c r="E82" s="116">
        <v>5585.6</v>
      </c>
      <c r="F82" s="116">
        <v>5581.9</v>
      </c>
      <c r="G82" s="116">
        <v>3.7</v>
      </c>
      <c r="H82" s="367"/>
      <c r="I82" s="373"/>
      <c r="J82" s="436"/>
      <c r="K82" s="446"/>
      <c r="L82" s="423"/>
      <c r="M82" s="395"/>
    </row>
    <row r="83" spans="1:13" ht="15.6" x14ac:dyDescent="0.3">
      <c r="A83" s="363"/>
      <c r="B83" s="361"/>
      <c r="C83" s="114" t="s">
        <v>27</v>
      </c>
      <c r="D83" s="116">
        <v>8282.5</v>
      </c>
      <c r="E83" s="116">
        <v>8542.1</v>
      </c>
      <c r="F83" s="116">
        <v>8498</v>
      </c>
      <c r="G83" s="116">
        <v>44.1</v>
      </c>
      <c r="H83" s="367"/>
      <c r="I83" s="373"/>
      <c r="J83" s="436"/>
      <c r="K83" s="446"/>
      <c r="L83" s="423"/>
      <c r="M83" s="395"/>
    </row>
    <row r="84" spans="1:13" ht="46.8" x14ac:dyDescent="0.3">
      <c r="A84" s="100" t="s">
        <v>892</v>
      </c>
      <c r="B84" s="101" t="s">
        <v>893</v>
      </c>
      <c r="C84" s="102" t="s">
        <v>846</v>
      </c>
      <c r="D84" s="104">
        <v>299.3</v>
      </c>
      <c r="E84" s="104">
        <v>357.7</v>
      </c>
      <c r="F84" s="104">
        <v>357.7</v>
      </c>
      <c r="G84" s="104">
        <v>0</v>
      </c>
      <c r="H84" s="102" t="s">
        <v>894</v>
      </c>
      <c r="I84" s="106" t="s">
        <v>29</v>
      </c>
      <c r="J84" s="106">
        <v>4</v>
      </c>
      <c r="K84" s="117">
        <v>4</v>
      </c>
      <c r="L84" s="105"/>
      <c r="M84" s="108"/>
    </row>
    <row r="85" spans="1:13" ht="46.8" x14ac:dyDescent="0.3">
      <c r="A85" s="94" t="s">
        <v>895</v>
      </c>
      <c r="B85" s="137" t="s">
        <v>896</v>
      </c>
      <c r="C85" s="138"/>
      <c r="D85" s="96">
        <f>SUM(D86:D86)</f>
        <v>4610.7999999999993</v>
      </c>
      <c r="E85" s="96">
        <f>SUM(E86:E86)</f>
        <v>4947.9999999999991</v>
      </c>
      <c r="F85" s="96">
        <f>SUM(F86:F86)</f>
        <v>4598.8</v>
      </c>
      <c r="G85" s="96">
        <f>SUM(G86:G86)</f>
        <v>349.3</v>
      </c>
      <c r="H85" s="357"/>
      <c r="I85" s="357"/>
      <c r="J85" s="357"/>
      <c r="K85" s="357"/>
      <c r="L85" s="357"/>
      <c r="M85" s="357"/>
    </row>
    <row r="86" spans="1:13" ht="31.2" x14ac:dyDescent="0.3">
      <c r="A86" s="97" t="s">
        <v>897</v>
      </c>
      <c r="B86" s="124" t="s">
        <v>898</v>
      </c>
      <c r="C86" s="125"/>
      <c r="D86" s="99">
        <f>D87+D98</f>
        <v>4610.7999999999993</v>
      </c>
      <c r="E86" s="99">
        <f>E87+E98</f>
        <v>4947.9999999999991</v>
      </c>
      <c r="F86" s="99">
        <f>F87+F98</f>
        <v>4598.8</v>
      </c>
      <c r="G86" s="99">
        <f>G87+G98+0.1</f>
        <v>349.3</v>
      </c>
      <c r="H86" s="359"/>
      <c r="I86" s="359"/>
      <c r="J86" s="359"/>
      <c r="K86" s="359"/>
      <c r="L86" s="359"/>
      <c r="M86" s="359"/>
    </row>
    <row r="87" spans="1:13" ht="46.8" customHeight="1" x14ac:dyDescent="0.3">
      <c r="A87" s="363" t="s">
        <v>899</v>
      </c>
      <c r="B87" s="361" t="s">
        <v>900</v>
      </c>
      <c r="C87" s="102"/>
      <c r="D87" s="111">
        <f>SUM(D88:D97)</f>
        <v>4510.7999999999993</v>
      </c>
      <c r="E87" s="111">
        <f>SUM(E88:E97)</f>
        <v>4875.9999999999991</v>
      </c>
      <c r="F87" s="111">
        <f>SUM(F88:F97)</f>
        <v>4526.8</v>
      </c>
      <c r="G87" s="111">
        <f>SUM(G88:G97)-0.1</f>
        <v>349.2</v>
      </c>
      <c r="H87" s="105" t="s">
        <v>901</v>
      </c>
      <c r="I87" s="106" t="s">
        <v>29</v>
      </c>
      <c r="J87" s="254">
        <v>3610</v>
      </c>
      <c r="K87" s="267">
        <v>3790</v>
      </c>
      <c r="L87" s="105"/>
      <c r="M87" s="108"/>
    </row>
    <row r="88" spans="1:13" ht="93.6" x14ac:dyDescent="0.3">
      <c r="A88" s="363"/>
      <c r="B88" s="361"/>
      <c r="C88" s="114"/>
      <c r="D88" s="116">
        <v>0</v>
      </c>
      <c r="E88" s="116">
        <v>0</v>
      </c>
      <c r="F88" s="116">
        <v>0</v>
      </c>
      <c r="G88" s="116">
        <v>0</v>
      </c>
      <c r="H88" s="118" t="s">
        <v>902</v>
      </c>
      <c r="I88" s="119" t="s">
        <v>29</v>
      </c>
      <c r="J88" s="256">
        <v>3200</v>
      </c>
      <c r="K88" s="257">
        <v>1800</v>
      </c>
      <c r="L88" s="118"/>
      <c r="M88" s="271" t="s">
        <v>903</v>
      </c>
    </row>
    <row r="89" spans="1:13" ht="31.2" x14ac:dyDescent="0.3">
      <c r="A89" s="363"/>
      <c r="B89" s="361"/>
      <c r="C89" s="114"/>
      <c r="D89" s="116">
        <v>0</v>
      </c>
      <c r="E89" s="116">
        <v>0</v>
      </c>
      <c r="F89" s="116">
        <v>0</v>
      </c>
      <c r="G89" s="116">
        <v>0</v>
      </c>
      <c r="H89" s="118" t="s">
        <v>904</v>
      </c>
      <c r="I89" s="119" t="s">
        <v>29</v>
      </c>
      <c r="J89" s="119">
        <v>8</v>
      </c>
      <c r="K89" s="128">
        <v>8</v>
      </c>
      <c r="L89" s="118"/>
      <c r="M89" s="121"/>
    </row>
    <row r="90" spans="1:13" ht="31.2" x14ac:dyDescent="0.3">
      <c r="A90" s="363"/>
      <c r="B90" s="361"/>
      <c r="C90" s="114"/>
      <c r="D90" s="116">
        <v>0</v>
      </c>
      <c r="E90" s="116">
        <v>0</v>
      </c>
      <c r="F90" s="116">
        <v>0</v>
      </c>
      <c r="G90" s="116">
        <v>0</v>
      </c>
      <c r="H90" s="118" t="s">
        <v>905</v>
      </c>
      <c r="I90" s="119" t="s">
        <v>29</v>
      </c>
      <c r="J90" s="119">
        <v>39</v>
      </c>
      <c r="K90" s="128">
        <v>39</v>
      </c>
      <c r="L90" s="118"/>
      <c r="M90" s="121"/>
    </row>
    <row r="91" spans="1:13" ht="31.2" x14ac:dyDescent="0.3">
      <c r="A91" s="363"/>
      <c r="B91" s="361"/>
      <c r="C91" s="114"/>
      <c r="D91" s="116">
        <v>0</v>
      </c>
      <c r="E91" s="116">
        <v>0</v>
      </c>
      <c r="F91" s="116">
        <v>0</v>
      </c>
      <c r="G91" s="116">
        <v>0</v>
      </c>
      <c r="H91" s="118" t="s">
        <v>906</v>
      </c>
      <c r="I91" s="119" t="s">
        <v>29</v>
      </c>
      <c r="J91" s="119">
        <v>34</v>
      </c>
      <c r="K91" s="128">
        <v>34</v>
      </c>
      <c r="L91" s="118"/>
      <c r="M91" s="121"/>
    </row>
    <row r="92" spans="1:13" ht="46.8" customHeight="1" x14ac:dyDescent="0.3">
      <c r="A92" s="363"/>
      <c r="B92" s="361"/>
      <c r="C92" s="114"/>
      <c r="D92" s="116">
        <v>0</v>
      </c>
      <c r="E92" s="116">
        <v>0</v>
      </c>
      <c r="F92" s="116">
        <v>0</v>
      </c>
      <c r="G92" s="116">
        <v>0</v>
      </c>
      <c r="H92" s="403" t="s">
        <v>907</v>
      </c>
      <c r="I92" s="373" t="s">
        <v>29</v>
      </c>
      <c r="J92" s="373">
        <v>140</v>
      </c>
      <c r="K92" s="376">
        <v>129</v>
      </c>
      <c r="L92" s="423"/>
      <c r="M92" s="371" t="s">
        <v>908</v>
      </c>
    </row>
    <row r="93" spans="1:13" ht="15.6" x14ac:dyDescent="0.3">
      <c r="A93" s="363"/>
      <c r="B93" s="361"/>
      <c r="C93" s="114" t="s">
        <v>27</v>
      </c>
      <c r="D93" s="116">
        <v>3790.1</v>
      </c>
      <c r="E93" s="116">
        <v>3864.7</v>
      </c>
      <c r="F93" s="116">
        <v>3830.6</v>
      </c>
      <c r="G93" s="116">
        <v>34.1</v>
      </c>
      <c r="H93" s="403"/>
      <c r="I93" s="373"/>
      <c r="J93" s="373"/>
      <c r="K93" s="376"/>
      <c r="L93" s="423"/>
      <c r="M93" s="371"/>
    </row>
    <row r="94" spans="1:13" ht="15.6" x14ac:dyDescent="0.3">
      <c r="A94" s="363"/>
      <c r="B94" s="361"/>
      <c r="C94" s="114" t="s">
        <v>200</v>
      </c>
      <c r="D94" s="116">
        <v>354.6</v>
      </c>
      <c r="E94" s="116">
        <v>469.9</v>
      </c>
      <c r="F94" s="116">
        <v>211</v>
      </c>
      <c r="G94" s="116">
        <v>258.89999999999998</v>
      </c>
      <c r="H94" s="403"/>
      <c r="I94" s="373"/>
      <c r="J94" s="373"/>
      <c r="K94" s="376"/>
      <c r="L94" s="423"/>
      <c r="M94" s="371"/>
    </row>
    <row r="95" spans="1:13" ht="15.6" x14ac:dyDescent="0.3">
      <c r="A95" s="363"/>
      <c r="B95" s="361"/>
      <c r="C95" s="114" t="s">
        <v>242</v>
      </c>
      <c r="D95" s="116">
        <v>0</v>
      </c>
      <c r="E95" s="116">
        <v>135.69999999999999</v>
      </c>
      <c r="F95" s="116">
        <v>135.69999999999999</v>
      </c>
      <c r="G95" s="116">
        <v>0</v>
      </c>
      <c r="H95" s="403"/>
      <c r="I95" s="373"/>
      <c r="J95" s="373"/>
      <c r="K95" s="376"/>
      <c r="L95" s="423"/>
      <c r="M95" s="371"/>
    </row>
    <row r="96" spans="1:13" ht="15.6" x14ac:dyDescent="0.3">
      <c r="A96" s="363"/>
      <c r="B96" s="361"/>
      <c r="C96" s="114" t="s">
        <v>182</v>
      </c>
      <c r="D96" s="116">
        <v>287.39999999999998</v>
      </c>
      <c r="E96" s="116">
        <v>327</v>
      </c>
      <c r="F96" s="116">
        <v>270.89999999999998</v>
      </c>
      <c r="G96" s="116">
        <v>56.1</v>
      </c>
      <c r="H96" s="403"/>
      <c r="I96" s="373"/>
      <c r="J96" s="373"/>
      <c r="K96" s="376"/>
      <c r="L96" s="423"/>
      <c r="M96" s="371"/>
    </row>
    <row r="97" spans="1:13" ht="16.2" thickBot="1" x14ac:dyDescent="0.35">
      <c r="A97" s="363"/>
      <c r="B97" s="361"/>
      <c r="C97" s="114" t="s">
        <v>36</v>
      </c>
      <c r="D97" s="116">
        <v>78.7</v>
      </c>
      <c r="E97" s="116">
        <v>78.7</v>
      </c>
      <c r="F97" s="116">
        <v>78.599999999999994</v>
      </c>
      <c r="G97" s="116">
        <v>0.2</v>
      </c>
      <c r="H97" s="403"/>
      <c r="I97" s="373"/>
      <c r="J97" s="373"/>
      <c r="K97" s="376"/>
      <c r="L97" s="423"/>
      <c r="M97" s="371"/>
    </row>
    <row r="98" spans="1:13" ht="46.8" customHeight="1" thickBot="1" x14ac:dyDescent="0.35">
      <c r="A98" s="363" t="s">
        <v>909</v>
      </c>
      <c r="B98" s="448" t="s">
        <v>910</v>
      </c>
      <c r="C98" s="396" t="s">
        <v>27</v>
      </c>
      <c r="D98" s="397">
        <f>SUM(D99:D99)+100</f>
        <v>100</v>
      </c>
      <c r="E98" s="397">
        <f>SUM(E99:E99)+72</f>
        <v>72</v>
      </c>
      <c r="F98" s="397">
        <f>SUM(F99:F99)+72</f>
        <v>72</v>
      </c>
      <c r="G98" s="111">
        <f>SUM(G99:G99)</f>
        <v>0</v>
      </c>
      <c r="H98" s="105" t="s">
        <v>911</v>
      </c>
      <c r="I98" s="106" t="s">
        <v>29</v>
      </c>
      <c r="J98" s="254">
        <v>1200</v>
      </c>
      <c r="K98" s="267">
        <v>1564</v>
      </c>
      <c r="L98" s="412"/>
      <c r="M98" s="450" t="s">
        <v>1542</v>
      </c>
    </row>
    <row r="99" spans="1:13" ht="68.400000000000006" customHeight="1" thickBot="1" x14ac:dyDescent="0.35">
      <c r="A99" s="363"/>
      <c r="B99" s="448"/>
      <c r="C99" s="396"/>
      <c r="D99" s="397"/>
      <c r="E99" s="397"/>
      <c r="F99" s="397"/>
      <c r="G99" s="116">
        <v>0</v>
      </c>
      <c r="H99" s="118" t="s">
        <v>912</v>
      </c>
      <c r="I99" s="119" t="s">
        <v>29</v>
      </c>
      <c r="J99" s="119">
        <v>100</v>
      </c>
      <c r="K99" s="217">
        <v>0</v>
      </c>
      <c r="L99" s="412"/>
      <c r="M99" s="451"/>
    </row>
    <row r="100" spans="1:13" ht="31.8" thickBot="1" x14ac:dyDescent="0.35">
      <c r="A100" s="94" t="s">
        <v>913</v>
      </c>
      <c r="B100" s="137" t="s">
        <v>914</v>
      </c>
      <c r="C100" s="138"/>
      <c r="D100" s="96">
        <f>D101+D105</f>
        <v>6173.6999999999989</v>
      </c>
      <c r="E100" s="96">
        <f>E101+E105</f>
        <v>6199.2</v>
      </c>
      <c r="F100" s="96">
        <f>F101+F105</f>
        <v>4734.5999999999995</v>
      </c>
      <c r="G100" s="96">
        <f>G101+G105</f>
        <v>1464.6000000000001</v>
      </c>
      <c r="H100" s="357"/>
      <c r="I100" s="357"/>
      <c r="J100" s="357"/>
      <c r="K100" s="357"/>
      <c r="L100" s="357"/>
      <c r="M100" s="357"/>
    </row>
    <row r="101" spans="1:13" ht="31.2" x14ac:dyDescent="0.3">
      <c r="A101" s="97" t="s">
        <v>915</v>
      </c>
      <c r="B101" s="124" t="s">
        <v>916</v>
      </c>
      <c r="C101" s="125"/>
      <c r="D101" s="99">
        <f>SUM(D102:D102)</f>
        <v>207.5</v>
      </c>
      <c r="E101" s="99">
        <f>SUM(E102:E102)</f>
        <v>207.5</v>
      </c>
      <c r="F101" s="99">
        <f>SUM(F102:F102)</f>
        <v>207.5</v>
      </c>
      <c r="G101" s="99">
        <f>SUM(G102:G102)</f>
        <v>0</v>
      </c>
      <c r="H101" s="359"/>
      <c r="I101" s="359"/>
      <c r="J101" s="359"/>
      <c r="K101" s="359"/>
      <c r="L101" s="359"/>
      <c r="M101" s="359"/>
    </row>
    <row r="102" spans="1:13" ht="98.4" customHeight="1" x14ac:dyDescent="0.3">
      <c r="A102" s="363" t="s">
        <v>917</v>
      </c>
      <c r="B102" s="361" t="s">
        <v>918</v>
      </c>
      <c r="C102" s="102"/>
      <c r="D102" s="111">
        <f>SUM(D103:D104)</f>
        <v>207.5</v>
      </c>
      <c r="E102" s="111">
        <f>SUM(E103:E104)</f>
        <v>207.5</v>
      </c>
      <c r="F102" s="111">
        <f>SUM(F103:F104)</f>
        <v>207.5</v>
      </c>
      <c r="G102" s="111">
        <f>SUM(G103:G104)</f>
        <v>0</v>
      </c>
      <c r="H102" s="105" t="s">
        <v>919</v>
      </c>
      <c r="I102" s="106" t="s">
        <v>29</v>
      </c>
      <c r="J102" s="106">
        <v>9</v>
      </c>
      <c r="K102" s="117">
        <v>9</v>
      </c>
      <c r="L102" s="197" t="s">
        <v>920</v>
      </c>
      <c r="M102" s="108"/>
    </row>
    <row r="103" spans="1:13" ht="409.6" x14ac:dyDescent="0.3">
      <c r="A103" s="363"/>
      <c r="B103" s="361"/>
      <c r="C103" s="114"/>
      <c r="D103" s="116">
        <v>0</v>
      </c>
      <c r="E103" s="116">
        <v>0</v>
      </c>
      <c r="F103" s="116">
        <v>0</v>
      </c>
      <c r="G103" s="116">
        <v>0</v>
      </c>
      <c r="H103" s="118" t="s">
        <v>921</v>
      </c>
      <c r="I103" s="119" t="s">
        <v>56</v>
      </c>
      <c r="J103" s="119">
        <v>100</v>
      </c>
      <c r="K103" s="128">
        <v>100</v>
      </c>
      <c r="L103" s="178" t="s">
        <v>922</v>
      </c>
      <c r="M103" s="121"/>
    </row>
    <row r="104" spans="1:13" ht="15.6" x14ac:dyDescent="0.3">
      <c r="A104" s="363"/>
      <c r="B104" s="361"/>
      <c r="C104" s="114" t="s">
        <v>27</v>
      </c>
      <c r="D104" s="116">
        <v>207.5</v>
      </c>
      <c r="E104" s="116">
        <v>207.5</v>
      </c>
      <c r="F104" s="116">
        <v>207.5</v>
      </c>
      <c r="G104" s="116">
        <v>0</v>
      </c>
      <c r="H104" s="114"/>
      <c r="I104" s="119"/>
      <c r="J104" s="268"/>
      <c r="K104" s="268"/>
      <c r="L104" s="118"/>
      <c r="M104" s="121"/>
    </row>
    <row r="105" spans="1:13" ht="31.2" x14ac:dyDescent="0.3">
      <c r="A105" s="97" t="s">
        <v>923</v>
      </c>
      <c r="B105" s="124" t="s">
        <v>924</v>
      </c>
      <c r="C105" s="125"/>
      <c r="D105" s="99">
        <f>D106+D108+D110+D116+D118+D120+D121+D125+D127+D131+D135+D141+D147</f>
        <v>5966.1999999999989</v>
      </c>
      <c r="E105" s="99">
        <f>E106+E108+E110+E116+E118+E120+E121+E125+E127+E131+E135+E141+E147-0.1</f>
        <v>5991.7</v>
      </c>
      <c r="F105" s="99">
        <f>F106+F108+F110+F116+F118+F120+F121+F125+F127+F131+F135+F141+F147-0.1</f>
        <v>4527.0999999999995</v>
      </c>
      <c r="G105" s="99">
        <f>G106+G108+G110+G116+G118+G120+G121+G125+G127+G131+G135+G141+G147</f>
        <v>1464.6000000000001</v>
      </c>
      <c r="H105" s="359"/>
      <c r="I105" s="359"/>
      <c r="J105" s="359"/>
      <c r="K105" s="359"/>
      <c r="L105" s="359"/>
      <c r="M105" s="359"/>
    </row>
    <row r="106" spans="1:13" ht="109.8" customHeight="1" x14ac:dyDescent="0.3">
      <c r="A106" s="363" t="s">
        <v>925</v>
      </c>
      <c r="B106" s="361" t="s">
        <v>926</v>
      </c>
      <c r="C106" s="102"/>
      <c r="D106" s="111">
        <f>SUM(D107:D107)</f>
        <v>620</v>
      </c>
      <c r="E106" s="111">
        <f>SUM(E107:E107)</f>
        <v>500</v>
      </c>
      <c r="F106" s="111">
        <f>SUM(F107:F107)</f>
        <v>500</v>
      </c>
      <c r="G106" s="111">
        <f>SUM(G107:G107)</f>
        <v>0</v>
      </c>
      <c r="H106" s="361" t="s">
        <v>927</v>
      </c>
      <c r="I106" s="364" t="s">
        <v>56</v>
      </c>
      <c r="J106" s="364">
        <v>100</v>
      </c>
      <c r="K106" s="360">
        <v>100</v>
      </c>
      <c r="L106" s="372" t="s">
        <v>928</v>
      </c>
      <c r="M106" s="444"/>
    </row>
    <row r="107" spans="1:13" ht="31.2" customHeight="1" x14ac:dyDescent="0.3">
      <c r="A107" s="363"/>
      <c r="B107" s="361"/>
      <c r="C107" s="114" t="s">
        <v>201</v>
      </c>
      <c r="D107" s="116">
        <v>620</v>
      </c>
      <c r="E107" s="116">
        <v>500</v>
      </c>
      <c r="F107" s="116">
        <v>500</v>
      </c>
      <c r="G107" s="116">
        <v>0</v>
      </c>
      <c r="H107" s="361"/>
      <c r="I107" s="364"/>
      <c r="J107" s="364"/>
      <c r="K107" s="360"/>
      <c r="L107" s="372"/>
      <c r="M107" s="444"/>
    </row>
    <row r="108" spans="1:13" ht="46.8" customHeight="1" x14ac:dyDescent="0.3">
      <c r="A108" s="441" t="s">
        <v>929</v>
      </c>
      <c r="B108" s="361" t="s">
        <v>930</v>
      </c>
      <c r="C108" s="102"/>
      <c r="D108" s="111">
        <f>SUM(D109:D109)</f>
        <v>200</v>
      </c>
      <c r="E108" s="111">
        <f>SUM(E109:E109)</f>
        <v>249.4</v>
      </c>
      <c r="F108" s="111">
        <f>SUM(F109:F109)</f>
        <v>248.4</v>
      </c>
      <c r="G108" s="111">
        <f>SUM(G109:G109)</f>
        <v>1</v>
      </c>
      <c r="H108" s="361" t="s">
        <v>931</v>
      </c>
      <c r="I108" s="364" t="s">
        <v>56</v>
      </c>
      <c r="J108" s="364">
        <v>100</v>
      </c>
      <c r="K108" s="360">
        <v>99.8</v>
      </c>
      <c r="L108" s="406" t="s">
        <v>932</v>
      </c>
      <c r="M108" s="422"/>
    </row>
    <row r="109" spans="1:13" ht="15.6" x14ac:dyDescent="0.3">
      <c r="A109" s="441"/>
      <c r="B109" s="361"/>
      <c r="C109" s="114" t="s">
        <v>27</v>
      </c>
      <c r="D109" s="116">
        <v>200</v>
      </c>
      <c r="E109" s="116">
        <v>249.4</v>
      </c>
      <c r="F109" s="116">
        <v>248.4</v>
      </c>
      <c r="G109" s="116">
        <v>1</v>
      </c>
      <c r="H109" s="361"/>
      <c r="I109" s="364"/>
      <c r="J109" s="364"/>
      <c r="K109" s="360"/>
      <c r="L109" s="406"/>
      <c r="M109" s="422"/>
    </row>
    <row r="110" spans="1:13" ht="78" customHeight="1" x14ac:dyDescent="0.3">
      <c r="A110" s="363" t="s">
        <v>933</v>
      </c>
      <c r="B110" s="361" t="s">
        <v>934</v>
      </c>
      <c r="C110" s="102"/>
      <c r="D110" s="111">
        <f>SUM(D111:D115)</f>
        <v>585</v>
      </c>
      <c r="E110" s="111">
        <f>SUM(E111:E115)</f>
        <v>585</v>
      </c>
      <c r="F110" s="111">
        <f>SUM(F111:F115)</f>
        <v>310</v>
      </c>
      <c r="G110" s="111">
        <f>SUM(G111:G115)</f>
        <v>275</v>
      </c>
      <c r="H110" s="105" t="s">
        <v>935</v>
      </c>
      <c r="I110" s="106" t="s">
        <v>29</v>
      </c>
      <c r="J110" s="106">
        <v>1</v>
      </c>
      <c r="K110" s="117">
        <v>1</v>
      </c>
      <c r="L110" s="105" t="s">
        <v>936</v>
      </c>
      <c r="M110" s="181"/>
    </row>
    <row r="111" spans="1:13" ht="62.4" x14ac:dyDescent="0.3">
      <c r="A111" s="363"/>
      <c r="B111" s="361"/>
      <c r="C111" s="114"/>
      <c r="D111" s="116">
        <v>0</v>
      </c>
      <c r="E111" s="116">
        <v>0</v>
      </c>
      <c r="F111" s="116">
        <v>0</v>
      </c>
      <c r="G111" s="116">
        <v>0</v>
      </c>
      <c r="H111" s="118" t="s">
        <v>937</v>
      </c>
      <c r="I111" s="119" t="s">
        <v>29</v>
      </c>
      <c r="J111" s="119">
        <v>1</v>
      </c>
      <c r="K111" s="128">
        <v>1</v>
      </c>
      <c r="L111" s="118" t="s">
        <v>938</v>
      </c>
      <c r="M111" s="121"/>
    </row>
    <row r="112" spans="1:13" ht="46.8" customHeight="1" x14ac:dyDescent="0.3">
      <c r="A112" s="363"/>
      <c r="B112" s="361"/>
      <c r="C112" s="114"/>
      <c r="D112" s="116">
        <v>0</v>
      </c>
      <c r="E112" s="116">
        <v>0</v>
      </c>
      <c r="F112" s="116">
        <v>0</v>
      </c>
      <c r="G112" s="116">
        <v>0</v>
      </c>
      <c r="H112" s="367" t="s">
        <v>939</v>
      </c>
      <c r="I112" s="373" t="s">
        <v>56</v>
      </c>
      <c r="J112" s="373">
        <v>100</v>
      </c>
      <c r="K112" s="374">
        <v>100</v>
      </c>
      <c r="L112" s="403" t="s">
        <v>940</v>
      </c>
      <c r="M112" s="429"/>
    </row>
    <row r="113" spans="1:13" ht="15.6" x14ac:dyDescent="0.3">
      <c r="A113" s="363"/>
      <c r="B113" s="361"/>
      <c r="C113" s="114" t="s">
        <v>534</v>
      </c>
      <c r="D113" s="116">
        <v>275</v>
      </c>
      <c r="E113" s="116">
        <v>275</v>
      </c>
      <c r="F113" s="116">
        <v>0</v>
      </c>
      <c r="G113" s="116">
        <v>275</v>
      </c>
      <c r="H113" s="367"/>
      <c r="I113" s="373"/>
      <c r="J113" s="373"/>
      <c r="K113" s="374"/>
      <c r="L113" s="403"/>
      <c r="M113" s="429"/>
    </row>
    <row r="114" spans="1:13" ht="15.6" x14ac:dyDescent="0.3">
      <c r="A114" s="363"/>
      <c r="B114" s="361"/>
      <c r="C114" s="114" t="s">
        <v>36</v>
      </c>
      <c r="D114" s="116">
        <v>10</v>
      </c>
      <c r="E114" s="116">
        <v>10</v>
      </c>
      <c r="F114" s="116">
        <v>10</v>
      </c>
      <c r="G114" s="116">
        <v>0</v>
      </c>
      <c r="H114" s="367"/>
      <c r="I114" s="373"/>
      <c r="J114" s="373"/>
      <c r="K114" s="374"/>
      <c r="L114" s="403"/>
      <c r="M114" s="429"/>
    </row>
    <row r="115" spans="1:13" ht="15.6" x14ac:dyDescent="0.3">
      <c r="A115" s="363"/>
      <c r="B115" s="361"/>
      <c r="C115" s="114" t="s">
        <v>27</v>
      </c>
      <c r="D115" s="116">
        <v>300</v>
      </c>
      <c r="E115" s="116">
        <v>300</v>
      </c>
      <c r="F115" s="116">
        <v>300</v>
      </c>
      <c r="G115" s="116">
        <v>0</v>
      </c>
      <c r="H115" s="367"/>
      <c r="I115" s="373"/>
      <c r="J115" s="373"/>
      <c r="K115" s="374"/>
      <c r="L115" s="403"/>
      <c r="M115" s="429"/>
    </row>
    <row r="116" spans="1:13" ht="62.4" customHeight="1" x14ac:dyDescent="0.3">
      <c r="A116" s="363" t="s">
        <v>941</v>
      </c>
      <c r="B116" s="361" t="s">
        <v>942</v>
      </c>
      <c r="C116" s="102"/>
      <c r="D116" s="111">
        <f>SUM(D117:D117)</f>
        <v>50</v>
      </c>
      <c r="E116" s="111">
        <f>SUM(E117:E117)</f>
        <v>50</v>
      </c>
      <c r="F116" s="111">
        <f>SUM(F117:F117)</f>
        <v>50</v>
      </c>
      <c r="G116" s="111">
        <f>SUM(G117:G117)</f>
        <v>0</v>
      </c>
      <c r="H116" s="361" t="s">
        <v>943</v>
      </c>
      <c r="I116" s="396" t="s">
        <v>56</v>
      </c>
      <c r="J116" s="364">
        <v>100</v>
      </c>
      <c r="K116" s="449">
        <v>100</v>
      </c>
      <c r="L116" s="372" t="s">
        <v>944</v>
      </c>
      <c r="M116" s="362" t="s">
        <v>945</v>
      </c>
    </row>
    <row r="117" spans="1:13" ht="15.6" x14ac:dyDescent="0.3">
      <c r="A117" s="363"/>
      <c r="B117" s="361"/>
      <c r="C117" s="114" t="s">
        <v>201</v>
      </c>
      <c r="D117" s="116">
        <v>50</v>
      </c>
      <c r="E117" s="116">
        <v>50</v>
      </c>
      <c r="F117" s="116">
        <v>50</v>
      </c>
      <c r="G117" s="116">
        <v>0</v>
      </c>
      <c r="H117" s="361"/>
      <c r="I117" s="396"/>
      <c r="J117" s="364"/>
      <c r="K117" s="449"/>
      <c r="L117" s="372"/>
      <c r="M117" s="362"/>
    </row>
    <row r="118" spans="1:13" ht="143.4" customHeight="1" x14ac:dyDescent="0.3">
      <c r="A118" s="441" t="s">
        <v>946</v>
      </c>
      <c r="B118" s="361" t="s">
        <v>947</v>
      </c>
      <c r="C118" s="102"/>
      <c r="D118" s="111">
        <f>SUM(D119:D119)</f>
        <v>91</v>
      </c>
      <c r="E118" s="111">
        <f>SUM(E119:E119)</f>
        <v>91</v>
      </c>
      <c r="F118" s="111">
        <f>SUM(F119:F119)</f>
        <v>87.7</v>
      </c>
      <c r="G118" s="111">
        <f>SUM(G119:G119)</f>
        <v>3.3</v>
      </c>
      <c r="H118" s="361" t="s">
        <v>948</v>
      </c>
      <c r="I118" s="364" t="s">
        <v>29</v>
      </c>
      <c r="J118" s="364">
        <v>2</v>
      </c>
      <c r="K118" s="360">
        <v>2</v>
      </c>
      <c r="L118" s="372" t="s">
        <v>949</v>
      </c>
      <c r="M118" s="422"/>
    </row>
    <row r="119" spans="1:13" ht="37.799999999999997" customHeight="1" x14ac:dyDescent="0.3">
      <c r="A119" s="441"/>
      <c r="B119" s="361"/>
      <c r="C119" s="114" t="s">
        <v>27</v>
      </c>
      <c r="D119" s="116">
        <v>91</v>
      </c>
      <c r="E119" s="116">
        <v>91</v>
      </c>
      <c r="F119" s="116">
        <v>87.7</v>
      </c>
      <c r="G119" s="116">
        <v>3.3</v>
      </c>
      <c r="H119" s="361"/>
      <c r="I119" s="364"/>
      <c r="J119" s="364"/>
      <c r="K119" s="360"/>
      <c r="L119" s="372"/>
      <c r="M119" s="422"/>
    </row>
    <row r="120" spans="1:13" ht="99" customHeight="1" x14ac:dyDescent="0.3">
      <c r="A120" s="100" t="s">
        <v>950</v>
      </c>
      <c r="B120" s="101" t="s">
        <v>951</v>
      </c>
      <c r="C120" s="102" t="s">
        <v>27</v>
      </c>
      <c r="D120" s="104">
        <v>98.6</v>
      </c>
      <c r="E120" s="104">
        <v>76.7</v>
      </c>
      <c r="F120" s="104">
        <v>76.7</v>
      </c>
      <c r="G120" s="104">
        <v>0</v>
      </c>
      <c r="H120" s="105" t="s">
        <v>952</v>
      </c>
      <c r="I120" s="106" t="s">
        <v>29</v>
      </c>
      <c r="J120" s="106">
        <v>4</v>
      </c>
      <c r="K120" s="117">
        <v>4</v>
      </c>
      <c r="L120" s="197" t="s">
        <v>953</v>
      </c>
      <c r="M120" s="108"/>
    </row>
    <row r="121" spans="1:13" ht="140.4" customHeight="1" x14ac:dyDescent="0.3">
      <c r="A121" s="363" t="s">
        <v>954</v>
      </c>
      <c r="B121" s="361" t="s">
        <v>955</v>
      </c>
      <c r="C121" s="102"/>
      <c r="D121" s="111">
        <f>SUM(D122:D124)</f>
        <v>606</v>
      </c>
      <c r="E121" s="111">
        <f>SUM(E122:E124)</f>
        <v>649</v>
      </c>
      <c r="F121" s="111">
        <f>SUM(F122:F124)</f>
        <v>534.9</v>
      </c>
      <c r="G121" s="111">
        <f>SUM(G122:G124)</f>
        <v>114.1</v>
      </c>
      <c r="H121" s="105" t="s">
        <v>956</v>
      </c>
      <c r="I121" s="106" t="s">
        <v>29</v>
      </c>
      <c r="J121" s="106">
        <v>1</v>
      </c>
      <c r="K121" s="117">
        <v>1</v>
      </c>
      <c r="L121" s="105" t="s">
        <v>957</v>
      </c>
      <c r="M121" s="108"/>
    </row>
    <row r="122" spans="1:13" ht="46.8" x14ac:dyDescent="0.3">
      <c r="A122" s="363"/>
      <c r="B122" s="361"/>
      <c r="C122" s="114"/>
      <c r="D122" s="116">
        <v>0</v>
      </c>
      <c r="E122" s="116">
        <v>0</v>
      </c>
      <c r="F122" s="116">
        <v>0</v>
      </c>
      <c r="G122" s="116">
        <v>0</v>
      </c>
      <c r="H122" s="118" t="s">
        <v>958</v>
      </c>
      <c r="I122" s="119" t="s">
        <v>29</v>
      </c>
      <c r="J122" s="119">
        <v>3</v>
      </c>
      <c r="K122" s="128">
        <v>3</v>
      </c>
      <c r="L122" s="178" t="s">
        <v>959</v>
      </c>
      <c r="M122" s="121"/>
    </row>
    <row r="123" spans="1:13" ht="46.8" customHeight="1" x14ac:dyDescent="0.3">
      <c r="A123" s="363"/>
      <c r="B123" s="361"/>
      <c r="C123" s="114"/>
      <c r="D123" s="116">
        <v>0</v>
      </c>
      <c r="E123" s="116">
        <v>0</v>
      </c>
      <c r="F123" s="116">
        <v>0</v>
      </c>
      <c r="G123" s="116">
        <v>0</v>
      </c>
      <c r="H123" s="367" t="s">
        <v>593</v>
      </c>
      <c r="I123" s="373" t="s">
        <v>29</v>
      </c>
      <c r="J123" s="373">
        <v>1</v>
      </c>
      <c r="K123" s="374">
        <v>1</v>
      </c>
      <c r="L123" s="403" t="s">
        <v>960</v>
      </c>
      <c r="M123" s="395"/>
    </row>
    <row r="124" spans="1:13" ht="24" customHeight="1" x14ac:dyDescent="0.3">
      <c r="A124" s="363"/>
      <c r="B124" s="361"/>
      <c r="C124" s="114" t="s">
        <v>27</v>
      </c>
      <c r="D124" s="116">
        <v>606</v>
      </c>
      <c r="E124" s="116">
        <v>649</v>
      </c>
      <c r="F124" s="116">
        <v>534.9</v>
      </c>
      <c r="G124" s="116">
        <v>114.1</v>
      </c>
      <c r="H124" s="367"/>
      <c r="I124" s="373"/>
      <c r="J124" s="373"/>
      <c r="K124" s="374"/>
      <c r="L124" s="403"/>
      <c r="M124" s="395"/>
    </row>
    <row r="125" spans="1:13" ht="140.4" customHeight="1" x14ac:dyDescent="0.3">
      <c r="A125" s="441" t="s">
        <v>961</v>
      </c>
      <c r="B125" s="361" t="s">
        <v>962</v>
      </c>
      <c r="C125" s="102"/>
      <c r="D125" s="111">
        <f>SUM(D126:D126)</f>
        <v>450</v>
      </c>
      <c r="E125" s="111">
        <f>SUM(E126:E126)</f>
        <v>450</v>
      </c>
      <c r="F125" s="111">
        <f>SUM(F126:F126)</f>
        <v>391.1</v>
      </c>
      <c r="G125" s="111">
        <f>SUM(G126:G126)</f>
        <v>58.9</v>
      </c>
      <c r="H125" s="361" t="s">
        <v>927</v>
      </c>
      <c r="I125" s="364" t="s">
        <v>56</v>
      </c>
      <c r="J125" s="364">
        <v>100</v>
      </c>
      <c r="K125" s="360">
        <v>100</v>
      </c>
      <c r="L125" s="372" t="s">
        <v>963</v>
      </c>
      <c r="M125" s="444"/>
    </row>
    <row r="126" spans="1:13" ht="15.6" x14ac:dyDescent="0.3">
      <c r="A126" s="441"/>
      <c r="B126" s="361"/>
      <c r="C126" s="114" t="s">
        <v>415</v>
      </c>
      <c r="D126" s="116">
        <v>450</v>
      </c>
      <c r="E126" s="116">
        <v>450</v>
      </c>
      <c r="F126" s="116">
        <v>391.1</v>
      </c>
      <c r="G126" s="116">
        <v>58.9</v>
      </c>
      <c r="H126" s="361"/>
      <c r="I126" s="364"/>
      <c r="J126" s="364"/>
      <c r="K126" s="360"/>
      <c r="L126" s="372"/>
      <c r="M126" s="444"/>
    </row>
    <row r="127" spans="1:13" ht="46.8" customHeight="1" x14ac:dyDescent="0.3">
      <c r="A127" s="441" t="s">
        <v>964</v>
      </c>
      <c r="B127" s="361" t="s">
        <v>965</v>
      </c>
      <c r="C127" s="102"/>
      <c r="D127" s="111">
        <f>SUM(D128:D130)-0.1</f>
        <v>9.7000000000000011</v>
      </c>
      <c r="E127" s="111">
        <f>SUM(E128:E130)</f>
        <v>52</v>
      </c>
      <c r="F127" s="111">
        <f>SUM(F128:F130)</f>
        <v>33.200000000000003</v>
      </c>
      <c r="G127" s="111">
        <f>SUM(G128:G130)</f>
        <v>18.8</v>
      </c>
      <c r="H127" s="105" t="s">
        <v>966</v>
      </c>
      <c r="I127" s="106" t="s">
        <v>29</v>
      </c>
      <c r="J127" s="106">
        <v>1</v>
      </c>
      <c r="K127" s="107">
        <v>0.9</v>
      </c>
      <c r="L127" s="105" t="s">
        <v>967</v>
      </c>
      <c r="M127" s="108" t="s">
        <v>968</v>
      </c>
    </row>
    <row r="128" spans="1:13" ht="15.6" customHeight="1" x14ac:dyDescent="0.3">
      <c r="A128" s="441"/>
      <c r="B128" s="361"/>
      <c r="C128" s="114"/>
      <c r="D128" s="116">
        <v>0</v>
      </c>
      <c r="E128" s="116">
        <v>0</v>
      </c>
      <c r="F128" s="116">
        <v>0</v>
      </c>
      <c r="G128" s="116">
        <v>0</v>
      </c>
      <c r="H128" s="423" t="s">
        <v>969</v>
      </c>
      <c r="I128" s="373" t="s">
        <v>29</v>
      </c>
      <c r="J128" s="373">
        <v>1</v>
      </c>
      <c r="K128" s="374">
        <v>1</v>
      </c>
      <c r="L128" s="423" t="s">
        <v>970</v>
      </c>
      <c r="M128" s="395"/>
    </row>
    <row r="129" spans="1:13" ht="15.6" x14ac:dyDescent="0.3">
      <c r="A129" s="441"/>
      <c r="B129" s="361"/>
      <c r="C129" s="114" t="s">
        <v>875</v>
      </c>
      <c r="D129" s="116">
        <v>8.3000000000000007</v>
      </c>
      <c r="E129" s="116">
        <v>50.5</v>
      </c>
      <c r="F129" s="116">
        <v>31.7</v>
      </c>
      <c r="G129" s="116">
        <v>18.8</v>
      </c>
      <c r="H129" s="423"/>
      <c r="I129" s="373"/>
      <c r="J129" s="373"/>
      <c r="K129" s="374"/>
      <c r="L129" s="423"/>
      <c r="M129" s="395"/>
    </row>
    <row r="130" spans="1:13" ht="15.6" x14ac:dyDescent="0.3">
      <c r="A130" s="441"/>
      <c r="B130" s="361"/>
      <c r="C130" s="114" t="s">
        <v>689</v>
      </c>
      <c r="D130" s="116">
        <v>1.5</v>
      </c>
      <c r="E130" s="116">
        <v>1.5</v>
      </c>
      <c r="F130" s="116">
        <v>1.5</v>
      </c>
      <c r="G130" s="116">
        <v>0</v>
      </c>
      <c r="H130" s="423"/>
      <c r="I130" s="373"/>
      <c r="J130" s="373"/>
      <c r="K130" s="374"/>
      <c r="L130" s="423"/>
      <c r="M130" s="395"/>
    </row>
    <row r="131" spans="1:13" ht="233.4" customHeight="1" x14ac:dyDescent="0.3">
      <c r="A131" s="441" t="s">
        <v>971</v>
      </c>
      <c r="B131" s="361" t="s">
        <v>972</v>
      </c>
      <c r="C131" s="102"/>
      <c r="D131" s="111">
        <f>SUM(D132:D134)</f>
        <v>1424</v>
      </c>
      <c r="E131" s="111">
        <f>SUM(E132:E134)</f>
        <v>1424</v>
      </c>
      <c r="F131" s="111">
        <f>SUM(F132:F134)+0.1</f>
        <v>932.6</v>
      </c>
      <c r="G131" s="111">
        <f>SUM(G132:G134)-0.1</f>
        <v>491.4</v>
      </c>
      <c r="H131" s="361" t="s">
        <v>973</v>
      </c>
      <c r="I131" s="364" t="s">
        <v>29</v>
      </c>
      <c r="J131" s="364">
        <v>2</v>
      </c>
      <c r="K131" s="360">
        <v>2</v>
      </c>
      <c r="L131" s="361" t="s">
        <v>974</v>
      </c>
      <c r="M131" s="362" t="s">
        <v>975</v>
      </c>
    </row>
    <row r="132" spans="1:13" ht="15.6" x14ac:dyDescent="0.3">
      <c r="A132" s="441"/>
      <c r="B132" s="361"/>
      <c r="C132" s="114" t="s">
        <v>200</v>
      </c>
      <c r="D132" s="116">
        <v>1020</v>
      </c>
      <c r="E132" s="116">
        <v>1020</v>
      </c>
      <c r="F132" s="116">
        <v>699.3</v>
      </c>
      <c r="G132" s="116">
        <v>320.7</v>
      </c>
      <c r="H132" s="361"/>
      <c r="I132" s="364"/>
      <c r="J132" s="364"/>
      <c r="K132" s="360"/>
      <c r="L132" s="361"/>
      <c r="M132" s="362"/>
    </row>
    <row r="133" spans="1:13" ht="15.6" x14ac:dyDescent="0.3">
      <c r="A133" s="441"/>
      <c r="B133" s="361"/>
      <c r="C133" s="114" t="s">
        <v>242</v>
      </c>
      <c r="D133" s="116">
        <v>99</v>
      </c>
      <c r="E133" s="116">
        <v>99</v>
      </c>
      <c r="F133" s="116">
        <v>61.7</v>
      </c>
      <c r="G133" s="116">
        <v>37.299999999999997</v>
      </c>
      <c r="H133" s="361"/>
      <c r="I133" s="364"/>
      <c r="J133" s="364"/>
      <c r="K133" s="360"/>
      <c r="L133" s="361"/>
      <c r="M133" s="362"/>
    </row>
    <row r="134" spans="1:13" ht="15.6" x14ac:dyDescent="0.3">
      <c r="A134" s="441"/>
      <c r="B134" s="361"/>
      <c r="C134" s="114" t="s">
        <v>36</v>
      </c>
      <c r="D134" s="116">
        <v>305</v>
      </c>
      <c r="E134" s="116">
        <v>305</v>
      </c>
      <c r="F134" s="116">
        <v>171.5</v>
      </c>
      <c r="G134" s="116">
        <v>133.5</v>
      </c>
      <c r="H134" s="361"/>
      <c r="I134" s="364"/>
      <c r="J134" s="364"/>
      <c r="K134" s="360"/>
      <c r="L134" s="361"/>
      <c r="M134" s="362"/>
    </row>
    <row r="135" spans="1:13" ht="62.4" customHeight="1" x14ac:dyDescent="0.3">
      <c r="A135" s="441" t="s">
        <v>976</v>
      </c>
      <c r="B135" s="361" t="s">
        <v>977</v>
      </c>
      <c r="C135" s="102"/>
      <c r="D135" s="111">
        <f>SUM(D136:D140)</f>
        <v>454.2</v>
      </c>
      <c r="E135" s="111">
        <f>SUM(E136:E140)</f>
        <v>454.2</v>
      </c>
      <c r="F135" s="111">
        <f>SUM(F136:F140)</f>
        <v>0</v>
      </c>
      <c r="G135" s="111">
        <f>SUM(G136:G140)</f>
        <v>454.2</v>
      </c>
      <c r="H135" s="105" t="s">
        <v>593</v>
      </c>
      <c r="I135" s="106" t="s">
        <v>29</v>
      </c>
      <c r="J135" s="106">
        <v>1</v>
      </c>
      <c r="K135" s="230">
        <v>1</v>
      </c>
      <c r="L135" s="203" t="s">
        <v>978</v>
      </c>
      <c r="M135" s="108"/>
    </row>
    <row r="136" spans="1:13" ht="62.4" x14ac:dyDescent="0.3">
      <c r="A136" s="441"/>
      <c r="B136" s="361"/>
      <c r="C136" s="114"/>
      <c r="D136" s="116">
        <v>0</v>
      </c>
      <c r="E136" s="116">
        <v>0</v>
      </c>
      <c r="F136" s="116">
        <v>0</v>
      </c>
      <c r="G136" s="116">
        <v>0</v>
      </c>
      <c r="H136" s="118" t="s">
        <v>979</v>
      </c>
      <c r="I136" s="119" t="s">
        <v>56</v>
      </c>
      <c r="J136" s="119">
        <v>100</v>
      </c>
      <c r="K136" s="217">
        <v>0</v>
      </c>
      <c r="L136" s="118" t="s">
        <v>980</v>
      </c>
      <c r="M136" s="121" t="s">
        <v>981</v>
      </c>
    </row>
    <row r="137" spans="1:13" ht="62.4" customHeight="1" x14ac:dyDescent="0.3">
      <c r="A137" s="441"/>
      <c r="B137" s="361"/>
      <c r="C137" s="114"/>
      <c r="D137" s="116">
        <v>0</v>
      </c>
      <c r="E137" s="116">
        <v>0</v>
      </c>
      <c r="F137" s="116">
        <v>0</v>
      </c>
      <c r="G137" s="116">
        <v>0</v>
      </c>
      <c r="H137" s="367" t="s">
        <v>973</v>
      </c>
      <c r="I137" s="373" t="s">
        <v>29</v>
      </c>
      <c r="J137" s="373">
        <v>1</v>
      </c>
      <c r="K137" s="377">
        <v>0</v>
      </c>
      <c r="L137" s="367" t="s">
        <v>980</v>
      </c>
      <c r="M137" s="371" t="s">
        <v>981</v>
      </c>
    </row>
    <row r="138" spans="1:13" ht="15.6" x14ac:dyDescent="0.3">
      <c r="A138" s="441"/>
      <c r="B138" s="361"/>
      <c r="C138" s="114" t="s">
        <v>242</v>
      </c>
      <c r="D138" s="116">
        <v>17.600000000000001</v>
      </c>
      <c r="E138" s="116">
        <v>17.600000000000001</v>
      </c>
      <c r="F138" s="116">
        <v>0</v>
      </c>
      <c r="G138" s="116">
        <v>17.600000000000001</v>
      </c>
      <c r="H138" s="367"/>
      <c r="I138" s="373"/>
      <c r="J138" s="373"/>
      <c r="K138" s="377"/>
      <c r="L138" s="367"/>
      <c r="M138" s="371"/>
    </row>
    <row r="139" spans="1:13" ht="15.6" x14ac:dyDescent="0.3">
      <c r="A139" s="441"/>
      <c r="B139" s="361"/>
      <c r="C139" s="114" t="s">
        <v>27</v>
      </c>
      <c r="D139" s="116">
        <v>236.6</v>
      </c>
      <c r="E139" s="116">
        <v>236.6</v>
      </c>
      <c r="F139" s="116">
        <v>0</v>
      </c>
      <c r="G139" s="116">
        <v>236.6</v>
      </c>
      <c r="H139" s="367"/>
      <c r="I139" s="373"/>
      <c r="J139" s="373"/>
      <c r="K139" s="377"/>
      <c r="L139" s="367"/>
      <c r="M139" s="371"/>
    </row>
    <row r="140" spans="1:13" ht="15.6" x14ac:dyDescent="0.3">
      <c r="A140" s="441"/>
      <c r="B140" s="361"/>
      <c r="C140" s="114" t="s">
        <v>200</v>
      </c>
      <c r="D140" s="116">
        <v>200</v>
      </c>
      <c r="E140" s="116">
        <v>200</v>
      </c>
      <c r="F140" s="116">
        <v>0</v>
      </c>
      <c r="G140" s="116">
        <v>200</v>
      </c>
      <c r="H140" s="367"/>
      <c r="I140" s="373"/>
      <c r="J140" s="373"/>
      <c r="K140" s="377"/>
      <c r="L140" s="367"/>
      <c r="M140" s="371"/>
    </row>
    <row r="141" spans="1:13" ht="34.799999999999997" customHeight="1" x14ac:dyDescent="0.3">
      <c r="A141" s="363" t="s">
        <v>982</v>
      </c>
      <c r="B141" s="361" t="s">
        <v>983</v>
      </c>
      <c r="C141" s="102"/>
      <c r="D141" s="111">
        <f>SUM(D142:D146)</f>
        <v>1377.7</v>
      </c>
      <c r="E141" s="111">
        <f>SUM(E142:E146)</f>
        <v>1377.7</v>
      </c>
      <c r="F141" s="111">
        <f>SUM(F142:F146)</f>
        <v>1329.8000000000002</v>
      </c>
      <c r="G141" s="111">
        <f>SUM(G142:G146)</f>
        <v>47.9</v>
      </c>
      <c r="H141" s="105" t="s">
        <v>593</v>
      </c>
      <c r="I141" s="106" t="s">
        <v>29</v>
      </c>
      <c r="J141" s="106">
        <v>1</v>
      </c>
      <c r="K141" s="117">
        <v>1</v>
      </c>
      <c r="L141" s="197" t="s">
        <v>984</v>
      </c>
      <c r="M141" s="108"/>
    </row>
    <row r="142" spans="1:13" ht="78" x14ac:dyDescent="0.3">
      <c r="A142" s="363"/>
      <c r="B142" s="361"/>
      <c r="C142" s="114"/>
      <c r="D142" s="116">
        <v>0</v>
      </c>
      <c r="E142" s="116">
        <v>0</v>
      </c>
      <c r="F142" s="116">
        <v>0</v>
      </c>
      <c r="G142" s="116">
        <v>0</v>
      </c>
      <c r="H142" s="118" t="s">
        <v>985</v>
      </c>
      <c r="I142" s="119" t="s">
        <v>29</v>
      </c>
      <c r="J142" s="119">
        <v>2</v>
      </c>
      <c r="K142" s="128">
        <v>2</v>
      </c>
      <c r="L142" s="118" t="s">
        <v>986</v>
      </c>
      <c r="M142" s="121"/>
    </row>
    <row r="143" spans="1:13" ht="42" customHeight="1" x14ac:dyDescent="0.3">
      <c r="A143" s="363"/>
      <c r="B143" s="361"/>
      <c r="C143" s="114"/>
      <c r="D143" s="116">
        <v>0</v>
      </c>
      <c r="E143" s="116">
        <v>0</v>
      </c>
      <c r="F143" s="116">
        <v>0</v>
      </c>
      <c r="G143" s="116">
        <v>0</v>
      </c>
      <c r="H143" s="367" t="s">
        <v>987</v>
      </c>
      <c r="I143" s="373" t="s">
        <v>29</v>
      </c>
      <c r="J143" s="373">
        <v>2</v>
      </c>
      <c r="K143" s="374">
        <v>2</v>
      </c>
      <c r="L143" s="403" t="s">
        <v>988</v>
      </c>
      <c r="M143" s="395"/>
    </row>
    <row r="144" spans="1:13" ht="15.6" x14ac:dyDescent="0.3">
      <c r="A144" s="363"/>
      <c r="B144" s="361"/>
      <c r="C144" s="114" t="s">
        <v>27</v>
      </c>
      <c r="D144" s="116">
        <v>266</v>
      </c>
      <c r="E144" s="116">
        <v>266</v>
      </c>
      <c r="F144" s="116">
        <v>320.10000000000002</v>
      </c>
      <c r="G144" s="116">
        <v>-54.1</v>
      </c>
      <c r="H144" s="367"/>
      <c r="I144" s="373"/>
      <c r="J144" s="373"/>
      <c r="K144" s="374"/>
      <c r="L144" s="403"/>
      <c r="M144" s="395"/>
    </row>
    <row r="145" spans="1:13" ht="15.6" x14ac:dyDescent="0.3">
      <c r="A145" s="363"/>
      <c r="B145" s="361"/>
      <c r="C145" s="114" t="s">
        <v>200</v>
      </c>
      <c r="D145" s="116">
        <v>956.8</v>
      </c>
      <c r="E145" s="116">
        <v>956.8</v>
      </c>
      <c r="F145" s="116">
        <v>854.8</v>
      </c>
      <c r="G145" s="116">
        <v>102</v>
      </c>
      <c r="H145" s="367"/>
      <c r="I145" s="373"/>
      <c r="J145" s="373"/>
      <c r="K145" s="374"/>
      <c r="L145" s="403"/>
      <c r="M145" s="395"/>
    </row>
    <row r="146" spans="1:13" ht="15.6" x14ac:dyDescent="0.3">
      <c r="A146" s="363"/>
      <c r="B146" s="361"/>
      <c r="C146" s="114" t="s">
        <v>36</v>
      </c>
      <c r="D146" s="116">
        <v>154.9</v>
      </c>
      <c r="E146" s="116">
        <v>154.9</v>
      </c>
      <c r="F146" s="116">
        <v>154.9</v>
      </c>
      <c r="G146" s="116">
        <v>0</v>
      </c>
      <c r="H146" s="367"/>
      <c r="I146" s="373"/>
      <c r="J146" s="373"/>
      <c r="K146" s="374"/>
      <c r="L146" s="403"/>
      <c r="M146" s="395"/>
    </row>
    <row r="147" spans="1:13" ht="111.6" customHeight="1" x14ac:dyDescent="0.3">
      <c r="A147" s="363" t="s">
        <v>989</v>
      </c>
      <c r="B147" s="361" t="s">
        <v>990</v>
      </c>
      <c r="C147" s="102"/>
      <c r="D147" s="111">
        <f>SUM(D148:D149)</f>
        <v>0</v>
      </c>
      <c r="E147" s="111">
        <f>SUM(E148:E149)</f>
        <v>32.799999999999997</v>
      </c>
      <c r="F147" s="111">
        <f>SUM(F148:F149)</f>
        <v>32.799999999999997</v>
      </c>
      <c r="G147" s="111">
        <f>SUM(G148:G149)</f>
        <v>0</v>
      </c>
      <c r="H147" s="361" t="s">
        <v>991</v>
      </c>
      <c r="I147" s="364" t="s">
        <v>56</v>
      </c>
      <c r="J147" s="364">
        <v>100</v>
      </c>
      <c r="K147" s="360">
        <v>100</v>
      </c>
      <c r="L147" s="372" t="s">
        <v>992</v>
      </c>
      <c r="M147" s="444"/>
    </row>
    <row r="148" spans="1:13" ht="15.6" x14ac:dyDescent="0.3">
      <c r="A148" s="363"/>
      <c r="B148" s="361"/>
      <c r="C148" s="114" t="s">
        <v>242</v>
      </c>
      <c r="D148" s="116">
        <v>0</v>
      </c>
      <c r="E148" s="116">
        <v>16.399999999999999</v>
      </c>
      <c r="F148" s="116">
        <v>16.399999999999999</v>
      </c>
      <c r="G148" s="116">
        <v>0</v>
      </c>
      <c r="H148" s="361"/>
      <c r="I148" s="364"/>
      <c r="J148" s="364"/>
      <c r="K148" s="360"/>
      <c r="L148" s="372"/>
      <c r="M148" s="444"/>
    </row>
    <row r="149" spans="1:13" ht="15.6" x14ac:dyDescent="0.3">
      <c r="A149" s="363"/>
      <c r="B149" s="361"/>
      <c r="C149" s="133" t="s">
        <v>27</v>
      </c>
      <c r="D149" s="143">
        <v>0</v>
      </c>
      <c r="E149" s="143">
        <v>16.399999999999999</v>
      </c>
      <c r="F149" s="143">
        <v>16.399999999999999</v>
      </c>
      <c r="G149" s="143">
        <v>0</v>
      </c>
      <c r="H149" s="361"/>
      <c r="I149" s="364"/>
      <c r="J149" s="364"/>
      <c r="K149" s="360"/>
      <c r="L149" s="372"/>
      <c r="M149" s="444"/>
    </row>
    <row r="150" spans="1:13" x14ac:dyDescent="0.3">
      <c r="A150" s="205"/>
      <c r="B150" s="205"/>
      <c r="C150" s="206"/>
      <c r="D150" s="207"/>
      <c r="E150" s="207"/>
      <c r="F150" s="207"/>
      <c r="G150" s="207"/>
      <c r="H150" s="206"/>
      <c r="I150" s="208"/>
      <c r="J150" s="209"/>
      <c r="K150" s="209"/>
      <c r="L150" s="206"/>
      <c r="M150" s="206"/>
    </row>
    <row r="151" spans="1:13" x14ac:dyDescent="0.3">
      <c r="A151" s="205"/>
      <c r="B151" s="205"/>
      <c r="C151" s="206"/>
      <c r="D151" s="207"/>
      <c r="E151" s="207"/>
      <c r="F151" s="207"/>
      <c r="G151" s="207"/>
      <c r="H151" s="206"/>
      <c r="I151" s="208"/>
      <c r="J151" s="209"/>
      <c r="K151" s="209"/>
      <c r="L151" s="206"/>
      <c r="M151" s="206"/>
    </row>
    <row r="152" spans="1:13" ht="63" customHeight="1" x14ac:dyDescent="0.3">
      <c r="A152" s="150" t="s">
        <v>5</v>
      </c>
      <c r="B152" s="150" t="s">
        <v>101</v>
      </c>
      <c r="C152" s="150" t="s">
        <v>222</v>
      </c>
      <c r="D152" s="150" t="s">
        <v>223</v>
      </c>
      <c r="E152" s="150" t="s">
        <v>104</v>
      </c>
      <c r="F152" s="150" t="s">
        <v>669</v>
      </c>
      <c r="K152" s="258"/>
      <c r="L152" s="214" t="s">
        <v>101</v>
      </c>
      <c r="M152" s="214" t="s">
        <v>105</v>
      </c>
    </row>
    <row r="153" spans="1:13" ht="31.2" x14ac:dyDescent="0.3">
      <c r="A153" s="154" t="s">
        <v>106</v>
      </c>
      <c r="B153" s="123" t="s">
        <v>107</v>
      </c>
      <c r="C153" s="155">
        <f>SUM(C154:C161)</f>
        <v>63350.2</v>
      </c>
      <c r="D153" s="155">
        <f>SUM(D154:D161)</f>
        <v>65065.4</v>
      </c>
      <c r="E153" s="155">
        <f>SUM(E154:E161)</f>
        <v>63025.7</v>
      </c>
      <c r="F153" s="155">
        <f>SUM(F154:F161)</f>
        <v>2039.5999999999997</v>
      </c>
      <c r="K153" s="220"/>
      <c r="L153" s="261" t="s">
        <v>108</v>
      </c>
      <c r="M153" s="262">
        <v>22</v>
      </c>
    </row>
    <row r="154" spans="1:13" ht="27" x14ac:dyDescent="0.3">
      <c r="A154" s="154" t="s">
        <v>27</v>
      </c>
      <c r="B154" s="123" t="s">
        <v>109</v>
      </c>
      <c r="C154" s="116">
        <v>23062.1</v>
      </c>
      <c r="D154" s="116">
        <v>23760</v>
      </c>
      <c r="E154" s="116">
        <v>23231</v>
      </c>
      <c r="F154" s="116">
        <v>529</v>
      </c>
      <c r="K154" s="221"/>
      <c r="L154" s="261" t="s">
        <v>110</v>
      </c>
      <c r="M154" s="262">
        <v>8</v>
      </c>
    </row>
    <row r="155" spans="1:13" ht="27" x14ac:dyDescent="0.3">
      <c r="A155" s="154" t="s">
        <v>415</v>
      </c>
      <c r="B155" s="123" t="s">
        <v>514</v>
      </c>
      <c r="C155" s="116">
        <v>450</v>
      </c>
      <c r="D155" s="116">
        <v>450</v>
      </c>
      <c r="E155" s="116">
        <v>391.1</v>
      </c>
      <c r="F155" s="116">
        <v>58.9</v>
      </c>
      <c r="K155" s="222"/>
      <c r="L155" s="261" t="s">
        <v>112</v>
      </c>
      <c r="M155" s="262"/>
    </row>
    <row r="156" spans="1:13" ht="15.6" x14ac:dyDescent="0.3">
      <c r="A156" s="154" t="s">
        <v>846</v>
      </c>
      <c r="B156" s="123" t="s">
        <v>993</v>
      </c>
      <c r="C156" s="116">
        <v>28033.5</v>
      </c>
      <c r="D156" s="116">
        <v>28647.3</v>
      </c>
      <c r="E156" s="116">
        <v>28631</v>
      </c>
      <c r="F156" s="116">
        <v>16.3</v>
      </c>
      <c r="K156" s="212"/>
      <c r="L156" s="213" t="s">
        <v>114</v>
      </c>
      <c r="M156" s="214">
        <v>30</v>
      </c>
    </row>
    <row r="157" spans="1:13" ht="15.6" x14ac:dyDescent="0.3">
      <c r="A157" s="154" t="s">
        <v>242</v>
      </c>
      <c r="B157" s="123" t="s">
        <v>375</v>
      </c>
      <c r="C157" s="116">
        <v>4059.6</v>
      </c>
      <c r="D157" s="116">
        <v>4211.7</v>
      </c>
      <c r="E157" s="116">
        <v>4156.8</v>
      </c>
      <c r="F157" s="116">
        <v>54.9</v>
      </c>
    </row>
    <row r="158" spans="1:13" ht="31.2" x14ac:dyDescent="0.3">
      <c r="A158" s="154" t="s">
        <v>201</v>
      </c>
      <c r="B158" s="123" t="s">
        <v>224</v>
      </c>
      <c r="C158" s="116">
        <v>670</v>
      </c>
      <c r="D158" s="116">
        <v>550</v>
      </c>
      <c r="E158" s="116">
        <v>550</v>
      </c>
      <c r="F158" s="116">
        <v>0</v>
      </c>
    </row>
    <row r="159" spans="1:13" ht="15.6" x14ac:dyDescent="0.3">
      <c r="A159" s="154" t="s">
        <v>200</v>
      </c>
      <c r="B159" s="123" t="s">
        <v>225</v>
      </c>
      <c r="C159" s="116">
        <v>2836.6</v>
      </c>
      <c r="D159" s="116">
        <v>2996.5</v>
      </c>
      <c r="E159" s="116">
        <v>1981.9</v>
      </c>
      <c r="F159" s="116">
        <v>1014.6</v>
      </c>
    </row>
    <row r="160" spans="1:13" ht="15.6" x14ac:dyDescent="0.3">
      <c r="A160" s="154" t="s">
        <v>182</v>
      </c>
      <c r="B160" s="123" t="s">
        <v>226</v>
      </c>
      <c r="C160" s="116">
        <v>3403.5</v>
      </c>
      <c r="D160" s="116">
        <v>3595</v>
      </c>
      <c r="E160" s="116">
        <v>3362.7</v>
      </c>
      <c r="F160" s="116">
        <v>232.3</v>
      </c>
    </row>
    <row r="161" spans="1:6" ht="31.2" x14ac:dyDescent="0.3">
      <c r="A161" s="154" t="s">
        <v>36</v>
      </c>
      <c r="B161" s="123" t="s">
        <v>111</v>
      </c>
      <c r="C161" s="116">
        <v>834.9</v>
      </c>
      <c r="D161" s="116">
        <v>854.9</v>
      </c>
      <c r="E161" s="116">
        <v>721.2</v>
      </c>
      <c r="F161" s="116">
        <v>133.6</v>
      </c>
    </row>
    <row r="162" spans="1:6" ht="15.6" x14ac:dyDescent="0.3">
      <c r="A162" s="154" t="s">
        <v>614</v>
      </c>
      <c r="B162" s="123" t="s">
        <v>615</v>
      </c>
      <c r="C162" s="155">
        <f>SUM(C163:C165)-0.1</f>
        <v>370.5</v>
      </c>
      <c r="D162" s="155">
        <f>SUM(D163:D165)</f>
        <v>412.79999999999995</v>
      </c>
      <c r="E162" s="155">
        <f>SUM(E163:E165)+0.1</f>
        <v>108.39999999999999</v>
      </c>
      <c r="F162" s="155">
        <f>SUM(F163:F165)</f>
        <v>304.39999999999998</v>
      </c>
    </row>
    <row r="163" spans="1:6" ht="15.6" x14ac:dyDescent="0.3">
      <c r="A163" s="154" t="s">
        <v>689</v>
      </c>
      <c r="B163" s="123" t="s">
        <v>775</v>
      </c>
      <c r="C163" s="116">
        <v>87.3</v>
      </c>
      <c r="D163" s="116">
        <v>12.2</v>
      </c>
      <c r="E163" s="116">
        <v>10.8</v>
      </c>
      <c r="F163" s="116">
        <v>1.3</v>
      </c>
    </row>
    <row r="164" spans="1:6" ht="15.6" x14ac:dyDescent="0.3">
      <c r="A164" s="154" t="s">
        <v>875</v>
      </c>
      <c r="B164" s="123" t="s">
        <v>994</v>
      </c>
      <c r="C164" s="116">
        <v>8.3000000000000007</v>
      </c>
      <c r="D164" s="116">
        <v>125.6</v>
      </c>
      <c r="E164" s="116">
        <v>97.5</v>
      </c>
      <c r="F164" s="116">
        <v>28.1</v>
      </c>
    </row>
    <row r="165" spans="1:6" ht="15.6" x14ac:dyDescent="0.3">
      <c r="A165" s="154" t="s">
        <v>534</v>
      </c>
      <c r="B165" s="123" t="s">
        <v>616</v>
      </c>
      <c r="C165" s="116">
        <v>275</v>
      </c>
      <c r="D165" s="116">
        <v>275</v>
      </c>
      <c r="E165" s="116">
        <v>0</v>
      </c>
      <c r="F165" s="116">
        <v>275</v>
      </c>
    </row>
    <row r="166" spans="1:6" ht="15.6" x14ac:dyDescent="0.3">
      <c r="A166" s="163"/>
      <c r="B166" s="195" t="s">
        <v>113</v>
      </c>
      <c r="C166" s="165">
        <f>C153+C162</f>
        <v>63720.7</v>
      </c>
      <c r="D166" s="165">
        <f>D153+D162</f>
        <v>65478.200000000004</v>
      </c>
      <c r="E166" s="165">
        <f>E153+E162</f>
        <v>63134.1</v>
      </c>
      <c r="F166" s="165">
        <f>F153+F162</f>
        <v>2343.9999999999995</v>
      </c>
    </row>
  </sheetData>
  <mergeCells count="218">
    <mergeCell ref="A147:A149"/>
    <mergeCell ref="B147:B149"/>
    <mergeCell ref="H147:H149"/>
    <mergeCell ref="I147:I149"/>
    <mergeCell ref="J147:J149"/>
    <mergeCell ref="K147:K149"/>
    <mergeCell ref="L147:L149"/>
    <mergeCell ref="M147:M149"/>
    <mergeCell ref="M98:M99"/>
    <mergeCell ref="A135:A140"/>
    <mergeCell ref="B135:B140"/>
    <mergeCell ref="H137:H140"/>
    <mergeCell ref="I137:I140"/>
    <mergeCell ref="J137:J140"/>
    <mergeCell ref="K137:K140"/>
    <mergeCell ref="L137:L140"/>
    <mergeCell ref="M137:M140"/>
    <mergeCell ref="A141:A146"/>
    <mergeCell ref="B141:B146"/>
    <mergeCell ref="H143:H146"/>
    <mergeCell ref="I143:I146"/>
    <mergeCell ref="J143:J146"/>
    <mergeCell ref="K143:K146"/>
    <mergeCell ref="L143:L146"/>
    <mergeCell ref="M143:M146"/>
    <mergeCell ref="A127:A130"/>
    <mergeCell ref="B127:B130"/>
    <mergeCell ref="H128:H130"/>
    <mergeCell ref="I128:I130"/>
    <mergeCell ref="J128:J130"/>
    <mergeCell ref="K128:K130"/>
    <mergeCell ref="L128:L130"/>
    <mergeCell ref="M128:M130"/>
    <mergeCell ref="A131:A134"/>
    <mergeCell ref="B131:B134"/>
    <mergeCell ref="H131:H134"/>
    <mergeCell ref="I131:I134"/>
    <mergeCell ref="J131:J134"/>
    <mergeCell ref="K131:K134"/>
    <mergeCell ref="L131:L134"/>
    <mergeCell ref="M131:M134"/>
    <mergeCell ref="A121:A124"/>
    <mergeCell ref="B121:B124"/>
    <mergeCell ref="H123:H124"/>
    <mergeCell ref="I123:I124"/>
    <mergeCell ref="J123:J124"/>
    <mergeCell ref="K123:K124"/>
    <mergeCell ref="L123:L124"/>
    <mergeCell ref="M123:M124"/>
    <mergeCell ref="A125:A126"/>
    <mergeCell ref="B125:B126"/>
    <mergeCell ref="H125:H126"/>
    <mergeCell ref="I125:I126"/>
    <mergeCell ref="J125:J126"/>
    <mergeCell ref="K125:K126"/>
    <mergeCell ref="L125:L126"/>
    <mergeCell ref="M125:M126"/>
    <mergeCell ref="A116:A117"/>
    <mergeCell ref="B116:B117"/>
    <mergeCell ref="H116:H117"/>
    <mergeCell ref="I116:I117"/>
    <mergeCell ref="J116:J117"/>
    <mergeCell ref="K116:K117"/>
    <mergeCell ref="L116:L117"/>
    <mergeCell ref="M116:M117"/>
    <mergeCell ref="A118:A119"/>
    <mergeCell ref="B118:B119"/>
    <mergeCell ref="H118:H119"/>
    <mergeCell ref="I118:I119"/>
    <mergeCell ref="J118:J119"/>
    <mergeCell ref="K118:K119"/>
    <mergeCell ref="L118:L119"/>
    <mergeCell ref="M118:M119"/>
    <mergeCell ref="A108:A109"/>
    <mergeCell ref="B108:B109"/>
    <mergeCell ref="H108:H109"/>
    <mergeCell ref="I108:I109"/>
    <mergeCell ref="J108:J109"/>
    <mergeCell ref="K108:K109"/>
    <mergeCell ref="L108:L109"/>
    <mergeCell ref="M108:M109"/>
    <mergeCell ref="A110:A115"/>
    <mergeCell ref="B110:B115"/>
    <mergeCell ref="H112:H115"/>
    <mergeCell ref="I112:I115"/>
    <mergeCell ref="J112:J115"/>
    <mergeCell ref="K112:K115"/>
    <mergeCell ref="L112:L115"/>
    <mergeCell ref="M112:M115"/>
    <mergeCell ref="A102:A104"/>
    <mergeCell ref="B102:B104"/>
    <mergeCell ref="H105:M105"/>
    <mergeCell ref="A106:A107"/>
    <mergeCell ref="B106:B107"/>
    <mergeCell ref="H106:H107"/>
    <mergeCell ref="I106:I107"/>
    <mergeCell ref="J106:J107"/>
    <mergeCell ref="K106:K107"/>
    <mergeCell ref="L106:L107"/>
    <mergeCell ref="M106:M107"/>
    <mergeCell ref="A98:A99"/>
    <mergeCell ref="B98:B99"/>
    <mergeCell ref="C98:C99"/>
    <mergeCell ref="D98:D99"/>
    <mergeCell ref="E98:E99"/>
    <mergeCell ref="F98:F99"/>
    <mergeCell ref="L98:L99"/>
    <mergeCell ref="H100:M100"/>
    <mergeCell ref="H101:M101"/>
    <mergeCell ref="H85:M85"/>
    <mergeCell ref="H86:M86"/>
    <mergeCell ref="A87:A97"/>
    <mergeCell ref="B87:B97"/>
    <mergeCell ref="H92:H97"/>
    <mergeCell ref="I92:I97"/>
    <mergeCell ref="J92:J97"/>
    <mergeCell ref="K92:K97"/>
    <mergeCell ref="L92:L97"/>
    <mergeCell ref="M92:M97"/>
    <mergeCell ref="H74:M74"/>
    <mergeCell ref="A75:A83"/>
    <mergeCell ref="B75:B83"/>
    <mergeCell ref="H79:H83"/>
    <mergeCell ref="I79:I83"/>
    <mergeCell ref="J79:J83"/>
    <mergeCell ref="K79:K83"/>
    <mergeCell ref="L79:L83"/>
    <mergeCell ref="M79:M83"/>
    <mergeCell ref="A71:A72"/>
    <mergeCell ref="B71:B72"/>
    <mergeCell ref="H71:H72"/>
    <mergeCell ref="I71:I72"/>
    <mergeCell ref="J71:J72"/>
    <mergeCell ref="K71:K72"/>
    <mergeCell ref="L71:L72"/>
    <mergeCell ref="M71:M72"/>
    <mergeCell ref="H73:M73"/>
    <mergeCell ref="A65:A67"/>
    <mergeCell ref="B65:B67"/>
    <mergeCell ref="H65:H67"/>
    <mergeCell ref="I65:I67"/>
    <mergeCell ref="J65:J67"/>
    <mergeCell ref="K65:K67"/>
    <mergeCell ref="L65:L67"/>
    <mergeCell ref="M65:M67"/>
    <mergeCell ref="A68:A70"/>
    <mergeCell ref="B68:B70"/>
    <mergeCell ref="H68:H70"/>
    <mergeCell ref="I68:I70"/>
    <mergeCell ref="J68:J70"/>
    <mergeCell ref="K68:K70"/>
    <mergeCell ref="L68:L70"/>
    <mergeCell ref="M68:M70"/>
    <mergeCell ref="A50:A57"/>
    <mergeCell ref="B50:B57"/>
    <mergeCell ref="H56:H57"/>
    <mergeCell ref="I56:I57"/>
    <mergeCell ref="J56:J57"/>
    <mergeCell ref="K56:K57"/>
    <mergeCell ref="L56:L57"/>
    <mergeCell ref="M56:M57"/>
    <mergeCell ref="A59:A63"/>
    <mergeCell ref="B59:B63"/>
    <mergeCell ref="H61:H63"/>
    <mergeCell ref="I61:I63"/>
    <mergeCell ref="J61:J63"/>
    <mergeCell ref="K61:K63"/>
    <mergeCell ref="L61:L63"/>
    <mergeCell ref="M61:M63"/>
    <mergeCell ref="H31:M31"/>
    <mergeCell ref="H32:M32"/>
    <mergeCell ref="A33:A49"/>
    <mergeCell ref="B33:B49"/>
    <mergeCell ref="H44:H49"/>
    <mergeCell ref="I44:I49"/>
    <mergeCell ref="J44:J49"/>
    <mergeCell ref="K44:K49"/>
    <mergeCell ref="L44:L49"/>
    <mergeCell ref="M44:M49"/>
    <mergeCell ref="H20:M20"/>
    <mergeCell ref="A21:A22"/>
    <mergeCell ref="B21:B22"/>
    <mergeCell ref="C21:C22"/>
    <mergeCell ref="D21:D22"/>
    <mergeCell ref="E21:E22"/>
    <mergeCell ref="F21:F22"/>
    <mergeCell ref="A24:A30"/>
    <mergeCell ref="B24:B30"/>
    <mergeCell ref="C24:C30"/>
    <mergeCell ref="D24:D30"/>
    <mergeCell ref="E24:E30"/>
    <mergeCell ref="F24:F30"/>
    <mergeCell ref="H11:M11"/>
    <mergeCell ref="H12:M12"/>
    <mergeCell ref="H13:M13"/>
    <mergeCell ref="A14:A18"/>
    <mergeCell ref="B14:B18"/>
    <mergeCell ref="H17:H18"/>
    <mergeCell ref="I17:I18"/>
    <mergeCell ref="J17:J18"/>
    <mergeCell ref="K17:K18"/>
    <mergeCell ref="L17:L18"/>
    <mergeCell ref="M17:M18"/>
    <mergeCell ref="A5:M5"/>
    <mergeCell ref="A6:M6"/>
    <mergeCell ref="A8:A10"/>
    <mergeCell ref="B8:B10"/>
    <mergeCell ref="C8:C10"/>
    <mergeCell ref="D8:D10"/>
    <mergeCell ref="E8:E10"/>
    <mergeCell ref="F8:F10"/>
    <mergeCell ref="G8:G10"/>
    <mergeCell ref="H8:M8"/>
    <mergeCell ref="H9:H10"/>
    <mergeCell ref="I9:I10"/>
    <mergeCell ref="J9:K9"/>
    <mergeCell ref="L9:L10"/>
    <mergeCell ref="M9:M10"/>
  </mergeCells>
  <pageMargins left="0.4" right="0.4" top="0.4" bottom="0.4" header="0.51180555555555496" footer="0.51180555555555496"/>
  <pageSetup paperSize="9" firstPageNumber="0" orientation="landscape"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99"/>
  <sheetViews>
    <sheetView topLeftCell="A68" zoomScale="50" zoomScaleNormal="50" workbookViewId="0">
      <selection activeCell="N90" sqref="N90"/>
    </sheetView>
  </sheetViews>
  <sheetFormatPr defaultColWidth="9.109375" defaultRowHeight="14.4" x14ac:dyDescent="0.3"/>
  <cols>
    <col min="1" max="1" width="9.6640625" style="86" customWidth="1"/>
    <col min="2" max="2" width="32.44140625" style="86" customWidth="1"/>
    <col min="3" max="3" width="9.109375" style="86"/>
    <col min="4" max="4" width="9.5546875" style="86" customWidth="1"/>
    <col min="5" max="5" width="13.44140625" style="86" customWidth="1"/>
    <col min="6" max="6" width="14.5546875" style="86" customWidth="1"/>
    <col min="7" max="7" width="0.109375" style="86" hidden="1" customWidth="1"/>
    <col min="8" max="8" width="22.5546875" style="86" customWidth="1"/>
    <col min="9" max="9" width="5.6640625" style="86" customWidth="1"/>
    <col min="10" max="10" width="8.5546875" style="86" customWidth="1"/>
    <col min="11" max="11" width="9.44140625" style="86" customWidth="1"/>
    <col min="12" max="12" width="29.33203125" style="86" customWidth="1"/>
    <col min="13" max="13" width="48.44140625" style="86" customWidth="1"/>
    <col min="14" max="1024" width="9.109375" style="86"/>
  </cols>
  <sheetData>
    <row r="1" spans="1:13" s="90" customFormat="1" x14ac:dyDescent="0.3">
      <c r="A1" s="215"/>
      <c r="B1" s="215"/>
      <c r="C1" s="215"/>
      <c r="D1" s="215"/>
      <c r="E1" s="215"/>
      <c r="F1" s="215"/>
      <c r="G1" s="215"/>
      <c r="H1" s="215"/>
      <c r="I1" s="215"/>
      <c r="J1" s="215"/>
      <c r="K1" s="215"/>
      <c r="L1" s="215"/>
      <c r="M1" s="87" t="s">
        <v>0</v>
      </c>
    </row>
    <row r="2" spans="1:13" x14ac:dyDescent="0.3">
      <c r="M2" s="87" t="s">
        <v>1</v>
      </c>
    </row>
    <row r="3" spans="1:13" x14ac:dyDescent="0.3">
      <c r="M3" s="87" t="s">
        <v>2</v>
      </c>
    </row>
    <row r="4" spans="1:13" ht="12" customHeight="1" x14ac:dyDescent="0.3"/>
    <row r="5" spans="1:13" ht="15.6" x14ac:dyDescent="0.3">
      <c r="A5" s="344" t="s">
        <v>3</v>
      </c>
      <c r="B5" s="344"/>
      <c r="C5" s="344"/>
      <c r="D5" s="344"/>
      <c r="E5" s="344"/>
      <c r="F5" s="344"/>
      <c r="G5" s="344"/>
      <c r="H5" s="344"/>
      <c r="I5" s="344"/>
      <c r="J5" s="344"/>
      <c r="K5" s="344"/>
      <c r="L5" s="344"/>
      <c r="M5" s="344"/>
    </row>
    <row r="6" spans="1:13" ht="15.6" x14ac:dyDescent="0.3">
      <c r="A6" s="344" t="s">
        <v>995</v>
      </c>
      <c r="B6" s="344"/>
      <c r="C6" s="344"/>
      <c r="D6" s="344"/>
      <c r="E6" s="344"/>
      <c r="F6" s="344"/>
      <c r="G6" s="344"/>
      <c r="H6" s="344"/>
      <c r="I6" s="344"/>
      <c r="J6" s="344"/>
      <c r="K6" s="344"/>
      <c r="L6" s="344"/>
      <c r="M6" s="344"/>
    </row>
    <row r="9" spans="1:13" ht="15.6" customHeight="1" x14ac:dyDescent="0.3">
      <c r="A9" s="382" t="s">
        <v>5</v>
      </c>
      <c r="B9" s="383" t="s">
        <v>6</v>
      </c>
      <c r="C9" s="383" t="s">
        <v>7</v>
      </c>
      <c r="D9" s="383" t="s">
        <v>222</v>
      </c>
      <c r="E9" s="383" t="s">
        <v>223</v>
      </c>
      <c r="F9" s="383" t="s">
        <v>104</v>
      </c>
      <c r="G9" s="383" t="s">
        <v>9</v>
      </c>
      <c r="H9" s="424" t="s">
        <v>517</v>
      </c>
      <c r="I9" s="424"/>
      <c r="J9" s="424"/>
      <c r="K9" s="424"/>
      <c r="L9" s="424"/>
      <c r="M9" s="424"/>
    </row>
    <row r="10" spans="1:13" ht="15.6" customHeight="1" x14ac:dyDescent="0.3">
      <c r="A10" s="382"/>
      <c r="B10" s="383"/>
      <c r="C10" s="383"/>
      <c r="D10" s="383"/>
      <c r="E10" s="383"/>
      <c r="F10" s="383"/>
      <c r="G10" s="383"/>
      <c r="H10" s="388" t="s">
        <v>518</v>
      </c>
      <c r="I10" s="388" t="s">
        <v>519</v>
      </c>
      <c r="J10" s="425" t="s">
        <v>520</v>
      </c>
      <c r="K10" s="425"/>
      <c r="L10" s="388" t="s">
        <v>11</v>
      </c>
      <c r="M10" s="426" t="s">
        <v>12</v>
      </c>
    </row>
    <row r="11" spans="1:13" ht="27" customHeight="1" x14ac:dyDescent="0.3">
      <c r="A11" s="382"/>
      <c r="B11" s="383"/>
      <c r="C11" s="383"/>
      <c r="D11" s="383"/>
      <c r="E11" s="383"/>
      <c r="F11" s="383"/>
      <c r="G11" s="383"/>
      <c r="H11" s="383"/>
      <c r="I11" s="383"/>
      <c r="J11" s="166" t="s">
        <v>522</v>
      </c>
      <c r="K11" s="166" t="s">
        <v>523</v>
      </c>
      <c r="L11" s="388"/>
      <c r="M11" s="426"/>
    </row>
    <row r="12" spans="1:13" ht="18.600000000000001" customHeight="1" x14ac:dyDescent="0.3">
      <c r="A12" s="196" t="s">
        <v>996</v>
      </c>
      <c r="B12" s="167" t="s">
        <v>997</v>
      </c>
      <c r="C12" s="168"/>
      <c r="D12" s="93">
        <f>D13+D35+D65</f>
        <v>3014.3</v>
      </c>
      <c r="E12" s="93">
        <f>E13+E35+E65</f>
        <v>2809.3</v>
      </c>
      <c r="F12" s="93">
        <f>F13+F35+F65-0.1</f>
        <v>2462.6000000000004</v>
      </c>
      <c r="G12" s="93" t="e">
        <f>G13+G35+G65</f>
        <v>#REF!</v>
      </c>
      <c r="H12" s="168"/>
      <c r="I12" s="284"/>
      <c r="J12" s="285"/>
      <c r="K12" s="285"/>
      <c r="L12" s="168"/>
      <c r="M12" s="286"/>
    </row>
    <row r="13" spans="1:13" ht="78" x14ac:dyDescent="0.3">
      <c r="A13" s="94" t="s">
        <v>998</v>
      </c>
      <c r="B13" s="137" t="s">
        <v>999</v>
      </c>
      <c r="C13" s="138"/>
      <c r="D13" s="96">
        <f>D14+D28</f>
        <v>1623.3000000000002</v>
      </c>
      <c r="E13" s="96">
        <f>E14+E28</f>
        <v>1338.6999999999998</v>
      </c>
      <c r="F13" s="96">
        <f>F14+F28</f>
        <v>1037.6999999999998</v>
      </c>
      <c r="G13" s="96">
        <f>G14+G28</f>
        <v>301</v>
      </c>
      <c r="H13" s="357"/>
      <c r="I13" s="357"/>
      <c r="J13" s="357"/>
      <c r="K13" s="357"/>
      <c r="L13" s="357"/>
      <c r="M13" s="357"/>
    </row>
    <row r="14" spans="1:13" ht="93.6" x14ac:dyDescent="0.3">
      <c r="A14" s="97" t="s">
        <v>1000</v>
      </c>
      <c r="B14" s="124" t="s">
        <v>1001</v>
      </c>
      <c r="C14" s="125"/>
      <c r="D14" s="99">
        <f>D15+D17+D20+D22+D23</f>
        <v>726.7</v>
      </c>
      <c r="E14" s="99">
        <f>E15+E17+E20+E22+E23</f>
        <v>526.79999999999995</v>
      </c>
      <c r="F14" s="99">
        <f>F15+F17+F20+F22+F23+0.1</f>
        <v>241.89999999999998</v>
      </c>
      <c r="G14" s="99">
        <f>G15+G17+G20+G22+G23-0.1</f>
        <v>284.89999999999998</v>
      </c>
      <c r="H14" s="359"/>
      <c r="I14" s="359"/>
      <c r="J14" s="359"/>
      <c r="K14" s="359"/>
      <c r="L14" s="359"/>
      <c r="M14" s="359"/>
    </row>
    <row r="15" spans="1:13" ht="37.799999999999997" customHeight="1" x14ac:dyDescent="0.3">
      <c r="A15" s="363" t="s">
        <v>1002</v>
      </c>
      <c r="B15" s="361" t="s">
        <v>1003</v>
      </c>
      <c r="C15" s="102"/>
      <c r="D15" s="111">
        <f>SUM(D16:D16)</f>
        <v>54.6</v>
      </c>
      <c r="E15" s="111">
        <f>SUM(E16:E16)</f>
        <v>126.6</v>
      </c>
      <c r="F15" s="111">
        <f>SUM(F16:F16)</f>
        <v>0</v>
      </c>
      <c r="G15" s="111">
        <f>SUM(G16:G16)</f>
        <v>126.6</v>
      </c>
      <c r="H15" s="361" t="s">
        <v>1004</v>
      </c>
      <c r="I15" s="364" t="s">
        <v>56</v>
      </c>
      <c r="J15" s="364">
        <v>100</v>
      </c>
      <c r="K15" s="378">
        <v>0</v>
      </c>
      <c r="L15" s="361" t="s">
        <v>1004</v>
      </c>
      <c r="M15" s="362" t="s">
        <v>1005</v>
      </c>
    </row>
    <row r="16" spans="1:13" ht="24.6" customHeight="1" x14ac:dyDescent="0.3">
      <c r="A16" s="363"/>
      <c r="B16" s="361"/>
      <c r="C16" s="114" t="s">
        <v>27</v>
      </c>
      <c r="D16" s="116">
        <v>54.6</v>
      </c>
      <c r="E16" s="116">
        <v>126.6</v>
      </c>
      <c r="F16" s="116">
        <v>0</v>
      </c>
      <c r="G16" s="116">
        <v>126.6</v>
      </c>
      <c r="H16" s="361"/>
      <c r="I16" s="364"/>
      <c r="J16" s="364"/>
      <c r="K16" s="378"/>
      <c r="L16" s="361"/>
      <c r="M16" s="362"/>
    </row>
    <row r="17" spans="1:13" ht="38.4" customHeight="1" x14ac:dyDescent="0.3">
      <c r="A17" s="363" t="s">
        <v>1006</v>
      </c>
      <c r="B17" s="361" t="s">
        <v>1007</v>
      </c>
      <c r="C17" s="102"/>
      <c r="D17" s="111">
        <f>SUM(D18:D19)</f>
        <v>29.1</v>
      </c>
      <c r="E17" s="111">
        <f>SUM(E18:E19)</f>
        <v>29.1</v>
      </c>
      <c r="F17" s="111">
        <f>SUM(F18:F19)</f>
        <v>29</v>
      </c>
      <c r="G17" s="111">
        <f>SUM(G18:G19)</f>
        <v>0.1</v>
      </c>
      <c r="H17" s="105" t="s">
        <v>1008</v>
      </c>
      <c r="I17" s="106" t="s">
        <v>56</v>
      </c>
      <c r="J17" s="106">
        <v>100</v>
      </c>
      <c r="K17" s="117">
        <v>100</v>
      </c>
      <c r="L17" s="105" t="s">
        <v>1009</v>
      </c>
      <c r="M17" s="108"/>
    </row>
    <row r="18" spans="1:13" ht="78" customHeight="1" x14ac:dyDescent="0.3">
      <c r="A18" s="363"/>
      <c r="B18" s="361"/>
      <c r="C18" s="114"/>
      <c r="D18" s="116">
        <v>0</v>
      </c>
      <c r="E18" s="116">
        <v>0</v>
      </c>
      <c r="F18" s="116">
        <v>0</v>
      </c>
      <c r="G18" s="116">
        <v>0</v>
      </c>
      <c r="H18" s="367" t="s">
        <v>1010</v>
      </c>
      <c r="I18" s="373" t="s">
        <v>56</v>
      </c>
      <c r="J18" s="452"/>
      <c r="K18" s="452"/>
      <c r="L18" s="453"/>
      <c r="M18" s="454"/>
    </row>
    <row r="19" spans="1:13" ht="24" customHeight="1" x14ac:dyDescent="0.3">
      <c r="A19" s="363"/>
      <c r="B19" s="361"/>
      <c r="C19" s="114" t="s">
        <v>36</v>
      </c>
      <c r="D19" s="116">
        <v>29.1</v>
      </c>
      <c r="E19" s="116">
        <v>29.1</v>
      </c>
      <c r="F19" s="116">
        <v>29</v>
      </c>
      <c r="G19" s="116">
        <v>0.1</v>
      </c>
      <c r="H19" s="367"/>
      <c r="I19" s="373"/>
      <c r="J19" s="452"/>
      <c r="K19" s="452"/>
      <c r="L19" s="453"/>
      <c r="M19" s="454"/>
    </row>
    <row r="20" spans="1:13" ht="46.8" customHeight="1" x14ac:dyDescent="0.3">
      <c r="A20" s="363" t="s">
        <v>1011</v>
      </c>
      <c r="B20" s="361" t="s">
        <v>1012</v>
      </c>
      <c r="C20" s="396" t="s">
        <v>27</v>
      </c>
      <c r="D20" s="397">
        <f>SUM(D21:D21)+65</f>
        <v>65</v>
      </c>
      <c r="E20" s="397">
        <f>SUM(E21:E21)+65</f>
        <v>65</v>
      </c>
      <c r="F20" s="397">
        <f>SUM(F21:F21)+12.8</f>
        <v>12.8</v>
      </c>
      <c r="G20" s="111">
        <f>SUM(G21:G21)+52.2</f>
        <v>52.2</v>
      </c>
      <c r="H20" s="105" t="s">
        <v>1013</v>
      </c>
      <c r="I20" s="106" t="s">
        <v>551</v>
      </c>
      <c r="J20" s="106">
        <v>3</v>
      </c>
      <c r="K20" s="139">
        <v>0</v>
      </c>
      <c r="L20" s="105" t="s">
        <v>1014</v>
      </c>
      <c r="M20" s="108" t="s">
        <v>1015</v>
      </c>
    </row>
    <row r="21" spans="1:13" ht="36" customHeight="1" x14ac:dyDescent="0.3">
      <c r="A21" s="363"/>
      <c r="B21" s="361"/>
      <c r="C21" s="396"/>
      <c r="D21" s="397"/>
      <c r="E21" s="397"/>
      <c r="F21" s="397"/>
      <c r="G21" s="116">
        <v>0</v>
      </c>
      <c r="H21" s="118" t="s">
        <v>1016</v>
      </c>
      <c r="I21" s="119" t="s">
        <v>551</v>
      </c>
      <c r="J21" s="119">
        <v>5</v>
      </c>
      <c r="K21" s="287">
        <v>6</v>
      </c>
      <c r="L21" s="118" t="s">
        <v>1017</v>
      </c>
      <c r="M21" s="271" t="s">
        <v>1018</v>
      </c>
    </row>
    <row r="22" spans="1:13" ht="31.2" x14ac:dyDescent="0.3">
      <c r="A22" s="100" t="s">
        <v>1019</v>
      </c>
      <c r="B22" s="101" t="s">
        <v>1020</v>
      </c>
      <c r="C22" s="102" t="s">
        <v>27</v>
      </c>
      <c r="D22" s="104">
        <v>0</v>
      </c>
      <c r="E22" s="104">
        <v>115</v>
      </c>
      <c r="F22" s="104">
        <v>98.3</v>
      </c>
      <c r="G22" s="104">
        <v>16.7</v>
      </c>
      <c r="H22" s="105" t="s">
        <v>1021</v>
      </c>
      <c r="I22" s="106" t="s">
        <v>56</v>
      </c>
      <c r="J22" s="106">
        <v>100</v>
      </c>
      <c r="K22" s="117">
        <v>100</v>
      </c>
      <c r="L22" s="105" t="s">
        <v>1022</v>
      </c>
      <c r="M22" s="181"/>
    </row>
    <row r="23" spans="1:13" ht="90" customHeight="1" x14ac:dyDescent="0.3">
      <c r="A23" s="363" t="s">
        <v>1023</v>
      </c>
      <c r="B23" s="361" t="s">
        <v>1024</v>
      </c>
      <c r="C23" s="102"/>
      <c r="D23" s="111">
        <f>SUM(D24:D27)</f>
        <v>578</v>
      </c>
      <c r="E23" s="111">
        <f>SUM(E24:E27)</f>
        <v>191.10000000000002</v>
      </c>
      <c r="F23" s="111">
        <f>SUM(F24:F27)</f>
        <v>101.69999999999999</v>
      </c>
      <c r="G23" s="111">
        <f>SUM(G24:G27)</f>
        <v>89.4</v>
      </c>
      <c r="H23" s="361" t="s">
        <v>1025</v>
      </c>
      <c r="I23" s="364" t="s">
        <v>29</v>
      </c>
      <c r="J23" s="364">
        <v>2</v>
      </c>
      <c r="K23" s="360">
        <v>2</v>
      </c>
      <c r="L23" s="372" t="s">
        <v>1026</v>
      </c>
      <c r="M23" s="389" t="s">
        <v>1027</v>
      </c>
    </row>
    <row r="24" spans="1:13" ht="46.8" customHeight="1" x14ac:dyDescent="0.3">
      <c r="A24" s="363"/>
      <c r="B24" s="361"/>
      <c r="C24" s="114"/>
      <c r="D24" s="116">
        <v>0</v>
      </c>
      <c r="E24" s="116">
        <v>0</v>
      </c>
      <c r="F24" s="116">
        <v>0</v>
      </c>
      <c r="G24" s="116">
        <v>0</v>
      </c>
      <c r="H24" s="361"/>
      <c r="I24" s="364"/>
      <c r="J24" s="364"/>
      <c r="K24" s="360"/>
      <c r="L24" s="372"/>
      <c r="M24" s="389"/>
    </row>
    <row r="25" spans="1:13" ht="15.6" x14ac:dyDescent="0.3">
      <c r="A25" s="363"/>
      <c r="B25" s="361"/>
      <c r="C25" s="114" t="s">
        <v>242</v>
      </c>
      <c r="D25" s="116">
        <v>42.4</v>
      </c>
      <c r="E25" s="116">
        <v>11.4</v>
      </c>
      <c r="F25" s="116">
        <v>7.5</v>
      </c>
      <c r="G25" s="116">
        <v>3.9</v>
      </c>
      <c r="H25" s="361"/>
      <c r="I25" s="364"/>
      <c r="J25" s="364"/>
      <c r="K25" s="360"/>
      <c r="L25" s="372"/>
      <c r="M25" s="389"/>
    </row>
    <row r="26" spans="1:13" ht="15.6" x14ac:dyDescent="0.3">
      <c r="A26" s="363"/>
      <c r="B26" s="361"/>
      <c r="C26" s="114" t="s">
        <v>27</v>
      </c>
      <c r="D26" s="116">
        <v>55.5</v>
      </c>
      <c r="E26" s="116">
        <v>55.5</v>
      </c>
      <c r="F26" s="116">
        <v>9.1</v>
      </c>
      <c r="G26" s="116">
        <v>46.4</v>
      </c>
      <c r="H26" s="361"/>
      <c r="I26" s="364"/>
      <c r="J26" s="364"/>
      <c r="K26" s="360"/>
      <c r="L26" s="372"/>
      <c r="M26" s="389"/>
    </row>
    <row r="27" spans="1:13" ht="15.6" x14ac:dyDescent="0.3">
      <c r="A27" s="363"/>
      <c r="B27" s="361"/>
      <c r="C27" s="114" t="s">
        <v>200</v>
      </c>
      <c r="D27" s="116">
        <v>480.1</v>
      </c>
      <c r="E27" s="116">
        <v>124.2</v>
      </c>
      <c r="F27" s="116">
        <v>85.1</v>
      </c>
      <c r="G27" s="116">
        <v>39.1</v>
      </c>
      <c r="H27" s="361"/>
      <c r="I27" s="364"/>
      <c r="J27" s="364"/>
      <c r="K27" s="360"/>
      <c r="L27" s="372"/>
      <c r="M27" s="389"/>
    </row>
    <row r="28" spans="1:13" ht="62.4" x14ac:dyDescent="0.3">
      <c r="A28" s="97" t="s">
        <v>1028</v>
      </c>
      <c r="B28" s="124" t="s">
        <v>1029</v>
      </c>
      <c r="C28" s="125"/>
      <c r="D28" s="99">
        <f>SUM(D29:D29)</f>
        <v>896.6</v>
      </c>
      <c r="E28" s="99">
        <f>SUM(E29:E29)</f>
        <v>811.89999999999986</v>
      </c>
      <c r="F28" s="99">
        <f>SUM(F29:F29)</f>
        <v>795.8</v>
      </c>
      <c r="G28" s="99">
        <f>SUM(G29:G29)</f>
        <v>16.099999999999998</v>
      </c>
      <c r="H28" s="366"/>
      <c r="I28" s="366"/>
      <c r="J28" s="366"/>
      <c r="K28" s="366"/>
      <c r="L28" s="366"/>
      <c r="M28" s="366"/>
    </row>
    <row r="29" spans="1:13" ht="78" customHeight="1" x14ac:dyDescent="0.3">
      <c r="A29" s="363" t="s">
        <v>1030</v>
      </c>
      <c r="B29" s="361" t="s">
        <v>1031</v>
      </c>
      <c r="C29" s="102"/>
      <c r="D29" s="111">
        <f>SUM(D30:D34)</f>
        <v>896.6</v>
      </c>
      <c r="E29" s="111">
        <f>SUM(E30:E34)</f>
        <v>811.89999999999986</v>
      </c>
      <c r="F29" s="111">
        <f>SUM(F30:F34)+0.1</f>
        <v>795.8</v>
      </c>
      <c r="G29" s="111">
        <f>SUM(G30:G34)-0.1</f>
        <v>16.099999999999998</v>
      </c>
      <c r="H29" s="105" t="s">
        <v>1032</v>
      </c>
      <c r="I29" s="106" t="s">
        <v>56</v>
      </c>
      <c r="J29" s="106">
        <v>90</v>
      </c>
      <c r="K29" s="117">
        <v>90</v>
      </c>
      <c r="L29" s="105" t="s">
        <v>1032</v>
      </c>
      <c r="M29" s="108" t="s">
        <v>1033</v>
      </c>
    </row>
    <row r="30" spans="1:13" ht="62.4" x14ac:dyDescent="0.3">
      <c r="A30" s="363"/>
      <c r="B30" s="361"/>
      <c r="C30" s="114"/>
      <c r="D30" s="116">
        <v>0</v>
      </c>
      <c r="E30" s="116">
        <v>0</v>
      </c>
      <c r="F30" s="116">
        <v>0</v>
      </c>
      <c r="G30" s="116">
        <v>0</v>
      </c>
      <c r="H30" s="118" t="s">
        <v>1034</v>
      </c>
      <c r="I30" s="119" t="s">
        <v>56</v>
      </c>
      <c r="J30" s="119">
        <v>100</v>
      </c>
      <c r="K30" s="128">
        <v>100</v>
      </c>
      <c r="L30" s="118" t="s">
        <v>1035</v>
      </c>
      <c r="M30" s="121" t="s">
        <v>1033</v>
      </c>
    </row>
    <row r="31" spans="1:13" ht="25.2" customHeight="1" x14ac:dyDescent="0.3">
      <c r="A31" s="363"/>
      <c r="B31" s="361"/>
      <c r="C31" s="114"/>
      <c r="D31" s="116">
        <v>0</v>
      </c>
      <c r="E31" s="116">
        <v>0</v>
      </c>
      <c r="F31" s="116">
        <v>0</v>
      </c>
      <c r="G31" s="116">
        <v>0</v>
      </c>
      <c r="H31" s="367" t="s">
        <v>1036</v>
      </c>
      <c r="I31" s="373" t="s">
        <v>551</v>
      </c>
      <c r="J31" s="373">
        <v>10</v>
      </c>
      <c r="K31" s="374">
        <v>10</v>
      </c>
      <c r="L31" s="367" t="s">
        <v>1037</v>
      </c>
      <c r="M31" s="371" t="s">
        <v>1033</v>
      </c>
    </row>
    <row r="32" spans="1:13" ht="15.6" x14ac:dyDescent="0.3">
      <c r="A32" s="363"/>
      <c r="B32" s="361"/>
      <c r="C32" s="114" t="s">
        <v>846</v>
      </c>
      <c r="D32" s="116">
        <v>74.5</v>
      </c>
      <c r="E32" s="116">
        <v>68.3</v>
      </c>
      <c r="F32" s="116">
        <v>67.400000000000006</v>
      </c>
      <c r="G32" s="116">
        <v>0.9</v>
      </c>
      <c r="H32" s="367"/>
      <c r="I32" s="373"/>
      <c r="J32" s="373"/>
      <c r="K32" s="374"/>
      <c r="L32" s="367"/>
      <c r="M32" s="371"/>
    </row>
    <row r="33" spans="1:13" ht="15.6" x14ac:dyDescent="0.3">
      <c r="A33" s="363"/>
      <c r="B33" s="361"/>
      <c r="C33" s="114" t="s">
        <v>27</v>
      </c>
      <c r="D33" s="116">
        <v>816.6</v>
      </c>
      <c r="E33" s="116">
        <v>738.8</v>
      </c>
      <c r="F33" s="116">
        <v>723.5</v>
      </c>
      <c r="G33" s="116">
        <v>15.3</v>
      </c>
      <c r="H33" s="367"/>
      <c r="I33" s="373"/>
      <c r="J33" s="373"/>
      <c r="K33" s="374"/>
      <c r="L33" s="367"/>
      <c r="M33" s="371"/>
    </row>
    <row r="34" spans="1:13" ht="29.4" customHeight="1" x14ac:dyDescent="0.3">
      <c r="A34" s="363"/>
      <c r="B34" s="361"/>
      <c r="C34" s="114" t="s">
        <v>182</v>
      </c>
      <c r="D34" s="116">
        <v>5.5</v>
      </c>
      <c r="E34" s="116">
        <v>4.8</v>
      </c>
      <c r="F34" s="116">
        <v>4.8</v>
      </c>
      <c r="G34" s="116">
        <v>0</v>
      </c>
      <c r="H34" s="367"/>
      <c r="I34" s="373"/>
      <c r="J34" s="373"/>
      <c r="K34" s="374"/>
      <c r="L34" s="367"/>
      <c r="M34" s="371"/>
    </row>
    <row r="35" spans="1:13" ht="31.2" x14ac:dyDescent="0.3">
      <c r="A35" s="94" t="s">
        <v>1038</v>
      </c>
      <c r="B35" s="137" t="s">
        <v>1039</v>
      </c>
      <c r="C35" s="138"/>
      <c r="D35" s="96">
        <f>D36+D44+D46+D63</f>
        <v>1296</v>
      </c>
      <c r="E35" s="96">
        <f>E36+E44+E46+E63</f>
        <v>1383.8000000000002</v>
      </c>
      <c r="F35" s="96">
        <f>F36+F44+F46+F63</f>
        <v>1354.9000000000003</v>
      </c>
      <c r="G35" s="96" t="e">
        <f>G36+G44+G46+#REF!</f>
        <v>#REF!</v>
      </c>
      <c r="H35" s="375"/>
      <c r="I35" s="375"/>
      <c r="J35" s="375"/>
      <c r="K35" s="375"/>
      <c r="L35" s="375"/>
      <c r="M35" s="375"/>
    </row>
    <row r="36" spans="1:13" ht="78" x14ac:dyDescent="0.3">
      <c r="A36" s="97" t="s">
        <v>1040</v>
      </c>
      <c r="B36" s="124" t="s">
        <v>1041</v>
      </c>
      <c r="C36" s="125"/>
      <c r="D36" s="99">
        <f>D37+D39+D40</f>
        <v>57.3</v>
      </c>
      <c r="E36" s="99">
        <f>E37+E39+E40</f>
        <v>145.1</v>
      </c>
      <c r="F36" s="99">
        <f>F37+F39+F40+0.1</f>
        <v>116.19999999999999</v>
      </c>
      <c r="G36" s="99">
        <f>G37+G39+G40-0.1</f>
        <v>28.9</v>
      </c>
      <c r="H36" s="366"/>
      <c r="I36" s="366"/>
      <c r="J36" s="366"/>
      <c r="K36" s="366"/>
      <c r="L36" s="366"/>
      <c r="M36" s="366"/>
    </row>
    <row r="37" spans="1:13" ht="117.6" customHeight="1" x14ac:dyDescent="0.3">
      <c r="A37" s="363" t="s">
        <v>1042</v>
      </c>
      <c r="B37" s="361" t="s">
        <v>1043</v>
      </c>
      <c r="C37" s="102"/>
      <c r="D37" s="111">
        <f>SUM(D38:D38)</f>
        <v>16.3</v>
      </c>
      <c r="E37" s="111">
        <f>SUM(E38:E38)</f>
        <v>10</v>
      </c>
      <c r="F37" s="111">
        <f>SUM(F38:F38)</f>
        <v>5.2</v>
      </c>
      <c r="G37" s="111">
        <f>SUM(G38:G38)</f>
        <v>4.8</v>
      </c>
      <c r="H37" s="361" t="s">
        <v>1044</v>
      </c>
      <c r="I37" s="364" t="s">
        <v>29</v>
      </c>
      <c r="J37" s="364">
        <v>2</v>
      </c>
      <c r="K37" s="360">
        <v>3</v>
      </c>
      <c r="L37" s="372" t="s">
        <v>1045</v>
      </c>
      <c r="M37" s="362" t="s">
        <v>1046</v>
      </c>
    </row>
    <row r="38" spans="1:13" ht="26.4" customHeight="1" x14ac:dyDescent="0.3">
      <c r="A38" s="363"/>
      <c r="B38" s="361"/>
      <c r="C38" s="114" t="s">
        <v>27</v>
      </c>
      <c r="D38" s="116">
        <v>16.3</v>
      </c>
      <c r="E38" s="116">
        <v>10</v>
      </c>
      <c r="F38" s="116">
        <v>5.2</v>
      </c>
      <c r="G38" s="116">
        <v>4.8</v>
      </c>
      <c r="H38" s="361"/>
      <c r="I38" s="364"/>
      <c r="J38" s="364"/>
      <c r="K38" s="360"/>
      <c r="L38" s="372"/>
      <c r="M38" s="362"/>
    </row>
    <row r="39" spans="1:13" ht="62.4" x14ac:dyDescent="0.3">
      <c r="A39" s="100" t="s">
        <v>1047</v>
      </c>
      <c r="B39" s="101" t="s">
        <v>1048</v>
      </c>
      <c r="C39" s="102" t="s">
        <v>27</v>
      </c>
      <c r="D39" s="104">
        <v>36</v>
      </c>
      <c r="E39" s="104">
        <v>36</v>
      </c>
      <c r="F39" s="104">
        <v>18.2</v>
      </c>
      <c r="G39" s="104">
        <v>17.8</v>
      </c>
      <c r="H39" s="105" t="s">
        <v>1049</v>
      </c>
      <c r="I39" s="106" t="s">
        <v>29</v>
      </c>
      <c r="J39" s="106">
        <v>20</v>
      </c>
      <c r="K39" s="107">
        <v>9</v>
      </c>
      <c r="L39" s="105" t="s">
        <v>1050</v>
      </c>
      <c r="M39" s="108" t="s">
        <v>1051</v>
      </c>
    </row>
    <row r="40" spans="1:13" ht="61.2" customHeight="1" x14ac:dyDescent="0.3">
      <c r="A40" s="363" t="s">
        <v>1052</v>
      </c>
      <c r="B40" s="361" t="s">
        <v>1053</v>
      </c>
      <c r="C40" s="102"/>
      <c r="D40" s="111">
        <f>SUM(D41:D43)</f>
        <v>5</v>
      </c>
      <c r="E40" s="111">
        <f>SUM(E41:E43)</f>
        <v>99.1</v>
      </c>
      <c r="F40" s="111">
        <f>SUM(F41:F43)</f>
        <v>92.7</v>
      </c>
      <c r="G40" s="111">
        <f>SUM(G41:G43)</f>
        <v>6.4</v>
      </c>
      <c r="H40" s="361" t="s">
        <v>1054</v>
      </c>
      <c r="I40" s="364" t="s">
        <v>551</v>
      </c>
      <c r="J40" s="364">
        <v>453</v>
      </c>
      <c r="K40" s="455">
        <v>1386</v>
      </c>
      <c r="L40" s="361" t="s">
        <v>1055</v>
      </c>
      <c r="M40" s="362" t="s">
        <v>1056</v>
      </c>
    </row>
    <row r="41" spans="1:13" ht="15.6" x14ac:dyDescent="0.3">
      <c r="A41" s="363"/>
      <c r="B41" s="361"/>
      <c r="C41" s="114" t="s">
        <v>689</v>
      </c>
      <c r="D41" s="116">
        <v>0</v>
      </c>
      <c r="E41" s="116">
        <v>7</v>
      </c>
      <c r="F41" s="116">
        <v>6.5</v>
      </c>
      <c r="G41" s="116">
        <v>0.5</v>
      </c>
      <c r="H41" s="361"/>
      <c r="I41" s="364"/>
      <c r="J41" s="364"/>
      <c r="K41" s="455"/>
      <c r="L41" s="361"/>
      <c r="M41" s="362"/>
    </row>
    <row r="42" spans="1:13" ht="15.6" x14ac:dyDescent="0.3">
      <c r="A42" s="363"/>
      <c r="B42" s="361"/>
      <c r="C42" s="114" t="s">
        <v>875</v>
      </c>
      <c r="D42" s="116">
        <v>0</v>
      </c>
      <c r="E42" s="116">
        <v>87.1</v>
      </c>
      <c r="F42" s="116">
        <v>81.2</v>
      </c>
      <c r="G42" s="116">
        <v>5.9</v>
      </c>
      <c r="H42" s="361"/>
      <c r="I42" s="364"/>
      <c r="J42" s="364"/>
      <c r="K42" s="455"/>
      <c r="L42" s="361"/>
      <c r="M42" s="362"/>
    </row>
    <row r="43" spans="1:13" ht="15.6" x14ac:dyDescent="0.3">
      <c r="A43" s="363"/>
      <c r="B43" s="361"/>
      <c r="C43" s="114" t="s">
        <v>27</v>
      </c>
      <c r="D43" s="116">
        <v>5</v>
      </c>
      <c r="E43" s="116">
        <v>5</v>
      </c>
      <c r="F43" s="116">
        <v>5</v>
      </c>
      <c r="G43" s="116">
        <v>0</v>
      </c>
      <c r="H43" s="361"/>
      <c r="I43" s="364"/>
      <c r="J43" s="364"/>
      <c r="K43" s="455"/>
      <c r="L43" s="361"/>
      <c r="M43" s="362"/>
    </row>
    <row r="44" spans="1:13" ht="46.8" x14ac:dyDescent="0.3">
      <c r="A44" s="97" t="s">
        <v>1057</v>
      </c>
      <c r="B44" s="124" t="s">
        <v>1058</v>
      </c>
      <c r="C44" s="125"/>
      <c r="D44" s="99">
        <f>SUM(D45:D45)</f>
        <v>3</v>
      </c>
      <c r="E44" s="99">
        <f>SUM(E45:E45)</f>
        <v>3</v>
      </c>
      <c r="F44" s="99">
        <f>SUM(F45:F45)</f>
        <v>3</v>
      </c>
      <c r="G44" s="99">
        <f>SUM(G45:G45)</f>
        <v>0</v>
      </c>
      <c r="H44" s="366"/>
      <c r="I44" s="366"/>
      <c r="J44" s="366"/>
      <c r="K44" s="366"/>
      <c r="L44" s="366"/>
      <c r="M44" s="366"/>
    </row>
    <row r="45" spans="1:13" ht="93.6" x14ac:dyDescent="0.3">
      <c r="A45" s="100" t="s">
        <v>1059</v>
      </c>
      <c r="B45" s="101" t="s">
        <v>1060</v>
      </c>
      <c r="C45" s="102" t="s">
        <v>27</v>
      </c>
      <c r="D45" s="104">
        <v>3</v>
      </c>
      <c r="E45" s="104">
        <v>3</v>
      </c>
      <c r="F45" s="104">
        <v>3</v>
      </c>
      <c r="G45" s="104">
        <v>0</v>
      </c>
      <c r="H45" s="105" t="s">
        <v>1061</v>
      </c>
      <c r="I45" s="106" t="s">
        <v>56</v>
      </c>
      <c r="J45" s="106">
        <v>100</v>
      </c>
      <c r="K45" s="230">
        <v>100</v>
      </c>
      <c r="L45" s="203" t="s">
        <v>1062</v>
      </c>
      <c r="M45" s="108"/>
    </row>
    <row r="46" spans="1:13" ht="31.2" x14ac:dyDescent="0.3">
      <c r="A46" s="97" t="s">
        <v>1063</v>
      </c>
      <c r="B46" s="124" t="s">
        <v>1064</v>
      </c>
      <c r="C46" s="125"/>
      <c r="D46" s="99">
        <f>D47+D51+D57+D61</f>
        <v>961.7</v>
      </c>
      <c r="E46" s="99">
        <f>E47+E51+E57+E61</f>
        <v>1235.7000000000003</v>
      </c>
      <c r="F46" s="99">
        <f>F47+F51+F57+F61</f>
        <v>1235.7000000000003</v>
      </c>
      <c r="G46" s="99">
        <f>G47+G51+G57+G61</f>
        <v>0</v>
      </c>
      <c r="H46" s="366"/>
      <c r="I46" s="366"/>
      <c r="J46" s="366"/>
      <c r="K46" s="366"/>
      <c r="L46" s="366"/>
      <c r="M46" s="366"/>
    </row>
    <row r="47" spans="1:13" ht="31.2" customHeight="1" x14ac:dyDescent="0.3">
      <c r="A47" s="363" t="s">
        <v>1065</v>
      </c>
      <c r="B47" s="361" t="s">
        <v>1066</v>
      </c>
      <c r="C47" s="102"/>
      <c r="D47" s="111">
        <f>SUM(D48:D50)</f>
        <v>139.20000000000002</v>
      </c>
      <c r="E47" s="111">
        <f>SUM(E48:E50)</f>
        <v>139.20000000000002</v>
      </c>
      <c r="F47" s="111">
        <f>SUM(F48:F50)</f>
        <v>139.20000000000002</v>
      </c>
      <c r="G47" s="111">
        <f>SUM(G48:G50)</f>
        <v>0</v>
      </c>
      <c r="H47" s="361" t="s">
        <v>1067</v>
      </c>
      <c r="I47" s="364" t="s">
        <v>551</v>
      </c>
      <c r="J47" s="364">
        <v>350</v>
      </c>
      <c r="K47" s="360">
        <v>845</v>
      </c>
      <c r="L47" s="361" t="s">
        <v>1068</v>
      </c>
      <c r="M47" s="444"/>
    </row>
    <row r="48" spans="1:13" ht="15.6" x14ac:dyDescent="0.3">
      <c r="A48" s="363"/>
      <c r="B48" s="361"/>
      <c r="C48" s="114" t="s">
        <v>36</v>
      </c>
      <c r="D48" s="116">
        <v>0.9</v>
      </c>
      <c r="E48" s="116">
        <v>0.9</v>
      </c>
      <c r="F48" s="116">
        <v>0.9</v>
      </c>
      <c r="G48" s="116">
        <v>0</v>
      </c>
      <c r="H48" s="361"/>
      <c r="I48" s="364"/>
      <c r="J48" s="364"/>
      <c r="K48" s="360"/>
      <c r="L48" s="361"/>
      <c r="M48" s="444"/>
    </row>
    <row r="49" spans="1:13" ht="15.6" x14ac:dyDescent="0.3">
      <c r="A49" s="363"/>
      <c r="B49" s="361"/>
      <c r="C49" s="114" t="s">
        <v>27</v>
      </c>
      <c r="D49" s="116">
        <v>134.80000000000001</v>
      </c>
      <c r="E49" s="116">
        <v>134.80000000000001</v>
      </c>
      <c r="F49" s="116">
        <v>134.80000000000001</v>
      </c>
      <c r="G49" s="116">
        <v>0</v>
      </c>
      <c r="H49" s="361"/>
      <c r="I49" s="364"/>
      <c r="J49" s="364"/>
      <c r="K49" s="360"/>
      <c r="L49" s="361"/>
      <c r="M49" s="444"/>
    </row>
    <row r="50" spans="1:13" ht="15.6" x14ac:dyDescent="0.3">
      <c r="A50" s="363"/>
      <c r="B50" s="361"/>
      <c r="C50" s="114" t="s">
        <v>182</v>
      </c>
      <c r="D50" s="116">
        <v>3.5</v>
      </c>
      <c r="E50" s="116">
        <v>3.5</v>
      </c>
      <c r="F50" s="116">
        <v>3.5</v>
      </c>
      <c r="G50" s="116">
        <v>0</v>
      </c>
      <c r="H50" s="361"/>
      <c r="I50" s="364"/>
      <c r="J50" s="364"/>
      <c r="K50" s="360"/>
      <c r="L50" s="361"/>
      <c r="M50" s="444"/>
    </row>
    <row r="51" spans="1:13" ht="62.4" customHeight="1" x14ac:dyDescent="0.3">
      <c r="A51" s="363" t="s">
        <v>1069</v>
      </c>
      <c r="B51" s="361" t="s">
        <v>1070</v>
      </c>
      <c r="C51" s="102"/>
      <c r="D51" s="111">
        <f>SUM(D52:D56)</f>
        <v>722.6</v>
      </c>
      <c r="E51" s="111">
        <f>SUM(E52:E56)</f>
        <v>722.6</v>
      </c>
      <c r="F51" s="111">
        <f>SUM(F52:F56)</f>
        <v>722.6</v>
      </c>
      <c r="G51" s="111">
        <f>SUM(G52:G56)</f>
        <v>0</v>
      </c>
      <c r="H51" s="105" t="s">
        <v>1071</v>
      </c>
      <c r="I51" s="106" t="s">
        <v>29</v>
      </c>
      <c r="J51" s="106">
        <v>70</v>
      </c>
      <c r="K51" s="117">
        <v>70</v>
      </c>
      <c r="L51" s="197" t="s">
        <v>1072</v>
      </c>
      <c r="M51" s="108"/>
    </row>
    <row r="52" spans="1:13" ht="46.8" x14ac:dyDescent="0.3">
      <c r="A52" s="363"/>
      <c r="B52" s="361"/>
      <c r="C52" s="114"/>
      <c r="D52" s="116">
        <v>0</v>
      </c>
      <c r="E52" s="116">
        <v>0</v>
      </c>
      <c r="F52" s="116">
        <v>0</v>
      </c>
      <c r="G52" s="116">
        <v>0</v>
      </c>
      <c r="H52" s="118" t="s">
        <v>1073</v>
      </c>
      <c r="I52" s="119" t="s">
        <v>29</v>
      </c>
      <c r="J52" s="256">
        <v>50000</v>
      </c>
      <c r="K52" s="252">
        <v>117135</v>
      </c>
      <c r="L52" s="118" t="s">
        <v>1074</v>
      </c>
      <c r="M52" s="121"/>
    </row>
    <row r="53" spans="1:13" ht="46.8" x14ac:dyDescent="0.3">
      <c r="A53" s="363"/>
      <c r="B53" s="361"/>
      <c r="C53" s="114"/>
      <c r="D53" s="116">
        <v>0</v>
      </c>
      <c r="E53" s="116">
        <v>0</v>
      </c>
      <c r="F53" s="116">
        <v>0</v>
      </c>
      <c r="G53" s="116">
        <v>0</v>
      </c>
      <c r="H53" s="118" t="s">
        <v>1075</v>
      </c>
      <c r="I53" s="119" t="s">
        <v>29</v>
      </c>
      <c r="J53" s="256">
        <v>2500</v>
      </c>
      <c r="K53" s="252">
        <v>4492</v>
      </c>
      <c r="L53" s="118" t="s">
        <v>1076</v>
      </c>
      <c r="M53" s="121"/>
    </row>
    <row r="54" spans="1:13" ht="88.2" customHeight="1" x14ac:dyDescent="0.3">
      <c r="A54" s="363"/>
      <c r="B54" s="361"/>
      <c r="C54" s="114"/>
      <c r="D54" s="116">
        <v>0</v>
      </c>
      <c r="E54" s="116">
        <v>0</v>
      </c>
      <c r="F54" s="116">
        <v>0</v>
      </c>
      <c r="G54" s="116">
        <v>0</v>
      </c>
      <c r="H54" s="367" t="s">
        <v>1077</v>
      </c>
      <c r="I54" s="373" t="s">
        <v>56</v>
      </c>
      <c r="J54" s="373">
        <v>90</v>
      </c>
      <c r="K54" s="374">
        <v>97.5</v>
      </c>
      <c r="L54" s="367" t="s">
        <v>1078</v>
      </c>
      <c r="M54" s="395"/>
    </row>
    <row r="55" spans="1:13" ht="15.6" x14ac:dyDescent="0.3">
      <c r="A55" s="363"/>
      <c r="B55" s="361"/>
      <c r="C55" s="114" t="s">
        <v>27</v>
      </c>
      <c r="D55" s="116">
        <v>229.1</v>
      </c>
      <c r="E55" s="116">
        <v>229.1</v>
      </c>
      <c r="F55" s="116">
        <v>229.1</v>
      </c>
      <c r="G55" s="116">
        <v>0</v>
      </c>
      <c r="H55" s="367"/>
      <c r="I55" s="373"/>
      <c r="J55" s="373"/>
      <c r="K55" s="374"/>
      <c r="L55" s="367"/>
      <c r="M55" s="395"/>
    </row>
    <row r="56" spans="1:13" ht="30.6" customHeight="1" x14ac:dyDescent="0.3">
      <c r="A56" s="363"/>
      <c r="B56" s="361"/>
      <c r="C56" s="114" t="s">
        <v>1079</v>
      </c>
      <c r="D56" s="116">
        <v>493.5</v>
      </c>
      <c r="E56" s="116">
        <v>493.5</v>
      </c>
      <c r="F56" s="116">
        <v>493.5</v>
      </c>
      <c r="G56" s="116">
        <v>0</v>
      </c>
      <c r="H56" s="367"/>
      <c r="I56" s="373"/>
      <c r="J56" s="373"/>
      <c r="K56" s="374"/>
      <c r="L56" s="367"/>
      <c r="M56" s="395"/>
    </row>
    <row r="57" spans="1:13" ht="62.4" customHeight="1" x14ac:dyDescent="0.3">
      <c r="A57" s="363" t="s">
        <v>1080</v>
      </c>
      <c r="B57" s="361" t="s">
        <v>1081</v>
      </c>
      <c r="C57" s="396" t="s">
        <v>1079</v>
      </c>
      <c r="D57" s="397">
        <f>SUM(D58:D60)</f>
        <v>0</v>
      </c>
      <c r="E57" s="397">
        <f>SUM(E58:E60)+274</f>
        <v>274</v>
      </c>
      <c r="F57" s="397">
        <f>SUM(F58:F60)+274</f>
        <v>274</v>
      </c>
      <c r="G57" s="111">
        <f>SUM(G58:G60)</f>
        <v>0</v>
      </c>
      <c r="H57" s="105" t="s">
        <v>1082</v>
      </c>
      <c r="I57" s="106" t="s">
        <v>29</v>
      </c>
      <c r="J57" s="106">
        <v>250</v>
      </c>
      <c r="K57" s="117">
        <v>413</v>
      </c>
      <c r="L57" s="105" t="s">
        <v>1083</v>
      </c>
      <c r="M57" s="108"/>
    </row>
    <row r="58" spans="1:13" ht="46.8" x14ac:dyDescent="0.3">
      <c r="A58" s="363"/>
      <c r="B58" s="361"/>
      <c r="C58" s="396"/>
      <c r="D58" s="397"/>
      <c r="E58" s="397"/>
      <c r="F58" s="397"/>
      <c r="G58" s="116">
        <v>0</v>
      </c>
      <c r="H58" s="118" t="s">
        <v>1084</v>
      </c>
      <c r="I58" s="119" t="s">
        <v>29</v>
      </c>
      <c r="J58" s="256">
        <v>10000</v>
      </c>
      <c r="K58" s="252">
        <v>44808</v>
      </c>
      <c r="L58" s="118" t="s">
        <v>1085</v>
      </c>
      <c r="M58" s="121"/>
    </row>
    <row r="59" spans="1:13" ht="62.4" x14ac:dyDescent="0.3">
      <c r="A59" s="363"/>
      <c r="B59" s="361"/>
      <c r="C59" s="396"/>
      <c r="D59" s="397"/>
      <c r="E59" s="397"/>
      <c r="F59" s="397"/>
      <c r="G59" s="116">
        <v>0</v>
      </c>
      <c r="H59" s="118" t="s">
        <v>1086</v>
      </c>
      <c r="I59" s="119" t="s">
        <v>29</v>
      </c>
      <c r="J59" s="119">
        <v>1</v>
      </c>
      <c r="K59" s="128">
        <v>1</v>
      </c>
      <c r="L59" s="118" t="s">
        <v>1087</v>
      </c>
      <c r="M59" s="121"/>
    </row>
    <row r="60" spans="1:13" ht="37.200000000000003" customHeight="1" x14ac:dyDescent="0.3">
      <c r="A60" s="363"/>
      <c r="B60" s="361"/>
      <c r="C60" s="396"/>
      <c r="D60" s="397"/>
      <c r="E60" s="397"/>
      <c r="F60" s="397"/>
      <c r="G60" s="116">
        <v>0</v>
      </c>
      <c r="H60" s="118" t="s">
        <v>1088</v>
      </c>
      <c r="I60" s="119" t="s">
        <v>29</v>
      </c>
      <c r="J60" s="119">
        <v>450</v>
      </c>
      <c r="K60" s="252">
        <v>2950</v>
      </c>
      <c r="L60" s="118" t="s">
        <v>1089</v>
      </c>
      <c r="M60" s="121"/>
    </row>
    <row r="61" spans="1:13" ht="46.8" customHeight="1" x14ac:dyDescent="0.3">
      <c r="A61" s="363" t="s">
        <v>1090</v>
      </c>
      <c r="B61" s="361" t="s">
        <v>1091</v>
      </c>
      <c r="C61" s="102" t="s">
        <v>1079</v>
      </c>
      <c r="D61" s="111">
        <v>99.9</v>
      </c>
      <c r="E61" s="111">
        <f>SUM(E62:E64)+99.9</f>
        <v>99.9</v>
      </c>
      <c r="F61" s="111">
        <f>SUM(F62:F64)+99.9</f>
        <v>99.9</v>
      </c>
      <c r="G61" s="111">
        <f>SUM(G62:G64)</f>
        <v>0</v>
      </c>
      <c r="H61" s="105" t="s">
        <v>1092</v>
      </c>
      <c r="I61" s="106" t="s">
        <v>551</v>
      </c>
      <c r="J61" s="106">
        <v>6</v>
      </c>
      <c r="K61" s="117">
        <v>18</v>
      </c>
      <c r="L61" s="105" t="s">
        <v>1093</v>
      </c>
      <c r="M61" s="108"/>
    </row>
    <row r="62" spans="1:13" ht="48" customHeight="1" x14ac:dyDescent="0.3">
      <c r="A62" s="363"/>
      <c r="B62" s="361"/>
      <c r="C62" s="114"/>
      <c r="D62" s="116">
        <v>0</v>
      </c>
      <c r="E62" s="116">
        <v>0</v>
      </c>
      <c r="F62" s="116">
        <v>0</v>
      </c>
      <c r="G62" s="116">
        <v>0</v>
      </c>
      <c r="H62" s="118" t="s">
        <v>1094</v>
      </c>
      <c r="I62" s="119" t="s">
        <v>29</v>
      </c>
      <c r="J62" s="119">
        <v>3</v>
      </c>
      <c r="K62" s="128">
        <v>5</v>
      </c>
      <c r="L62" s="118" t="s">
        <v>1095</v>
      </c>
      <c r="M62" s="121"/>
    </row>
    <row r="63" spans="1:13" s="282" customFormat="1" ht="31.2" x14ac:dyDescent="0.3">
      <c r="A63" s="288" t="s">
        <v>1096</v>
      </c>
      <c r="B63" s="289" t="s">
        <v>1097</v>
      </c>
      <c r="C63" s="290"/>
      <c r="D63" s="291">
        <f>SUM(D64:D64)</f>
        <v>274</v>
      </c>
      <c r="E63" s="291">
        <f>SUM(E64:E64)</f>
        <v>0</v>
      </c>
      <c r="F63" s="291">
        <f>SUM(F64:F64)</f>
        <v>0</v>
      </c>
      <c r="G63" s="291">
        <f>SUM(G64:G64)</f>
        <v>0</v>
      </c>
      <c r="H63" s="326"/>
      <c r="I63" s="326"/>
      <c r="J63" s="326"/>
      <c r="K63" s="326"/>
      <c r="L63" s="326"/>
      <c r="M63" s="326"/>
    </row>
    <row r="64" spans="1:13" s="282" customFormat="1" ht="48.6" customHeight="1" x14ac:dyDescent="0.3">
      <c r="A64" s="275" t="s">
        <v>1098</v>
      </c>
      <c r="B64" s="276" t="s">
        <v>1099</v>
      </c>
      <c r="C64" s="277" t="s">
        <v>1079</v>
      </c>
      <c r="D64" s="26">
        <v>274</v>
      </c>
      <c r="E64" s="26">
        <v>0</v>
      </c>
      <c r="F64" s="26">
        <v>0</v>
      </c>
      <c r="G64" s="26">
        <v>0</v>
      </c>
      <c r="H64" s="280"/>
      <c r="I64" s="278"/>
      <c r="J64" s="278"/>
      <c r="K64" s="278"/>
      <c r="L64" s="280"/>
      <c r="M64" s="281"/>
    </row>
    <row r="65" spans="1:13" ht="31.2" x14ac:dyDescent="0.3">
      <c r="A65" s="94" t="s">
        <v>1100</v>
      </c>
      <c r="B65" s="137" t="s">
        <v>1101</v>
      </c>
      <c r="C65" s="138"/>
      <c r="D65" s="96">
        <f>SUM(D66:D66)</f>
        <v>95</v>
      </c>
      <c r="E65" s="96">
        <f>SUM(E66:E66)</f>
        <v>86.8</v>
      </c>
      <c r="F65" s="96">
        <f>SUM(F66:F66)</f>
        <v>70.099999999999994</v>
      </c>
      <c r="G65" s="96">
        <f>SUM(G66:G66)</f>
        <v>16.7</v>
      </c>
      <c r="H65" s="375"/>
      <c r="I65" s="375"/>
      <c r="J65" s="375"/>
      <c r="K65" s="375"/>
      <c r="L65" s="375"/>
      <c r="M65" s="375"/>
    </row>
    <row r="66" spans="1:13" ht="62.4" x14ac:dyDescent="0.3">
      <c r="A66" s="97" t="s">
        <v>1102</v>
      </c>
      <c r="B66" s="124" t="s">
        <v>1103</v>
      </c>
      <c r="C66" s="125"/>
      <c r="D66" s="99">
        <f>D67+D71+D80+D81</f>
        <v>95</v>
      </c>
      <c r="E66" s="99">
        <f>E67+E71+E80+E81</f>
        <v>86.8</v>
      </c>
      <c r="F66" s="99">
        <f>F67+F71+F80+F81+0.1</f>
        <v>70.099999999999994</v>
      </c>
      <c r="G66" s="99">
        <f>G67+G71+G80+G81-0.1</f>
        <v>16.7</v>
      </c>
      <c r="H66" s="366"/>
      <c r="I66" s="366"/>
      <c r="J66" s="366"/>
      <c r="K66" s="366"/>
      <c r="L66" s="366"/>
      <c r="M66" s="366"/>
    </row>
    <row r="67" spans="1:13" ht="46.8" customHeight="1" x14ac:dyDescent="0.3">
      <c r="A67" s="363" t="s">
        <v>1104</v>
      </c>
      <c r="B67" s="361" t="s">
        <v>1105</v>
      </c>
      <c r="C67" s="364" t="s">
        <v>27</v>
      </c>
      <c r="D67" s="397">
        <f>SUM(D68:D70)+49.1</f>
        <v>49.1</v>
      </c>
      <c r="E67" s="397">
        <f>SUM(E68:E70)+49.1</f>
        <v>49.1</v>
      </c>
      <c r="F67" s="397">
        <f>SUM(F68:F70)+36</f>
        <v>36</v>
      </c>
      <c r="G67" s="111">
        <f>SUM(G68:G70)+13.1</f>
        <v>13.1</v>
      </c>
      <c r="H67" s="105" t="s">
        <v>1106</v>
      </c>
      <c r="I67" s="106" t="s">
        <v>551</v>
      </c>
      <c r="J67" s="106">
        <v>20</v>
      </c>
      <c r="K67" s="107">
        <v>1</v>
      </c>
      <c r="L67" s="105" t="s">
        <v>1107</v>
      </c>
      <c r="M67" s="108" t="s">
        <v>1108</v>
      </c>
    </row>
    <row r="68" spans="1:13" ht="31.2" x14ac:dyDescent="0.3">
      <c r="A68" s="363"/>
      <c r="B68" s="361"/>
      <c r="C68" s="364"/>
      <c r="D68" s="397"/>
      <c r="E68" s="397"/>
      <c r="F68" s="397"/>
      <c r="G68" s="116">
        <v>0</v>
      </c>
      <c r="H68" s="118" t="s">
        <v>1109</v>
      </c>
      <c r="I68" s="119" t="s">
        <v>29</v>
      </c>
      <c r="J68" s="256">
        <v>1900</v>
      </c>
      <c r="K68" s="257">
        <v>1837</v>
      </c>
      <c r="L68" s="118" t="s">
        <v>1110</v>
      </c>
      <c r="M68" s="121" t="s">
        <v>1111</v>
      </c>
    </row>
    <row r="69" spans="1:13" ht="15.6" x14ac:dyDescent="0.3">
      <c r="A69" s="363"/>
      <c r="B69" s="361"/>
      <c r="C69" s="364"/>
      <c r="D69" s="397"/>
      <c r="E69" s="397"/>
      <c r="F69" s="397"/>
      <c r="G69" s="116">
        <v>0</v>
      </c>
      <c r="H69" s="118" t="s">
        <v>1112</v>
      </c>
      <c r="I69" s="119" t="s">
        <v>29</v>
      </c>
      <c r="J69" s="119">
        <v>5</v>
      </c>
      <c r="K69" s="120">
        <v>1</v>
      </c>
      <c r="L69" s="118" t="s">
        <v>1113</v>
      </c>
      <c r="M69" s="121" t="s">
        <v>1108</v>
      </c>
    </row>
    <row r="70" spans="1:13" ht="31.2" x14ac:dyDescent="0.3">
      <c r="A70" s="363"/>
      <c r="B70" s="361"/>
      <c r="C70" s="364"/>
      <c r="D70" s="397"/>
      <c r="E70" s="397"/>
      <c r="F70" s="397"/>
      <c r="G70" s="116">
        <v>0</v>
      </c>
      <c r="H70" s="118" t="s">
        <v>1114</v>
      </c>
      <c r="I70" s="119" t="s">
        <v>551</v>
      </c>
      <c r="J70" s="119">
        <v>3</v>
      </c>
      <c r="K70" s="128">
        <v>3</v>
      </c>
      <c r="L70" s="118" t="s">
        <v>1115</v>
      </c>
      <c r="M70" s="121" t="s">
        <v>1108</v>
      </c>
    </row>
    <row r="71" spans="1:13" ht="62.4" customHeight="1" x14ac:dyDescent="0.3">
      <c r="A71" s="363" t="s">
        <v>1116</v>
      </c>
      <c r="B71" s="361" t="s">
        <v>1117</v>
      </c>
      <c r="C71" s="434"/>
      <c r="D71" s="435">
        <f>SUM(D72:D79)</f>
        <v>15.7</v>
      </c>
      <c r="E71" s="435">
        <f>SUM(E72:E79)</f>
        <v>15.7</v>
      </c>
      <c r="F71" s="435">
        <f>SUM(F72:F79)</f>
        <v>15.4</v>
      </c>
      <c r="G71" s="111">
        <f>SUM(G72:G79)</f>
        <v>0.3</v>
      </c>
      <c r="H71" s="105" t="s">
        <v>1118</v>
      </c>
      <c r="I71" s="106" t="s">
        <v>29</v>
      </c>
      <c r="J71" s="106">
        <v>35</v>
      </c>
      <c r="K71" s="117">
        <v>35</v>
      </c>
      <c r="L71" s="105" t="s">
        <v>1119</v>
      </c>
      <c r="M71" s="108"/>
    </row>
    <row r="72" spans="1:13" ht="15.6" x14ac:dyDescent="0.3">
      <c r="A72" s="363"/>
      <c r="B72" s="361"/>
      <c r="C72" s="434"/>
      <c r="D72" s="435"/>
      <c r="E72" s="435"/>
      <c r="F72" s="435"/>
      <c r="G72" s="116">
        <v>0</v>
      </c>
      <c r="H72" s="118" t="s">
        <v>1120</v>
      </c>
      <c r="I72" s="119" t="s">
        <v>29</v>
      </c>
      <c r="J72" s="119">
        <v>200</v>
      </c>
      <c r="K72" s="128">
        <v>429</v>
      </c>
      <c r="L72" s="118" t="s">
        <v>1121</v>
      </c>
      <c r="M72" s="121"/>
    </row>
    <row r="73" spans="1:13" ht="31.2" x14ac:dyDescent="0.3">
      <c r="A73" s="363"/>
      <c r="B73" s="361"/>
      <c r="C73" s="434"/>
      <c r="D73" s="435"/>
      <c r="E73" s="435"/>
      <c r="F73" s="435"/>
      <c r="G73" s="116">
        <v>0</v>
      </c>
      <c r="H73" s="118" t="s">
        <v>1122</v>
      </c>
      <c r="I73" s="119" t="s">
        <v>551</v>
      </c>
      <c r="J73" s="119">
        <v>3</v>
      </c>
      <c r="K73" s="128">
        <v>3</v>
      </c>
      <c r="L73" s="118" t="s">
        <v>1123</v>
      </c>
      <c r="M73" s="121"/>
    </row>
    <row r="74" spans="1:13" ht="15.6" x14ac:dyDescent="0.3">
      <c r="A74" s="363"/>
      <c r="B74" s="361"/>
      <c r="C74" s="434"/>
      <c r="D74" s="435"/>
      <c r="E74" s="435"/>
      <c r="F74" s="435"/>
      <c r="G74" s="116">
        <v>0</v>
      </c>
      <c r="H74" s="118" t="s">
        <v>1124</v>
      </c>
      <c r="I74" s="119" t="s">
        <v>29</v>
      </c>
      <c r="J74" s="119">
        <v>85</v>
      </c>
      <c r="K74" s="128">
        <v>375</v>
      </c>
      <c r="L74" s="118" t="s">
        <v>1125</v>
      </c>
      <c r="M74" s="121"/>
    </row>
    <row r="75" spans="1:13" ht="15.6" x14ac:dyDescent="0.3">
      <c r="A75" s="363"/>
      <c r="B75" s="361"/>
      <c r="C75" s="434"/>
      <c r="D75" s="435"/>
      <c r="E75" s="435"/>
      <c r="F75" s="435"/>
      <c r="G75" s="116">
        <v>0</v>
      </c>
      <c r="H75" s="118" t="s">
        <v>1126</v>
      </c>
      <c r="I75" s="119" t="s">
        <v>29</v>
      </c>
      <c r="J75" s="119">
        <v>400</v>
      </c>
      <c r="K75" s="128">
        <v>698</v>
      </c>
      <c r="L75" s="118" t="s">
        <v>1127</v>
      </c>
      <c r="M75" s="121"/>
    </row>
    <row r="76" spans="1:13" ht="31.2" x14ac:dyDescent="0.3">
      <c r="A76" s="363"/>
      <c r="B76" s="361"/>
      <c r="C76" s="434"/>
      <c r="D76" s="435"/>
      <c r="E76" s="435"/>
      <c r="F76" s="435"/>
      <c r="G76" s="116">
        <v>0</v>
      </c>
      <c r="H76" s="118" t="s">
        <v>1128</v>
      </c>
      <c r="I76" s="119" t="s">
        <v>551</v>
      </c>
      <c r="J76" s="119">
        <v>50</v>
      </c>
      <c r="K76" s="128">
        <v>90</v>
      </c>
      <c r="L76" s="118" t="s">
        <v>1129</v>
      </c>
      <c r="M76" s="121"/>
    </row>
    <row r="77" spans="1:13" ht="31.2" x14ac:dyDescent="0.3">
      <c r="A77" s="363"/>
      <c r="B77" s="361"/>
      <c r="C77" s="434"/>
      <c r="D77" s="435"/>
      <c r="E77" s="435"/>
      <c r="F77" s="435"/>
      <c r="G77" s="116">
        <v>0</v>
      </c>
      <c r="H77" s="118" t="s">
        <v>1130</v>
      </c>
      <c r="I77" s="119" t="s">
        <v>29</v>
      </c>
      <c r="J77" s="119">
        <v>380</v>
      </c>
      <c r="K77" s="128">
        <v>0</v>
      </c>
      <c r="L77" s="118"/>
      <c r="M77" s="121" t="s">
        <v>1131</v>
      </c>
    </row>
    <row r="78" spans="1:13" ht="25.8" customHeight="1" x14ac:dyDescent="0.3">
      <c r="A78" s="363"/>
      <c r="B78" s="361"/>
      <c r="C78" s="434"/>
      <c r="D78" s="435"/>
      <c r="E78" s="435"/>
      <c r="F78" s="435"/>
      <c r="G78" s="116">
        <v>0</v>
      </c>
      <c r="H78" s="367" t="s">
        <v>1132</v>
      </c>
      <c r="I78" s="373" t="s">
        <v>29</v>
      </c>
      <c r="J78" s="373">
        <v>100</v>
      </c>
      <c r="K78" s="456">
        <v>125</v>
      </c>
      <c r="L78" s="367" t="s">
        <v>1133</v>
      </c>
      <c r="M78" s="457"/>
    </row>
    <row r="79" spans="1:13" ht="30.6" customHeight="1" x14ac:dyDescent="0.3">
      <c r="A79" s="363"/>
      <c r="B79" s="361"/>
      <c r="C79" s="114" t="s">
        <v>36</v>
      </c>
      <c r="D79" s="116">
        <v>15.7</v>
      </c>
      <c r="E79" s="116">
        <v>15.7</v>
      </c>
      <c r="F79" s="116">
        <v>15.4</v>
      </c>
      <c r="G79" s="116">
        <v>0.3</v>
      </c>
      <c r="H79" s="367"/>
      <c r="I79" s="373"/>
      <c r="J79" s="373"/>
      <c r="K79" s="456"/>
      <c r="L79" s="367"/>
      <c r="M79" s="457"/>
    </row>
    <row r="80" spans="1:13" ht="36.6" customHeight="1" x14ac:dyDescent="0.3">
      <c r="A80" s="100" t="s">
        <v>1134</v>
      </c>
      <c r="B80" s="101" t="s">
        <v>1135</v>
      </c>
      <c r="C80" s="102" t="s">
        <v>27</v>
      </c>
      <c r="D80" s="104">
        <v>15</v>
      </c>
      <c r="E80" s="104">
        <v>15</v>
      </c>
      <c r="F80" s="104">
        <v>14.9</v>
      </c>
      <c r="G80" s="104">
        <v>0.1</v>
      </c>
      <c r="H80" s="105" t="s">
        <v>1136</v>
      </c>
      <c r="I80" s="106" t="s">
        <v>551</v>
      </c>
      <c r="J80" s="106">
        <v>7</v>
      </c>
      <c r="K80" s="117">
        <v>12</v>
      </c>
      <c r="L80" s="105" t="s">
        <v>1137</v>
      </c>
      <c r="M80" s="283"/>
    </row>
    <row r="81" spans="1:13" ht="74.400000000000006" customHeight="1" x14ac:dyDescent="0.3">
      <c r="A81" s="363" t="s">
        <v>1138</v>
      </c>
      <c r="B81" s="361" t="s">
        <v>1139</v>
      </c>
      <c r="C81" s="102"/>
      <c r="D81" s="111">
        <f>SUM(D82:D84)</f>
        <v>15.2</v>
      </c>
      <c r="E81" s="111">
        <f>SUM(E82:E84)</f>
        <v>7</v>
      </c>
      <c r="F81" s="111">
        <f>SUM(F82:F84)</f>
        <v>3.7</v>
      </c>
      <c r="G81" s="111">
        <f>SUM(G82:G84)</f>
        <v>3.3000000000000003</v>
      </c>
      <c r="H81" s="361" t="s">
        <v>1140</v>
      </c>
      <c r="I81" s="364" t="s">
        <v>551</v>
      </c>
      <c r="J81" s="364">
        <v>10</v>
      </c>
      <c r="K81" s="360">
        <v>17</v>
      </c>
      <c r="L81" s="361" t="s">
        <v>1141</v>
      </c>
      <c r="M81" s="447"/>
    </row>
    <row r="82" spans="1:13" ht="15.6" x14ac:dyDescent="0.3">
      <c r="A82" s="363"/>
      <c r="B82" s="361"/>
      <c r="C82" s="114" t="s">
        <v>200</v>
      </c>
      <c r="D82" s="116">
        <v>6</v>
      </c>
      <c r="E82" s="116">
        <v>3</v>
      </c>
      <c r="F82" s="116">
        <v>1.4</v>
      </c>
      <c r="G82" s="116">
        <v>1.6</v>
      </c>
      <c r="H82" s="361"/>
      <c r="I82" s="364"/>
      <c r="J82" s="364"/>
      <c r="K82" s="360"/>
      <c r="L82" s="361"/>
      <c r="M82" s="447"/>
    </row>
    <row r="83" spans="1:13" ht="15.6" x14ac:dyDescent="0.3">
      <c r="A83" s="363"/>
      <c r="B83" s="361"/>
      <c r="C83" s="114" t="s">
        <v>27</v>
      </c>
      <c r="D83" s="116">
        <v>8.6</v>
      </c>
      <c r="E83" s="116">
        <v>3.7</v>
      </c>
      <c r="F83" s="116">
        <v>2.2000000000000002</v>
      </c>
      <c r="G83" s="116">
        <v>1.5</v>
      </c>
      <c r="H83" s="361"/>
      <c r="I83" s="364"/>
      <c r="J83" s="364"/>
      <c r="K83" s="360"/>
      <c r="L83" s="361"/>
      <c r="M83" s="447"/>
    </row>
    <row r="84" spans="1:13" ht="15.6" x14ac:dyDescent="0.3">
      <c r="A84" s="363"/>
      <c r="B84" s="361"/>
      <c r="C84" s="133" t="s">
        <v>242</v>
      </c>
      <c r="D84" s="143">
        <v>0.6</v>
      </c>
      <c r="E84" s="143">
        <v>0.3</v>
      </c>
      <c r="F84" s="143">
        <v>0.1</v>
      </c>
      <c r="G84" s="143">
        <v>0.2</v>
      </c>
      <c r="H84" s="361"/>
      <c r="I84" s="364"/>
      <c r="J84" s="364"/>
      <c r="K84" s="360"/>
      <c r="L84" s="361"/>
      <c r="M84" s="447"/>
    </row>
    <row r="85" spans="1:13" x14ac:dyDescent="0.3">
      <c r="A85" s="205"/>
      <c r="B85" s="205"/>
      <c r="C85" s="206"/>
      <c r="D85" s="207"/>
      <c r="E85" s="207"/>
      <c r="F85" s="207"/>
      <c r="G85" s="207"/>
      <c r="H85" s="206"/>
      <c r="I85" s="208"/>
      <c r="J85" s="209"/>
      <c r="K85" s="209"/>
      <c r="L85" s="206"/>
      <c r="M85" s="206"/>
    </row>
    <row r="86" spans="1:13" x14ac:dyDescent="0.3">
      <c r="A86" s="205"/>
      <c r="B86" s="205"/>
      <c r="C86" s="206"/>
      <c r="D86" s="207"/>
      <c r="E86" s="207"/>
      <c r="F86" s="207"/>
      <c r="G86" s="207"/>
      <c r="H86" s="206"/>
      <c r="I86" s="208"/>
      <c r="J86" s="209"/>
      <c r="K86" s="209"/>
      <c r="L86" s="206"/>
      <c r="M86" s="206"/>
    </row>
    <row r="87" spans="1:13" ht="78" customHeight="1" x14ac:dyDescent="0.3">
      <c r="A87" s="236" t="s">
        <v>5</v>
      </c>
      <c r="B87" s="236" t="s">
        <v>101</v>
      </c>
      <c r="C87" s="236" t="s">
        <v>222</v>
      </c>
      <c r="D87" s="236" t="s">
        <v>223</v>
      </c>
      <c r="E87" s="236" t="s">
        <v>104</v>
      </c>
      <c r="F87" s="236" t="s">
        <v>669</v>
      </c>
      <c r="K87" s="258"/>
      <c r="L87" s="214" t="s">
        <v>101</v>
      </c>
      <c r="M87" s="214" t="s">
        <v>105</v>
      </c>
    </row>
    <row r="88" spans="1:13" ht="15.6" x14ac:dyDescent="0.3">
      <c r="A88" s="292" t="s">
        <v>106</v>
      </c>
      <c r="B88" s="292" t="s">
        <v>107</v>
      </c>
      <c r="C88" s="293">
        <f>SUM(C89:C95)</f>
        <v>3014.2999999999997</v>
      </c>
      <c r="D88" s="293">
        <f>SUM(D89:D95)</f>
        <v>2715.1999999999994</v>
      </c>
      <c r="E88" s="293">
        <f>SUM(E89:E95)+0.1</f>
        <v>2374.9</v>
      </c>
      <c r="F88" s="293">
        <f>SUM(F89:F95)-0.1</f>
        <v>340.29999999999995</v>
      </c>
      <c r="K88" s="220"/>
      <c r="L88" s="261" t="s">
        <v>108</v>
      </c>
      <c r="M88" s="262">
        <v>15</v>
      </c>
    </row>
    <row r="89" spans="1:13" ht="40.200000000000003" x14ac:dyDescent="0.3">
      <c r="A89" s="292" t="s">
        <v>27</v>
      </c>
      <c r="B89" s="292" t="s">
        <v>109</v>
      </c>
      <c r="C89" s="294">
        <v>1488.6</v>
      </c>
      <c r="D89" s="294">
        <v>1586.6</v>
      </c>
      <c r="E89" s="294">
        <v>1292.3</v>
      </c>
      <c r="F89" s="294">
        <v>294.3</v>
      </c>
      <c r="K89" s="221"/>
      <c r="L89" s="261" t="s">
        <v>110</v>
      </c>
      <c r="M89" s="262">
        <v>3</v>
      </c>
    </row>
    <row r="90" spans="1:13" ht="40.200000000000003" x14ac:dyDescent="0.3">
      <c r="A90" s="292" t="s">
        <v>846</v>
      </c>
      <c r="B90" s="292" t="s">
        <v>993</v>
      </c>
      <c r="C90" s="294">
        <v>74.5</v>
      </c>
      <c r="D90" s="294">
        <v>68.3</v>
      </c>
      <c r="E90" s="294">
        <v>67.400000000000006</v>
      </c>
      <c r="F90" s="294">
        <v>0.9</v>
      </c>
      <c r="K90" s="222"/>
      <c r="L90" s="261" t="s">
        <v>112</v>
      </c>
      <c r="M90" s="262">
        <v>1</v>
      </c>
    </row>
    <row r="91" spans="1:13" ht="15.6" x14ac:dyDescent="0.3">
      <c r="A91" s="292" t="s">
        <v>1079</v>
      </c>
      <c r="B91" s="292" t="s">
        <v>1142</v>
      </c>
      <c r="C91" s="294">
        <v>867.4</v>
      </c>
      <c r="D91" s="294">
        <v>867.4</v>
      </c>
      <c r="E91" s="294">
        <v>867.4</v>
      </c>
      <c r="F91" s="294">
        <v>0</v>
      </c>
      <c r="K91" s="212"/>
      <c r="L91" s="213" t="s">
        <v>114</v>
      </c>
      <c r="M91" s="214">
        <v>19</v>
      </c>
    </row>
    <row r="92" spans="1:13" x14ac:dyDescent="0.3">
      <c r="A92" s="292" t="s">
        <v>242</v>
      </c>
      <c r="B92" s="292" t="s">
        <v>375</v>
      </c>
      <c r="C92" s="294">
        <v>43</v>
      </c>
      <c r="D92" s="294">
        <v>11.7</v>
      </c>
      <c r="E92" s="294">
        <v>7.6</v>
      </c>
      <c r="F92" s="294">
        <v>4.0999999999999996</v>
      </c>
    </row>
    <row r="93" spans="1:13" x14ac:dyDescent="0.3">
      <c r="A93" s="292" t="s">
        <v>200</v>
      </c>
      <c r="B93" s="292" t="s">
        <v>225</v>
      </c>
      <c r="C93" s="294">
        <v>486.1</v>
      </c>
      <c r="D93" s="294">
        <v>127.2</v>
      </c>
      <c r="E93" s="294">
        <v>86.5</v>
      </c>
      <c r="F93" s="294">
        <v>40.700000000000003</v>
      </c>
    </row>
    <row r="94" spans="1:13" x14ac:dyDescent="0.3">
      <c r="A94" s="292" t="s">
        <v>182</v>
      </c>
      <c r="B94" s="292" t="s">
        <v>226</v>
      </c>
      <c r="C94" s="294">
        <v>9</v>
      </c>
      <c r="D94" s="294">
        <v>8.3000000000000007</v>
      </c>
      <c r="E94" s="294">
        <v>8.3000000000000007</v>
      </c>
      <c r="F94" s="294">
        <v>0</v>
      </c>
    </row>
    <row r="95" spans="1:13" x14ac:dyDescent="0.3">
      <c r="A95" s="292" t="s">
        <v>36</v>
      </c>
      <c r="B95" s="292" t="s">
        <v>111</v>
      </c>
      <c r="C95" s="294">
        <v>45.7</v>
      </c>
      <c r="D95" s="294">
        <v>45.7</v>
      </c>
      <c r="E95" s="294">
        <v>45.3</v>
      </c>
      <c r="F95" s="294">
        <v>0.4</v>
      </c>
    </row>
    <row r="96" spans="1:13" x14ac:dyDescent="0.3">
      <c r="A96" s="292" t="s">
        <v>614</v>
      </c>
      <c r="B96" s="292" t="s">
        <v>615</v>
      </c>
      <c r="C96" s="293">
        <f>SUM(C97:C98)</f>
        <v>0</v>
      </c>
      <c r="D96" s="293">
        <f>SUM(D97:D98)</f>
        <v>94.1</v>
      </c>
      <c r="E96" s="293">
        <f>SUM(E97:E98)</f>
        <v>87.7</v>
      </c>
      <c r="F96" s="293">
        <f>SUM(F97:F98)</f>
        <v>6.4</v>
      </c>
    </row>
    <row r="97" spans="1:6" x14ac:dyDescent="0.3">
      <c r="A97" s="292" t="s">
        <v>689</v>
      </c>
      <c r="B97" s="292" t="s">
        <v>775</v>
      </c>
      <c r="C97" s="294">
        <v>0</v>
      </c>
      <c r="D97" s="294">
        <v>7</v>
      </c>
      <c r="E97" s="294">
        <v>6.5</v>
      </c>
      <c r="F97" s="294">
        <v>0.5</v>
      </c>
    </row>
    <row r="98" spans="1:6" x14ac:dyDescent="0.3">
      <c r="A98" s="292" t="s">
        <v>875</v>
      </c>
      <c r="B98" s="292" t="s">
        <v>994</v>
      </c>
      <c r="C98" s="294">
        <v>0</v>
      </c>
      <c r="D98" s="294">
        <v>87.1</v>
      </c>
      <c r="E98" s="294">
        <v>81.2</v>
      </c>
      <c r="F98" s="294">
        <v>5.9</v>
      </c>
    </row>
    <row r="99" spans="1:6" x14ac:dyDescent="0.3">
      <c r="A99" s="295"/>
      <c r="B99" s="296" t="s">
        <v>113</v>
      </c>
      <c r="C99" s="297">
        <f>C88+C96</f>
        <v>3014.2999999999997</v>
      </c>
      <c r="D99" s="297">
        <f>D88+D96</f>
        <v>2809.2999999999993</v>
      </c>
      <c r="E99" s="297">
        <f>E88+E96</f>
        <v>2462.6</v>
      </c>
      <c r="F99" s="297">
        <f>F88+F96</f>
        <v>346.69999999999993</v>
      </c>
    </row>
  </sheetData>
  <mergeCells count="129">
    <mergeCell ref="K78:K79"/>
    <mergeCell ref="L78:L79"/>
    <mergeCell ref="M78:M79"/>
    <mergeCell ref="A81:A84"/>
    <mergeCell ref="B81:B84"/>
    <mergeCell ref="H81:H84"/>
    <mergeCell ref="I81:I84"/>
    <mergeCell ref="J81:J84"/>
    <mergeCell ref="K81:K84"/>
    <mergeCell ref="L81:L84"/>
    <mergeCell ref="M81:M84"/>
    <mergeCell ref="A71:A79"/>
    <mergeCell ref="B71:B79"/>
    <mergeCell ref="C71:C78"/>
    <mergeCell ref="D71:D78"/>
    <mergeCell ref="E71:E78"/>
    <mergeCell ref="F71:F78"/>
    <mergeCell ref="H78:H79"/>
    <mergeCell ref="I78:I79"/>
    <mergeCell ref="J78:J79"/>
    <mergeCell ref="A61:A62"/>
    <mergeCell ref="B61:B62"/>
    <mergeCell ref="H63:M63"/>
    <mergeCell ref="H65:M65"/>
    <mergeCell ref="H66:M66"/>
    <mergeCell ref="A67:A70"/>
    <mergeCell ref="B67:B70"/>
    <mergeCell ref="C67:C70"/>
    <mergeCell ref="D67:D70"/>
    <mergeCell ref="E67:E70"/>
    <mergeCell ref="F67:F70"/>
    <mergeCell ref="A51:A56"/>
    <mergeCell ref="B51:B56"/>
    <mergeCell ref="H54:H56"/>
    <mergeCell ref="I54:I56"/>
    <mergeCell ref="J54:J56"/>
    <mergeCell ref="K54:K56"/>
    <mergeCell ref="L54:L56"/>
    <mergeCell ref="M54:M56"/>
    <mergeCell ref="A57:A60"/>
    <mergeCell ref="B57:B60"/>
    <mergeCell ref="C57:C60"/>
    <mergeCell ref="D57:D60"/>
    <mergeCell ref="E57:E60"/>
    <mergeCell ref="F57:F60"/>
    <mergeCell ref="H46:M46"/>
    <mergeCell ref="A47:A50"/>
    <mergeCell ref="B47:B50"/>
    <mergeCell ref="H47:H50"/>
    <mergeCell ref="I47:I50"/>
    <mergeCell ref="J47:J50"/>
    <mergeCell ref="K47:K50"/>
    <mergeCell ref="L47:L50"/>
    <mergeCell ref="M47:M50"/>
    <mergeCell ref="A40:A43"/>
    <mergeCell ref="B40:B43"/>
    <mergeCell ref="H40:H43"/>
    <mergeCell ref="I40:I43"/>
    <mergeCell ref="J40:J43"/>
    <mergeCell ref="K40:K43"/>
    <mergeCell ref="L40:L43"/>
    <mergeCell ref="M40:M43"/>
    <mergeCell ref="H44:M44"/>
    <mergeCell ref="H36:M36"/>
    <mergeCell ref="A37:A38"/>
    <mergeCell ref="B37:B38"/>
    <mergeCell ref="H37:H38"/>
    <mergeCell ref="I37:I38"/>
    <mergeCell ref="J37:J38"/>
    <mergeCell ref="K37:K38"/>
    <mergeCell ref="L37:L38"/>
    <mergeCell ref="M37:M38"/>
    <mergeCell ref="A29:A34"/>
    <mergeCell ref="B29:B34"/>
    <mergeCell ref="H31:H34"/>
    <mergeCell ref="I31:I34"/>
    <mergeCell ref="J31:J34"/>
    <mergeCell ref="K31:K34"/>
    <mergeCell ref="L31:L34"/>
    <mergeCell ref="M31:M34"/>
    <mergeCell ref="H35:M35"/>
    <mergeCell ref="A23:A27"/>
    <mergeCell ref="B23:B27"/>
    <mergeCell ref="H23:H27"/>
    <mergeCell ref="I23:I27"/>
    <mergeCell ref="J23:J27"/>
    <mergeCell ref="K23:K27"/>
    <mergeCell ref="L23:L27"/>
    <mergeCell ref="M23:M27"/>
    <mergeCell ref="H28:M28"/>
    <mergeCell ref="A17:A19"/>
    <mergeCell ref="B17:B19"/>
    <mergeCell ref="H18:H19"/>
    <mergeCell ref="I18:I19"/>
    <mergeCell ref="J18:J19"/>
    <mergeCell ref="K18:K19"/>
    <mergeCell ref="L18:L19"/>
    <mergeCell ref="M18:M19"/>
    <mergeCell ref="A20:A21"/>
    <mergeCell ref="B20:B21"/>
    <mergeCell ref="C20:C21"/>
    <mergeCell ref="D20:D21"/>
    <mergeCell ref="E20:E21"/>
    <mergeCell ref="F20:F21"/>
    <mergeCell ref="H13:M13"/>
    <mergeCell ref="H14:M14"/>
    <mergeCell ref="A15:A16"/>
    <mergeCell ref="B15:B16"/>
    <mergeCell ref="H15:H16"/>
    <mergeCell ref="I15:I16"/>
    <mergeCell ref="J15:J16"/>
    <mergeCell ref="K15:K16"/>
    <mergeCell ref="L15:L16"/>
    <mergeCell ref="M15:M16"/>
    <mergeCell ref="A5:M5"/>
    <mergeCell ref="A6:M6"/>
    <mergeCell ref="A9:A11"/>
    <mergeCell ref="B9:B11"/>
    <mergeCell ref="C9:C11"/>
    <mergeCell ref="D9:D11"/>
    <mergeCell ref="E9:E11"/>
    <mergeCell ref="F9:F11"/>
    <mergeCell ref="G9:G11"/>
    <mergeCell ref="H9:M9"/>
    <mergeCell ref="H10:H11"/>
    <mergeCell ref="I10:I11"/>
    <mergeCell ref="J10:K10"/>
    <mergeCell ref="L10:L11"/>
    <mergeCell ref="M10:M11"/>
  </mergeCells>
  <pageMargins left="0.4" right="0.4" top="0.4" bottom="0.4" header="0.51180555555555496" footer="0.51180555555555496"/>
  <pageSetup paperSize="9" firstPageNumber="0"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28</TotalTime>
  <Application>Microsoft Excel</Application>
  <DocSecurity>0</DocSecurity>
  <ScaleCrop>false</ScaleCrop>
  <HeadingPairs>
    <vt:vector size="2" baseType="variant">
      <vt:variant>
        <vt:lpstr>Darbalapiai</vt:lpstr>
      </vt:variant>
      <vt:variant>
        <vt:i4>11</vt:i4>
      </vt:variant>
    </vt:vector>
  </HeadingPairs>
  <TitlesOfParts>
    <vt:vector size="11" baseType="lpstr">
      <vt:lpstr>01_programa_ataskaita</vt:lpstr>
      <vt:lpstr>02_programa_ataskaita</vt:lpstr>
      <vt:lpstr>03_programa_ataskaita</vt:lpstr>
      <vt:lpstr>04_programa_ataskaita</vt:lpstr>
      <vt:lpstr>05_programa_ataskaita</vt:lpstr>
      <vt:lpstr>06_programa_ataskaita</vt:lpstr>
      <vt:lpstr>07_programa_ataskaita</vt:lpstr>
      <vt:lpstr>08_programa_ataskaita</vt:lpstr>
      <vt:lpstr>09_programa_ataskaita</vt:lpstr>
      <vt:lpstr>10_programa_ataskaita</vt:lpstr>
      <vt:lpstr>11_programa_ataskaita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Rasa Macienė</dc:creator>
  <dc:description/>
  <cp:lastModifiedBy>Siauliai</cp:lastModifiedBy>
  <cp:revision>3</cp:revision>
  <dcterms:created xsi:type="dcterms:W3CDTF">2020-02-10T06:00:39Z</dcterms:created>
  <dcterms:modified xsi:type="dcterms:W3CDTF">2020-04-20T09:50:57Z</dcterms:modified>
  <dc:language>lt-LT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