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4240" windowHeight="13140"/>
  </bookViews>
  <sheets>
    <sheet name="2022_2024_SVP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25" i="2" l="1"/>
  <c r="E15" i="2" l="1"/>
  <c r="F15" i="2"/>
  <c r="G15" i="2"/>
  <c r="E20" i="2"/>
  <c r="F20" i="2"/>
  <c r="G20" i="2"/>
  <c r="E32" i="2"/>
  <c r="F32" i="2"/>
  <c r="G32" i="2"/>
  <c r="E34" i="2"/>
  <c r="F34" i="2"/>
  <c r="G34" i="2"/>
  <c r="E38" i="2"/>
  <c r="F38" i="2"/>
  <c r="F37" i="2" s="1"/>
  <c r="G38" i="2"/>
  <c r="E44" i="2"/>
  <c r="F44" i="2"/>
  <c r="G44" i="2"/>
  <c r="E47" i="2"/>
  <c r="F47" i="2"/>
  <c r="G47" i="2"/>
  <c r="E50" i="2"/>
  <c r="F50" i="2"/>
  <c r="G50" i="2"/>
  <c r="E60" i="2"/>
  <c r="F60" i="2"/>
  <c r="F57" i="2" s="1"/>
  <c r="G60" i="2"/>
  <c r="E62" i="2"/>
  <c r="F62" i="2"/>
  <c r="G62" i="2"/>
  <c r="E70" i="2"/>
  <c r="F70" i="2"/>
  <c r="G70" i="2"/>
  <c r="E82" i="2"/>
  <c r="F82" i="2"/>
  <c r="G82" i="2"/>
  <c r="E85" i="2"/>
  <c r="F85" i="2"/>
  <c r="G85" i="2"/>
  <c r="E89" i="2"/>
  <c r="F89" i="2"/>
  <c r="G89" i="2"/>
  <c r="E92" i="2"/>
  <c r="F92" i="2"/>
  <c r="G92" i="2"/>
  <c r="E101" i="2"/>
  <c r="F101" i="2"/>
  <c r="G101" i="2"/>
  <c r="E107" i="2"/>
  <c r="F107" i="2"/>
  <c r="G107" i="2"/>
  <c r="E109" i="2"/>
  <c r="F109" i="2"/>
  <c r="G109" i="2"/>
  <c r="E116" i="2"/>
  <c r="F116" i="2"/>
  <c r="G116" i="2"/>
  <c r="E118" i="2"/>
  <c r="F118" i="2"/>
  <c r="G118" i="2"/>
  <c r="E121" i="2"/>
  <c r="F121" i="2"/>
  <c r="G121" i="2"/>
  <c r="E125" i="2"/>
  <c r="F125" i="2"/>
  <c r="G125" i="2"/>
  <c r="E127" i="2"/>
  <c r="F127" i="2"/>
  <c r="G127" i="2"/>
  <c r="E131" i="2"/>
  <c r="F131" i="2"/>
  <c r="G131" i="2"/>
  <c r="E135" i="2"/>
  <c r="F135" i="2"/>
  <c r="G135" i="2"/>
  <c r="E139" i="2"/>
  <c r="F139" i="2"/>
  <c r="G139" i="2"/>
  <c r="E144" i="2"/>
  <c r="F144" i="2"/>
  <c r="G144" i="2"/>
  <c r="E153" i="2"/>
  <c r="E151" i="2" s="1"/>
  <c r="F153" i="2"/>
  <c r="F151" i="2" s="1"/>
  <c r="G153" i="2"/>
  <c r="G151" i="2" s="1"/>
  <c r="E157" i="2"/>
  <c r="F157" i="2"/>
  <c r="G157" i="2"/>
  <c r="G161" i="2"/>
  <c r="E162" i="2"/>
  <c r="E161" i="2" s="1"/>
  <c r="F162" i="2"/>
  <c r="F161" i="2" s="1"/>
  <c r="G162" i="2"/>
  <c r="E169" i="2"/>
  <c r="F169" i="2"/>
  <c r="G169" i="2"/>
  <c r="E172" i="2"/>
  <c r="F172" i="2"/>
  <c r="G172" i="2"/>
  <c r="E176" i="2"/>
  <c r="F176" i="2"/>
  <c r="G176" i="2"/>
  <c r="E181" i="2"/>
  <c r="F181" i="2"/>
  <c r="G181" i="2"/>
  <c r="E186" i="2"/>
  <c r="F186" i="2"/>
  <c r="G186" i="2"/>
  <c r="E190" i="2"/>
  <c r="F190" i="2"/>
  <c r="G190" i="2"/>
  <c r="E195" i="2"/>
  <c r="F195" i="2"/>
  <c r="G195" i="2"/>
  <c r="E199" i="2"/>
  <c r="F199" i="2"/>
  <c r="G199" i="2"/>
  <c r="E205" i="2"/>
  <c r="F205" i="2"/>
  <c r="G205" i="2"/>
  <c r="E209" i="2"/>
  <c r="F209" i="2"/>
  <c r="G209" i="2"/>
  <c r="E216" i="2"/>
  <c r="F216" i="2"/>
  <c r="G216" i="2"/>
  <c r="E221" i="2"/>
  <c r="F221" i="2"/>
  <c r="G221" i="2"/>
  <c r="E228" i="2"/>
  <c r="F228" i="2"/>
  <c r="G228" i="2"/>
  <c r="E232" i="2"/>
  <c r="F232" i="2"/>
  <c r="G232" i="2"/>
  <c r="E235" i="2"/>
  <c r="F235" i="2"/>
  <c r="G235" i="2"/>
  <c r="E244" i="2"/>
  <c r="F244" i="2"/>
  <c r="G244" i="2"/>
  <c r="E248" i="2"/>
  <c r="F248" i="2"/>
  <c r="G248" i="2"/>
  <c r="E258" i="2"/>
  <c r="F258" i="2"/>
  <c r="F256" i="2" s="1"/>
  <c r="G258" i="2"/>
  <c r="E261" i="2"/>
  <c r="F261" i="2"/>
  <c r="G261" i="2"/>
  <c r="E264" i="2"/>
  <c r="F264" i="2"/>
  <c r="G264" i="2"/>
  <c r="E267" i="2"/>
  <c r="F267" i="2"/>
  <c r="G267" i="2"/>
  <c r="E273" i="2"/>
  <c r="F273" i="2"/>
  <c r="G273" i="2"/>
  <c r="E277" i="2"/>
  <c r="F277" i="2"/>
  <c r="G277" i="2"/>
  <c r="E282" i="2"/>
  <c r="F282" i="2"/>
  <c r="G282" i="2"/>
  <c r="G287" i="2"/>
  <c r="E288" i="2"/>
  <c r="E287" i="2" s="1"/>
  <c r="F288" i="2"/>
  <c r="F287" i="2" s="1"/>
  <c r="G288" i="2"/>
  <c r="E294" i="2"/>
  <c r="E293" i="2" s="1"/>
  <c r="F294" i="2"/>
  <c r="G294" i="2"/>
  <c r="G293" i="2" s="1"/>
  <c r="E298" i="2"/>
  <c r="F298" i="2"/>
  <c r="F293" i="2" s="1"/>
  <c r="G298" i="2"/>
  <c r="E304" i="2"/>
  <c r="E302" i="2" s="1"/>
  <c r="F304" i="2"/>
  <c r="F302" i="2" s="1"/>
  <c r="G304" i="2"/>
  <c r="G302" i="2" s="1"/>
  <c r="E315" i="2"/>
  <c r="F315" i="2"/>
  <c r="G315" i="2"/>
  <c r="E323" i="2"/>
  <c r="F323" i="2"/>
  <c r="G323" i="2"/>
  <c r="E328" i="2"/>
  <c r="F328" i="2"/>
  <c r="G328" i="2"/>
  <c r="E330" i="2"/>
  <c r="F330" i="2"/>
  <c r="G330" i="2"/>
  <c r="E333" i="2"/>
  <c r="F333" i="2"/>
  <c r="G333" i="2"/>
  <c r="E337" i="2"/>
  <c r="F337" i="2"/>
  <c r="G337" i="2"/>
  <c r="E344" i="2"/>
  <c r="F344" i="2"/>
  <c r="G344" i="2"/>
  <c r="E348" i="2"/>
  <c r="F348" i="2"/>
  <c r="G348" i="2"/>
  <c r="E356" i="2"/>
  <c r="F356" i="2"/>
  <c r="G356" i="2"/>
  <c r="E363" i="2"/>
  <c r="F363" i="2"/>
  <c r="G363" i="2"/>
  <c r="E370" i="2"/>
  <c r="F370" i="2"/>
  <c r="G370" i="2"/>
  <c r="E373" i="2"/>
  <c r="F373" i="2"/>
  <c r="G373" i="2"/>
  <c r="E377" i="2"/>
  <c r="F377" i="2"/>
  <c r="G377" i="2"/>
  <c r="E390" i="2"/>
  <c r="F390" i="2"/>
  <c r="G390" i="2"/>
  <c r="E400" i="2"/>
  <c r="F400" i="2"/>
  <c r="G400" i="2"/>
  <c r="E403" i="2"/>
  <c r="F403" i="2"/>
  <c r="G403" i="2"/>
  <c r="E406" i="2"/>
  <c r="F406" i="2"/>
  <c r="G406" i="2"/>
  <c r="E409" i="2"/>
  <c r="F409" i="2"/>
  <c r="G409" i="2"/>
  <c r="E418" i="2"/>
  <c r="F418" i="2"/>
  <c r="G418" i="2"/>
  <c r="E421" i="2"/>
  <c r="F421" i="2"/>
  <c r="G421" i="2"/>
  <c r="E439" i="2"/>
  <c r="F439" i="2"/>
  <c r="G439" i="2"/>
  <c r="E443" i="2"/>
  <c r="F443" i="2"/>
  <c r="G443" i="2"/>
  <c r="E448" i="2"/>
  <c r="F448" i="2"/>
  <c r="G448" i="2"/>
  <c r="E450" i="2"/>
  <c r="F450" i="2"/>
  <c r="G450" i="2"/>
  <c r="E455" i="2"/>
  <c r="F455" i="2"/>
  <c r="G455" i="2"/>
  <c r="E458" i="2"/>
  <c r="F458" i="2"/>
  <c r="G458" i="2"/>
  <c r="E461" i="2"/>
  <c r="F461" i="2"/>
  <c r="G461" i="2"/>
  <c r="E465" i="2"/>
  <c r="F465" i="2"/>
  <c r="G465" i="2"/>
  <c r="E468" i="2"/>
  <c r="F468" i="2"/>
  <c r="G468" i="2"/>
  <c r="E472" i="2"/>
  <c r="F472" i="2"/>
  <c r="G472" i="2"/>
  <c r="E481" i="2"/>
  <c r="F481" i="2"/>
  <c r="G481" i="2"/>
  <c r="E485" i="2"/>
  <c r="F485" i="2"/>
  <c r="G485" i="2"/>
  <c r="E488" i="2"/>
  <c r="F488" i="2"/>
  <c r="G488" i="2"/>
  <c r="E492" i="2"/>
  <c r="F492" i="2"/>
  <c r="G492" i="2"/>
  <c r="E497" i="2"/>
  <c r="F497" i="2"/>
  <c r="G497" i="2"/>
  <c r="E500" i="2"/>
  <c r="F500" i="2"/>
  <c r="G500" i="2"/>
  <c r="E505" i="2"/>
  <c r="F505" i="2"/>
  <c r="G505" i="2"/>
  <c r="E510" i="2"/>
  <c r="F510" i="2"/>
  <c r="G510" i="2"/>
  <c r="E515" i="2"/>
  <c r="F515" i="2"/>
  <c r="G515" i="2"/>
  <c r="E519" i="2"/>
  <c r="F519" i="2"/>
  <c r="G519" i="2"/>
  <c r="E524" i="2"/>
  <c r="F524" i="2"/>
  <c r="G524" i="2"/>
  <c r="E529" i="2"/>
  <c r="F529" i="2"/>
  <c r="G529" i="2"/>
  <c r="E532" i="2"/>
  <c r="F532" i="2"/>
  <c r="G532" i="2"/>
  <c r="E534" i="2"/>
  <c r="F534" i="2"/>
  <c r="G534" i="2"/>
  <c r="E543" i="2"/>
  <c r="F543" i="2"/>
  <c r="G543" i="2"/>
  <c r="E548" i="2"/>
  <c r="F548" i="2"/>
  <c r="G548" i="2"/>
  <c r="E552" i="2"/>
  <c r="F552" i="2"/>
  <c r="G552" i="2"/>
  <c r="E557" i="2"/>
  <c r="F557" i="2"/>
  <c r="G557" i="2"/>
  <c r="E566" i="2"/>
  <c r="F566" i="2"/>
  <c r="G566" i="2"/>
  <c r="E570" i="2"/>
  <c r="F570" i="2"/>
  <c r="G570" i="2"/>
  <c r="E573" i="2"/>
  <c r="F573" i="2"/>
  <c r="G573" i="2"/>
  <c r="E576" i="2"/>
  <c r="F576" i="2"/>
  <c r="G576" i="2"/>
  <c r="E578" i="2"/>
  <c r="F578" i="2"/>
  <c r="G578" i="2"/>
  <c r="E582" i="2"/>
  <c r="F582" i="2"/>
  <c r="G582" i="2"/>
  <c r="E586" i="2"/>
  <c r="F586" i="2"/>
  <c r="G586" i="2"/>
  <c r="E590" i="2"/>
  <c r="F590" i="2"/>
  <c r="G590" i="2"/>
  <c r="E596" i="2"/>
  <c r="F596" i="2"/>
  <c r="G596" i="2"/>
  <c r="E601" i="2"/>
  <c r="F601" i="2"/>
  <c r="G601" i="2"/>
  <c r="E605" i="2"/>
  <c r="F605" i="2"/>
  <c r="G605" i="2"/>
  <c r="E611" i="2"/>
  <c r="F611" i="2"/>
  <c r="G611" i="2"/>
  <c r="E616" i="2"/>
  <c r="F616" i="2"/>
  <c r="G616" i="2"/>
  <c r="E618" i="2"/>
  <c r="F618" i="2"/>
  <c r="G618" i="2"/>
  <c r="E624" i="2"/>
  <c r="F624" i="2"/>
  <c r="G624" i="2"/>
  <c r="E632" i="2"/>
  <c r="F632" i="2"/>
  <c r="G632" i="2"/>
  <c r="E643" i="2"/>
  <c r="F643" i="2"/>
  <c r="G643" i="2"/>
  <c r="E647" i="2"/>
  <c r="F647" i="2"/>
  <c r="G647" i="2"/>
  <c r="E652" i="2"/>
  <c r="F652" i="2"/>
  <c r="G652" i="2"/>
  <c r="E674" i="2"/>
  <c r="F674" i="2"/>
  <c r="G674" i="2"/>
  <c r="E676" i="2"/>
  <c r="F676" i="2"/>
  <c r="G676" i="2"/>
  <c r="E681" i="2"/>
  <c r="F681" i="2"/>
  <c r="G681" i="2"/>
  <c r="E686" i="2"/>
  <c r="F686" i="2"/>
  <c r="G686" i="2"/>
  <c r="E690" i="2"/>
  <c r="F690" i="2"/>
  <c r="G690" i="2"/>
  <c r="E693" i="2"/>
  <c r="F693" i="2"/>
  <c r="G693" i="2"/>
  <c r="E696" i="2"/>
  <c r="F696" i="2"/>
  <c r="G696" i="2"/>
  <c r="E705" i="2"/>
  <c r="F705" i="2"/>
  <c r="G705" i="2"/>
  <c r="E707" i="2"/>
  <c r="F707" i="2"/>
  <c r="G707" i="2"/>
  <c r="E709" i="2"/>
  <c r="F709" i="2"/>
  <c r="G709" i="2"/>
  <c r="E712" i="2"/>
  <c r="F712" i="2"/>
  <c r="G712" i="2"/>
  <c r="E715" i="2"/>
  <c r="F715" i="2"/>
  <c r="G715" i="2"/>
  <c r="E718" i="2"/>
  <c r="F718" i="2"/>
  <c r="G718" i="2"/>
  <c r="C725" i="2"/>
  <c r="D725" i="2"/>
  <c r="C738" i="2"/>
  <c r="D738" i="2"/>
  <c r="E738" i="2"/>
  <c r="E256" i="2" l="1"/>
  <c r="F243" i="2"/>
  <c r="E742" i="2"/>
  <c r="F689" i="2"/>
  <c r="F100" i="2"/>
  <c r="F98" i="2" s="1"/>
  <c r="G57" i="2"/>
  <c r="G286" i="2"/>
  <c r="G285" i="2" s="1"/>
  <c r="C742" i="2"/>
  <c r="F679" i="2"/>
  <c r="E594" i="2"/>
  <c r="F362" i="2"/>
  <c r="G343" i="2"/>
  <c r="G689" i="2"/>
  <c r="E679" i="2"/>
  <c r="F495" i="2"/>
  <c r="F343" i="2"/>
  <c r="G256" i="2"/>
  <c r="G252" i="2" s="1"/>
  <c r="G251" i="2" s="1"/>
  <c r="E243" i="2"/>
  <c r="F114" i="2"/>
  <c r="E100" i="2"/>
  <c r="E98" i="2" s="1"/>
  <c r="E53" i="2" s="1"/>
  <c r="G37" i="2"/>
  <c r="G702" i="2"/>
  <c r="G700" i="2" s="1"/>
  <c r="F631" i="2"/>
  <c r="G594" i="2"/>
  <c r="F215" i="2"/>
  <c r="F214" i="2" s="1"/>
  <c r="E215" i="2"/>
  <c r="E214" i="2" s="1"/>
  <c r="E168" i="2"/>
  <c r="G114" i="2"/>
  <c r="E610" i="2"/>
  <c r="F610" i="2"/>
  <c r="D742" i="2"/>
  <c r="G679" i="2"/>
  <c r="E656" i="2"/>
  <c r="F594" i="2"/>
  <c r="G243" i="2"/>
  <c r="G130" i="2"/>
  <c r="F124" i="2"/>
  <c r="E124" i="2"/>
  <c r="G100" i="2"/>
  <c r="E69" i="2"/>
  <c r="E57" i="2"/>
  <c r="E37" i="2"/>
  <c r="G314" i="2"/>
  <c r="F263" i="2"/>
  <c r="F252" i="2" s="1"/>
  <c r="F251" i="2" s="1"/>
  <c r="E631" i="2"/>
  <c r="F480" i="2"/>
  <c r="E314" i="2"/>
  <c r="G179" i="2"/>
  <c r="G160" i="2" s="1"/>
  <c r="F130" i="2"/>
  <c r="E114" i="2"/>
  <c r="G98" i="2"/>
  <c r="F14" i="2"/>
  <c r="F13" i="2" s="1"/>
  <c r="F12" i="2" s="1"/>
  <c r="E14" i="2"/>
  <c r="G656" i="2"/>
  <c r="G518" i="2"/>
  <c r="G389" i="2"/>
  <c r="G360" i="2" s="1"/>
  <c r="E179" i="2"/>
  <c r="F179" i="2"/>
  <c r="G168" i="2"/>
  <c r="G124" i="2"/>
  <c r="E436" i="2"/>
  <c r="E435" i="2" s="1"/>
  <c r="G215" i="2"/>
  <c r="F69" i="2"/>
  <c r="F54" i="2" s="1"/>
  <c r="G631" i="2"/>
  <c r="F518" i="2"/>
  <c r="E480" i="2"/>
  <c r="G263" i="2"/>
  <c r="E130" i="2"/>
  <c r="E113" i="2" s="1"/>
  <c r="E112" i="2" s="1"/>
  <c r="G14" i="2"/>
  <c r="G13" i="2" s="1"/>
  <c r="G12" i="2" s="1"/>
  <c r="F702" i="2"/>
  <c r="F700" i="2" s="1"/>
  <c r="F656" i="2"/>
  <c r="E495" i="2"/>
  <c r="F436" i="2"/>
  <c r="F435" i="2" s="1"/>
  <c r="E362" i="2"/>
  <c r="G362" i="2"/>
  <c r="E343" i="2"/>
  <c r="F168" i="2"/>
  <c r="G69" i="2"/>
  <c r="G54" i="2" s="1"/>
  <c r="G542" i="2"/>
  <c r="E542" i="2"/>
  <c r="F389" i="2"/>
  <c r="E702" i="2"/>
  <c r="E700" i="2" s="1"/>
  <c r="E518" i="2"/>
  <c r="G436" i="2"/>
  <c r="G435" i="2" s="1"/>
  <c r="F314" i="2"/>
  <c r="G495" i="2"/>
  <c r="E263" i="2"/>
  <c r="F286" i="2"/>
  <c r="F285" i="2" s="1"/>
  <c r="E689" i="2"/>
  <c r="G610" i="2"/>
  <c r="F542" i="2"/>
  <c r="G480" i="2"/>
  <c r="E389" i="2"/>
  <c r="E286" i="2"/>
  <c r="E285" i="2" s="1"/>
  <c r="G113" i="2" l="1"/>
  <c r="G112" i="2" s="1"/>
  <c r="E252" i="2"/>
  <c r="E251" i="2" s="1"/>
  <c r="E539" i="2"/>
  <c r="E538" i="2" s="1"/>
  <c r="G359" i="2"/>
  <c r="F53" i="2"/>
  <c r="E54" i="2"/>
  <c r="G53" i="2"/>
  <c r="G214" i="2"/>
  <c r="G159" i="2" s="1"/>
  <c r="F479" i="2"/>
  <c r="F478" i="2" s="1"/>
  <c r="F360" i="2"/>
  <c r="E160" i="2"/>
  <c r="F113" i="2"/>
  <c r="F112" i="2" s="1"/>
  <c r="F160" i="2"/>
  <c r="F159" i="2" s="1"/>
  <c r="E159" i="2"/>
  <c r="E13" i="2"/>
  <c r="E12" i="2" s="1"/>
  <c r="G479" i="2"/>
  <c r="G478" i="2" s="1"/>
  <c r="F539" i="2"/>
  <c r="F538" i="2" s="1"/>
  <c r="F628" i="2"/>
  <c r="F627" i="2" s="1"/>
  <c r="G312" i="2"/>
  <c r="G311" i="2" s="1"/>
  <c r="E312" i="2"/>
  <c r="E311" i="2" s="1"/>
  <c r="F312" i="2"/>
  <c r="F311" i="2" s="1"/>
  <c r="E628" i="2"/>
  <c r="E627" i="2" s="1"/>
  <c r="E360" i="2"/>
  <c r="E359" i="2" s="1"/>
  <c r="E479" i="2"/>
  <c r="E478" i="2" s="1"/>
  <c r="G628" i="2"/>
  <c r="G627" i="2" s="1"/>
  <c r="F359" i="2"/>
  <c r="G539" i="2"/>
  <c r="G538" i="2" s="1"/>
</calcChain>
</file>

<file path=xl/sharedStrings.xml><?xml version="1.0" encoding="utf-8"?>
<sst xmlns="http://schemas.openxmlformats.org/spreadsheetml/2006/main" count="2254" uniqueCount="1157">
  <si>
    <t>ŠIAULIŲ MIESTO SAVIVALDYBĖS 2022–2024 METŲ STRATEGINIO VEIKLOS PLANO TIKSLŲ, UŽDAVINIŲ, PRIEMONIŲ, PRIEMONIŲ IŠLAIDŲ IR PRODUKTO KRITERIJŲ SUVESTINĖ</t>
  </si>
  <si>
    <t>Kodas</t>
  </si>
  <si>
    <t>Pavadinimas</t>
  </si>
  <si>
    <t>Vykdytojas</t>
  </si>
  <si>
    <t>SP lėšos</t>
  </si>
  <si>
    <t>2022 metų asignavimai</t>
  </si>
  <si>
    <t>2023 metų lėšų projektas</t>
  </si>
  <si>
    <t>2024 metų lėšų projektas</t>
  </si>
  <si>
    <t>Efekto /Rezultato /Produkto /Indėlio</t>
  </si>
  <si>
    <t>Rodiklis</t>
  </si>
  <si>
    <t>Mato vnt.</t>
  </si>
  <si>
    <t>2022</t>
  </si>
  <si>
    <t>2023</t>
  </si>
  <si>
    <t>2024</t>
  </si>
  <si>
    <t>Planas</t>
  </si>
  <si>
    <t>01.</t>
  </si>
  <si>
    <t>Miesto urbanistinės plėtros programa</t>
  </si>
  <si>
    <t>Architektūros, urbanistikos ir paveldosaugos skyrius</t>
  </si>
  <si>
    <t>proc.</t>
  </si>
  <si>
    <t>01.01.</t>
  </si>
  <si>
    <t>Užtikrinti kompleksišką ir darnų miesto planavimą</t>
  </si>
  <si>
    <t>Parengtų teritorijų planavimo, žemėtvarkos planavimo, žemės sklypų kadastrinių matavimų dokumentų</t>
  </si>
  <si>
    <t>vnt.</t>
  </si>
  <si>
    <t>01.01.01.</t>
  </si>
  <si>
    <t>Rengti teritorijų planavimo dokumentus, padedančius užtikrinti darniąją miesto plėtrą</t>
  </si>
  <si>
    <t>01.01.01.01</t>
  </si>
  <si>
    <t>Koreguoti Šiaulių miesto savivaldybės teritorijos bendrąjį planą</t>
  </si>
  <si>
    <t>1.01.</t>
  </si>
  <si>
    <t>Koreguotų bendrojo plano dalių</t>
  </si>
  <si>
    <t>Parengtas Bendrojo plano koregavimas teritorijoje J. Jablonskio g. 14 ir 16, Šiauliuose</t>
  </si>
  <si>
    <t>Parengta Bendrojo plano stebėsena</t>
  </si>
  <si>
    <t>Parengtas Šiaulių miesto bendrojo plano koregavimas teritorijose tarp Trumpiškių, Bačiūnų, Pramonės g. ir želdynų ploto bei Šiaulių miesto administracinės ribos, Lingailių g., sklypo, kurio kadastro Nr. 2901/8001:0007, ir Bačiūnų g.</t>
  </si>
  <si>
    <t>Atliktas Bendrojo plano pakeitimas</t>
  </si>
  <si>
    <t>01.01.01.02</t>
  </si>
  <si>
    <t>Organizuoti detaliųjų ir specialiųjų planų parengimą</t>
  </si>
  <si>
    <t>Parengtų detaliųjų ir specialiųjų planų</t>
  </si>
  <si>
    <t>1.10.</t>
  </si>
  <si>
    <t>Parengtas Teritorijos tarp Gegužių, Architektų, Gardino ir Aido gatvių Šiauliuose detalusis planas</t>
  </si>
  <si>
    <t>Parengtas Talkšos ežero ir jo prieigų, Ežero gyvenamojo rajono bei teritorijos Vilniaus g. 72, Šiauliuose, detalusis planas</t>
  </si>
  <si>
    <t>Parengtas Industrinio parko (teritorijos šalia Dubijos, Radviliškio, P. Motiekaičio gatvių) Šiauliuose detaliojo plano koregavimas</t>
  </si>
  <si>
    <t>Koreguotas teritorijos Liejyklos g. 29, 31, 33 ir Išradėjų g. 18 detalusis planas</t>
  </si>
  <si>
    <t>Sukurtas Šiaulių miesto 3D žemėlapis su centrinės dalies realios situacijos detalizavimu</t>
  </si>
  <si>
    <t>Parengtas Supaprastinta tvarka parengto detaliojo plano teritorijoms J. Basanavičiaus, Pakruojo ir Gamybos g. priklausančioms AB „Namų detalės“  koregavimas</t>
  </si>
  <si>
    <t>Parengtas Teritorijos tarp Aušros al., Žemaitės, Dobilo ir Vaisių g. (Centrinio parko) Šiaulių mieste detaliojo plano keitimas</t>
  </si>
  <si>
    <t>Parengtas Pramonės ir Išradėjų gatvių sankirtos detaliojo plano koregavimas</t>
  </si>
  <si>
    <t>Parengtas Supaprastinta tvarka parengto detaliojo plano sklypui Lyros g.13 keitimas</t>
  </si>
  <si>
    <t>Parengtas Supaprastinta tvarka parengto žemės sklypo Sembos g. 2, Šiauliuose detaliojo plano keitimas</t>
  </si>
  <si>
    <t>Parengtas Prisikėlimo aikštės su prieigomis detaliojo plano keitimas</t>
  </si>
  <si>
    <t>01.01.01.03</t>
  </si>
  <si>
    <t>Įgyvendinti  žemės paėmimo visuomenės poreikiams procedūrą</t>
  </si>
  <si>
    <t>Parengta sąnaudų naudos analizė</t>
  </si>
  <si>
    <t>Įgyvendinta žemės paėmimo visuomenės poreikiams procedūra, paimtas žemės sklypas visuomenės poreikiams</t>
  </si>
  <si>
    <t>01.01.01.04</t>
  </si>
  <si>
    <t>Rengti žemėtvarkos planavimo dokumentus, žemės sklypų kadastrinius matavimus</t>
  </si>
  <si>
    <t>Parengta kadastrinių matavimų bylų, žemės sklypų pertvarkymo projektų</t>
  </si>
  <si>
    <t>01.01.02.</t>
  </si>
  <si>
    <t>Pagerinti miesto teigiamo architektūrinio ir vizualinio įvaizdžio kokybę</t>
  </si>
  <si>
    <t>01.01.02.01</t>
  </si>
  <si>
    <t>Formuoti miesto teigiamą architektūrinį ir vizualųjį įvaizdį</t>
  </si>
  <si>
    <t>Parengtų, įgyvendintų projektinių pasiūlymų, idėjos konkursų</t>
  </si>
  <si>
    <t>Parengtas paminklo "Tautos laisvė" idėjos konkursas</t>
  </si>
  <si>
    <t>Parengtas paminklo "Tautos laisvė" techninis projektas</t>
  </si>
  <si>
    <t>Įgyvendintas paminklo "Tautos laisvė" projektas</t>
  </si>
  <si>
    <t>01.01.02.02</t>
  </si>
  <si>
    <t>Organizuoti architektūriniu, urbanistiniu, valstybiniu ar viešojo intereso požiūriu reikšmingų objektų planavimo ar projektavimo architektūrinius konkursus</t>
  </si>
  <si>
    <t>Suorganizuota architektūrinių konkursų</t>
  </si>
  <si>
    <t>01.01.02.03</t>
  </si>
  <si>
    <t>Organizuoti projektinių darbų finansavimą</t>
  </si>
  <si>
    <t>Architektūros, urbanistikos ir paveldosaugos skyrius; Statybos ir renovacijos skyrius; Miesto ūkio ir aplinkos skyrius</t>
  </si>
  <si>
    <t>Architektūros, urbanistikos ir paveldosaugos skyriaus parengtų techninių projektų</t>
  </si>
  <si>
    <t>Statybos ir renovacijos skyriaus parengtų techninių projektų</t>
  </si>
  <si>
    <t>Miesto ūkio ir aplinkos skyriaus parengtų techninių projektų</t>
  </si>
  <si>
    <t>01.01.03.</t>
  </si>
  <si>
    <t>Organizuoti kultūros paveldo apsaugą</t>
  </si>
  <si>
    <t>01.01.03.01</t>
  </si>
  <si>
    <t>Organizuoti kultūros paveldo tvarkybą</t>
  </si>
  <si>
    <t>Sutvarkyta kultūros paveldo objektų</t>
  </si>
  <si>
    <t>01.01.03.02</t>
  </si>
  <si>
    <t>Plėtoti kultūros paveldo apskaitą</t>
  </si>
  <si>
    <t>Įgyvendinta kultūros paveldo apskaitos priemonių</t>
  </si>
  <si>
    <t>01.01.04.</t>
  </si>
  <si>
    <t>Kokybiškai administruoti Šiaulių m. erdvinių duomenų bazę</t>
  </si>
  <si>
    <t>01.01.04.01</t>
  </si>
  <si>
    <t>Organizuoti miesto erdvinių duomenų bazės techninę priežiūrą, programinės įrangos atnaujinimą</t>
  </si>
  <si>
    <t>Atnaujinta programinė įranga</t>
  </si>
  <si>
    <t>01.01.04.02</t>
  </si>
  <si>
    <t>Organizuoti Šiaulių miesto savivaldybės geodezijos ir kartografijos darbus</t>
  </si>
  <si>
    <t>Parengta topografinių planų</t>
  </si>
  <si>
    <t>02.</t>
  </si>
  <si>
    <t>Kultūros plėtros programa</t>
  </si>
  <si>
    <t>Kultūros skyrius</t>
  </si>
  <si>
    <t>02.01.</t>
  </si>
  <si>
    <t>Skatinti įvairių visuomenės grupių dalyvavimą kultūroje puoselėjant kultūros tradicijas ir  kultūrinės raiškos įvairovę bei gerinti kultūrinių paslaugų prieinamumą ir kokybę</t>
  </si>
  <si>
    <t>Gyventojų įsitraukimo į miesto kultūrinį gyvenimą augimas</t>
  </si>
  <si>
    <t>Kultūros paslaugų vartotojų skaičiaus augimas</t>
  </si>
  <si>
    <t>Atnaujintų kultūros įstaigų/objektų</t>
  </si>
  <si>
    <t>02.01.01.</t>
  </si>
  <si>
    <t>Užtikrinti miesto kultūrinio gyvenimo gyvybingumą, ugdyti ir skatinti miesto gyventojų ir jaunimo pilietinį aktyvumą bei tautinį sąmoningumą</t>
  </si>
  <si>
    <t>02.01.01.01</t>
  </si>
  <si>
    <t>Skatinti Šiaulių miesto kultūros ir meno įvairovę, sklaidą, prieinamumą</t>
  </si>
  <si>
    <t>Finansuotų kultūros projektų</t>
  </si>
  <si>
    <t>02.01.01.02</t>
  </si>
  <si>
    <t>Skatinti meno kūrėjus</t>
  </si>
  <si>
    <t>Įteiktų premijų ir stipendijų</t>
  </si>
  <si>
    <t>02.01.01.10</t>
  </si>
  <si>
    <t>Užtikrinti reprezentacinių Šiaulių miesto festivalių tęstinumą, jų ilgalaikiškumą, dalinį finansavimą, skatinti naujų idėjų, raiškos formų atsiradimą ir raidą</t>
  </si>
  <si>
    <t>Finansuotų festivalių</t>
  </si>
  <si>
    <t>Sukurtų reprezentacinių miesto priemonių</t>
  </si>
  <si>
    <t>02.01.01.11</t>
  </si>
  <si>
    <t>Koordinuoti valstybinių švenčių, atmintinų dienų paminėjimą, svarbių renginių, plenerų organizavimą, puoselėti tautines tradicijas</t>
  </si>
  <si>
    <t>Surengtų miesto švenčių</t>
  </si>
  <si>
    <t>Surengtų valstybinių švenčių ir atmintinų dienų</t>
  </si>
  <si>
    <t>Įgyvendintų Tolygios kultūrinės raidos programos projektų</t>
  </si>
  <si>
    <t>Parengtų valstybinių švenčių, atmintinų dienų, kalendorinių ir miesto švenčių renginių programų</t>
  </si>
  <si>
    <t>Surengtų kalendorinių švenčių</t>
  </si>
  <si>
    <t>Įgyvendintų svarbių miesto renginių / projektų</t>
  </si>
  <si>
    <t>Įgyvendintų papildomų kultūros priemonių</t>
  </si>
  <si>
    <t>02.01.04.</t>
  </si>
  <si>
    <t>Užtikrinti kultūros paslaugų sklaidą ir prieinamumą gyventojams</t>
  </si>
  <si>
    <t>02.01.04.01</t>
  </si>
  <si>
    <t>Užtikrinti kultūros įstaigų veiklą</t>
  </si>
  <si>
    <t>Surengtų parodų</t>
  </si>
  <si>
    <t>Surengtų koncertų</t>
  </si>
  <si>
    <t>1.09.</t>
  </si>
  <si>
    <t>Surengtų renginių</t>
  </si>
  <si>
    <t>Įgyvendintų projektų</t>
  </si>
  <si>
    <t>1.05.</t>
  </si>
  <si>
    <t>Lankytojų (parodų, ekspozicijų viešosiose erdvėse, renginių, bibliotekos lankytojų)</t>
  </si>
  <si>
    <t>2.01.</t>
  </si>
  <si>
    <t>Žiūrovų (koncertų, spektaklių, renginių ir kt.)</t>
  </si>
  <si>
    <t>2.03.</t>
  </si>
  <si>
    <t>Dalyvių / žiūrovų (edukacijų, festivalių, kino peržiūrų ir kt.)</t>
  </si>
  <si>
    <t>2.02.</t>
  </si>
  <si>
    <t>Šiaulių turizmo informacijos centro ir „Baltų kelio“ centro lankytojų</t>
  </si>
  <si>
    <t>Šiaulių turizmo informacijos centro ekskursijų dalyvių</t>
  </si>
  <si>
    <t>Surengtų edukacijų</t>
  </si>
  <si>
    <t>Dalyvių (plenerų, festivalių, edukacijų, renginių ir kt.)</t>
  </si>
  <si>
    <t>02.01.04.08</t>
  </si>
  <si>
    <t>Aktualizuoti Šiaulių kultūros centrą (Aušros al. 31)</t>
  </si>
  <si>
    <t>Projektų valdymo skyrius</t>
  </si>
  <si>
    <t>02.01.04.09</t>
  </si>
  <si>
    <t>Atnaujinti (modernizuoti) Šiaulių miesto koncertinę įstaigą „Saulė" (Tilžės g. 140), rekonstruoti pastatą ir pastatyti priestatą</t>
  </si>
  <si>
    <t>Kultūros skyrius; Projektų valdymo skyrius</t>
  </si>
  <si>
    <t>Atlikta planuotų darbų</t>
  </si>
  <si>
    <t>02.01.04.10</t>
  </si>
  <si>
    <t>Atlikti Šiaulių miesto kultūros centro „Laiptų galerija" senojo pastato (P. Bugailiškio namas, Žemaitės g. 83) tvarkomuosius statybos darbus</t>
  </si>
  <si>
    <t>Kultūros skyrius; Statybos ir renovacijos skyrius</t>
  </si>
  <si>
    <t>1.02.</t>
  </si>
  <si>
    <t>02.01.04.11</t>
  </si>
  <si>
    <t>Atnaujinti (modernizuoti) Šiaulių dailės galerijos pastatą (Vilniaus g. 245)</t>
  </si>
  <si>
    <t>Statybos ir renovacijos skyrius; Kultūros skyrius</t>
  </si>
  <si>
    <t>02.01.04.12</t>
  </si>
  <si>
    <t>Atlikti Šiaulių kultūros centro Rėkyvos kultūros namų fasado ir vidaus patalpų remontą</t>
  </si>
  <si>
    <t>02.01.04.13</t>
  </si>
  <si>
    <t>Pritaikyti patalpas Vilniaus g. 213 turizmo paslaugų plėtrai</t>
  </si>
  <si>
    <t>Statybos ir renovacijos skyrius; Kultūros skyrius; Šiaulių turizmo informacijos centras</t>
  </si>
  <si>
    <t>02.01.04.14</t>
  </si>
  <si>
    <t>Įgyvendinti projektą „Šiaulių miesto centrinio parko estrados modernizavimas ir pritaikymas visuomenės poreikiams“</t>
  </si>
  <si>
    <t>Šiaulių kultūros centras; Kultūros skyrius</t>
  </si>
  <si>
    <t>02.02.</t>
  </si>
  <si>
    <t>Stiprinti miesto įvaizdį plėtojant turizmo sektorių</t>
  </si>
  <si>
    <t>Įvykdyta miesto įvaizdžio rinkodaros strategijos gairių priemonių</t>
  </si>
  <si>
    <t>Turistų ir lankytojų skaičiaus Šiaulių mieste augimas</t>
  </si>
  <si>
    <t>02.02.02.</t>
  </si>
  <si>
    <t>Vystyti Šiaulių miesto turizmo sektorių</t>
  </si>
  <si>
    <t>02.02.02.01</t>
  </si>
  <si>
    <t>Įgyvendinti projektą „Savivaldybes jungiančios turizmo informacinės infrastruktūros plėtra Šiaulių regione“</t>
  </si>
  <si>
    <t>Projektų valdymo skyrius; Kultūros skyrius; Šiaulių turizmo informacijos centras</t>
  </si>
  <si>
    <t>Įrengti ženklinimo infrastruktūros objektai</t>
  </si>
  <si>
    <t>1.08.</t>
  </si>
  <si>
    <t>02.02.02.02</t>
  </si>
  <si>
    <t>Įgyvendinti projektą „Baltų kultūros pažinimo skatinimas ir žinomumo apie tarptautinį kultūros kelią „Baltų kelias“ didinimas“</t>
  </si>
  <si>
    <t>Kultūros skyrius; Projektų valdymo skyrius; Šiaulių turizmo informacijos centras</t>
  </si>
  <si>
    <t>Įgyvendinta projekto veiklų</t>
  </si>
  <si>
    <t>02.02.02.03</t>
  </si>
  <si>
    <t>Įgyvendinti projektą „Saulės kelias“</t>
  </si>
  <si>
    <t>02.02.02.04</t>
  </si>
  <si>
    <t>Įgyvendinti miesto įvaizdžio rinkodaros strategijos gairių priemonių planą</t>
  </si>
  <si>
    <t>Kultūros skyrius; Šiaulių turizmo informacijos centras</t>
  </si>
  <si>
    <t>Įgyvendinta strategijos veiklų</t>
  </si>
  <si>
    <t>Įkurtų memorialinių ekspozicijų dailininkui G. Bagdonavičiui atminti</t>
  </si>
  <si>
    <t>02.02.04.</t>
  </si>
  <si>
    <t>Vykdyti nekilnojamojo kultūros paveldo pažinimo sklaidą ir atgaivinimą</t>
  </si>
  <si>
    <t>02.02.04.02</t>
  </si>
  <si>
    <t>Organizuoti Europos paveldo dienų renginius</t>
  </si>
  <si>
    <t>Suorganizuotų Europos paveldo dienų renginių ciklų</t>
  </si>
  <si>
    <t>02.02.04.03</t>
  </si>
  <si>
    <t>Didinti religinio turizmo prieinamumą</t>
  </si>
  <si>
    <t>Įvykdytų religinio turizmo skatinimo programų</t>
  </si>
  <si>
    <t>03.</t>
  </si>
  <si>
    <t>Aplinkos apsaugos programa</t>
  </si>
  <si>
    <t>Miesto ūkio ir aplinkos skyrius</t>
  </si>
  <si>
    <t>03.01.</t>
  </si>
  <si>
    <t>Pagerinti aplinkos kokybę mieste, kurti darnaus vystymosi principais pagrįstą sveiką ir švarią gyvenamąją aplinką mieste</t>
  </si>
  <si>
    <t>Sutvarkytas komunalinių atliekų kiekis</t>
  </si>
  <si>
    <t>t</t>
  </si>
  <si>
    <t>03.01.01.</t>
  </si>
  <si>
    <t>Plėtoti ir tobulinti miesto komunalinių atliekų tvarkymo sistemą</t>
  </si>
  <si>
    <t>03.01.01.01</t>
  </si>
  <si>
    <t>Įgyvendinti komunalinių atliekų tvarkymą</t>
  </si>
  <si>
    <t>Miesto ūkio ir aplinkos skyrius; VŠĮ Šiaulių regiono atliekų tvarkymo centras</t>
  </si>
  <si>
    <t>Sutvarkyta komunalinių atliekų</t>
  </si>
  <si>
    <t>03.01.01.02</t>
  </si>
  <si>
    <t>Kompensuoti fiziniams asmenims asbesto turinčių gaminių atliekų šalinimą</t>
  </si>
  <si>
    <t>1.11.</t>
  </si>
  <si>
    <t>Kompensuota už asbesto gaminių šalinimą</t>
  </si>
  <si>
    <t>Surinkta asbesto</t>
  </si>
  <si>
    <t>03.01.01.03</t>
  </si>
  <si>
    <t>Įgyvendinti projektą „Komunalinių atliekų rūšiuojamojo surinkimo infrastruktūros plėtra Šiaulių regione"</t>
  </si>
  <si>
    <t>Miesto ūkio ir aplinkos skyrius; Projektų valdymo skyrius</t>
  </si>
  <si>
    <t>Įrengta konteinerių aikštelių</t>
  </si>
  <si>
    <t>Įrengta didelio gabarito atliekų surinkimo aikštelė (DGSA) su pakartotiniam panaudojimui tinkamų atliekų surinkimu</t>
  </si>
  <si>
    <t>03.01.01.04</t>
  </si>
  <si>
    <t>Įgyvendinti projektą  „Rūšiuojamuoju būdu surinktų maisto/virtuvės atliekų apdorojimo infrastruktūros sukūrimas Šiaulių regione"</t>
  </si>
  <si>
    <t>Parengta techninė dokumentacija</t>
  </si>
  <si>
    <t>Įsigyta įranga</t>
  </si>
  <si>
    <t>Įrengta priėmimo / laikymo zona</t>
  </si>
  <si>
    <t>03.01.02.</t>
  </si>
  <si>
    <t>Įgyvendinti želdynų ir želdinių apsaugos bei tvarkymo priemones</t>
  </si>
  <si>
    <t>03.01.02.01</t>
  </si>
  <si>
    <t>Parengti ir įgyvendinti želdynų pertvarkymo projektus, inventorizuoti miesto želdynus</t>
  </si>
  <si>
    <t>Parengta želdynų dokumentacija (INVENTORIZACIJA)</t>
  </si>
  <si>
    <t>Parengti želdynų projektai ir atlikti darbai</t>
  </si>
  <si>
    <t>03.01.02.03</t>
  </si>
  <si>
    <t>Vykdyti želdinių priežiūrą (tręšimas, genėjimas, kaštonų lapų tvarkymas) ir sodinti naujus želdinius prie miesto gatvių, parkuose ir skveruose</t>
  </si>
  <si>
    <t>Užtikrinti želdinių priežiūrą (genėjimas, atžalų šalinimas, kelmų sutvarkymas, laistymas, tręšimas, kaštonų lapų surinkimas), pagal skirtą finansavimą</t>
  </si>
  <si>
    <t>1.12.</t>
  </si>
  <si>
    <t>Sosnovskio barščio naikinimas</t>
  </si>
  <si>
    <t>m2</t>
  </si>
  <si>
    <t>Pasodinta želdinių</t>
  </si>
  <si>
    <t>03.01.03.</t>
  </si>
  <si>
    <t>Įgyvendinti aplinkos monitoringo, prevencines, aplinkos kokybės gerinimo priemones</t>
  </si>
  <si>
    <t>03.01.03.04</t>
  </si>
  <si>
    <t>Vykdyti lietaus nuotekų sistemos griovių tvarkymą</t>
  </si>
  <si>
    <t>Sutvarkyta lietaus sistemos griovių</t>
  </si>
  <si>
    <t>Griovių inventorizacija, kadastrinių matavimų atlikimas, įregistravimas NTR</t>
  </si>
  <si>
    <t>pasl.</t>
  </si>
  <si>
    <t>03.01.03.05</t>
  </si>
  <si>
    <t>Įgyvendinti projektą „Šiaulių miesto paviršinių nuotekų tvarkymo sistemos inventorizavimas, paviršinių nuotekų tvarkymo infrastruktūros rekonstravimas ir plėtra"</t>
  </si>
  <si>
    <t>Naujo paviršinių nuotekų tinklo nutiesimas Pailių g., Rėzos g., Žilvičių g. pralaida</t>
  </si>
  <si>
    <t>m</t>
  </si>
  <si>
    <t>03.01.03.07</t>
  </si>
  <si>
    <t>Vykdyti geriamojo vandens tiekimo ir nuotekų tvarkymo infrastruktūros plėtrą</t>
  </si>
  <si>
    <t>Baigta tvarkyti projekto dokumentacija ir finansiniai srautai</t>
  </si>
  <si>
    <t>03.01.03.08</t>
  </si>
  <si>
    <t>Užtikrinti Šiaulių municipalinės aplinkos tyrimų laboratorijos veiklą</t>
  </si>
  <si>
    <t>Miesto ūkio ir aplinkos skyrius; Šiaulių municipalinė aplinkos tyrimų laboratorija</t>
  </si>
  <si>
    <t>Finansuojama įstaigų (Šiaulių municipalinė aplinkos tyrimų laboratorija)</t>
  </si>
  <si>
    <t>Parengta stebėsenos ataskaita (vykdoma stebėsena, įsigyjamos reikalingos priemonės ir paslaugos)</t>
  </si>
  <si>
    <t>03.01.03.09</t>
  </si>
  <si>
    <t>Įgyvendinti aplinkos oro kokybės valdymo programos priemones, vykdyti aplinkos kokybės stebėseną</t>
  </si>
  <si>
    <t>Išvalyta pavasarinio purvo (dėl pakeltosios taršos  - gatvių sąšlavos)</t>
  </si>
  <si>
    <t>03.01.03.10</t>
  </si>
  <si>
    <t>Tvarkyti užterštas teritorijas Šiaulių mieste</t>
  </si>
  <si>
    <t>Sutvarkyta užterštų teritorijų (4463, 4464,11555, 11556, 11557)</t>
  </si>
  <si>
    <t>ha</t>
  </si>
  <si>
    <t>03.01.03.11</t>
  </si>
  <si>
    <t>Likviduoti pavojingus radinius ir ekologinių avarijų padarinius</t>
  </si>
  <si>
    <t>Civilinės saugos ir teisėtvarkos skyrius</t>
  </si>
  <si>
    <t>Likviduota radinių ir avarijų</t>
  </si>
  <si>
    <t>03.01.03.12</t>
  </si>
  <si>
    <t>Tvarkyti Talkšos ekologinį taką</t>
  </si>
  <si>
    <t>03.01.03.13</t>
  </si>
  <si>
    <t>Vykdyti gyvenamuosiuose rajonuose, viešosiose vietose šunų išvedžiojimo aikštelių, kačių šėrimo vietų ir kitos gyvūnų priežiūrai skirtos įrangos įrengimą, remontą ir sanitarinę priežiūrą</t>
  </si>
  <si>
    <t>Suremontuotų ir prižiūrėtų šunų vedžiojimo ir kačių šėrimo aikštelių</t>
  </si>
  <si>
    <t>sk.</t>
  </si>
  <si>
    <t>03.01.07.</t>
  </si>
  <si>
    <t>Vykdyti visuomenės švietimo ir mokymo aplinkosaugos klausimais priemones</t>
  </si>
  <si>
    <t>03.01.07.02</t>
  </si>
  <si>
    <t>Remti nevyriausybinių organizacijų aplinkosauginio švietimo projektų įgyvendinimą</t>
  </si>
  <si>
    <t>Paremta projektų</t>
  </si>
  <si>
    <t>03.01.07.03</t>
  </si>
  <si>
    <t>Organizuoti aplinkosauginius renginius, vykdyti visuomenės švietimą ir informavimą, įsigyti aplinkosauginius informacinius ir kt. leidinius</t>
  </si>
  <si>
    <t>Įsigyta leidinių</t>
  </si>
  <si>
    <t>Organizuoti renginiai (Žemės diena, Europos judumo savaitė)</t>
  </si>
  <si>
    <t>Įgyvendinta visuomenės švietimo ir informavimo priemonių</t>
  </si>
  <si>
    <t>Paremtas egzotinių gyvūnų kampelis</t>
  </si>
  <si>
    <t>03.01.09.</t>
  </si>
  <si>
    <t>Skatinti atsinaujinančių išteklių Šiaulių mieste naudojimą</t>
  </si>
  <si>
    <t>03.01.09.01</t>
  </si>
  <si>
    <t>Parengti atsinaujinančių išteklių energijos naudojimą Šiaulių mieste planą</t>
  </si>
  <si>
    <t>Atsinaujinačių išteklių energijos naudojimo plano parengimas</t>
  </si>
  <si>
    <t>04.</t>
  </si>
  <si>
    <t>Miesto infrastruktūros objektų priežiūros, modernizavimo ir plėtros programa</t>
  </si>
  <si>
    <t>04.01.</t>
  </si>
  <si>
    <t>Modernizuoti miesto infrastruktūrą, užtikrinti  komunalinių paslaugų teikimą, infrastruktūros objektų  priežiūrą ir remontą</t>
  </si>
  <si>
    <t>Užtikrinti miesto priežiūrą, švarą, apšvietimą pagal skirtą finansavimą</t>
  </si>
  <si>
    <t>04.01.01.</t>
  </si>
  <si>
    <t xml:space="preserve">Vykdyti miesto infrastruktūros objektų priežiūrą, einamąjį remontą </t>
  </si>
  <si>
    <t>04.01.01.01</t>
  </si>
  <si>
    <t>Tvarkyti aplinką ir vykdyti infrastruktūros objektų priežiūrą ir remontą</t>
  </si>
  <si>
    <t>Miesto ūkio ir aplinkos skyrius; Medelyno seniūnija; Rėkyvos seniūnija</t>
  </si>
  <si>
    <t>Aplinkos tvarkymo (žaliųjų plotų, gėlynų, medžių kirtimas, benamių gyvūnų priežiūra, kapinių priežiūra); gatvių apšvietimo ir reguliavimo, sanitarinių paslaugų, gatvių, šaligatvių, aikštelių, vaikų žaidimo aikštelių, takų priežiūros ir  remonto užtikrinimas</t>
  </si>
  <si>
    <t>Miesto komunalinio ūkio priežiūra: žvyruotų gatvių greideriavimas; kelių dangos ženklinimas; eismo reguliavimo, saugių eismo priemonių diegimas, kryptinio apšvietimo įrengimas</t>
  </si>
  <si>
    <t>Miesto autobusų stoginių įrengimas</t>
  </si>
  <si>
    <t>1.06.</t>
  </si>
  <si>
    <t>Metalinių garažų teritorijos sutvarkymas</t>
  </si>
  <si>
    <t>Šventinio apšvietimo dekoracijos ,,Saulutė"</t>
  </si>
  <si>
    <t>04.01.01.05</t>
  </si>
  <si>
    <t>Remontuoti daugiabučių namų kiemų dangą</t>
  </si>
  <si>
    <t>Sutvarkyta, suremontuota planuotų einamaisiais metais kiemų įvažiavimų danga</t>
  </si>
  <si>
    <t>04.01.02.</t>
  </si>
  <si>
    <t>Vykdyti Šiaulių miesto kapinių infrastruktūros plėtrą</t>
  </si>
  <si>
    <t>04.01.02.02</t>
  </si>
  <si>
    <t>Vykdyti kapinių teritorijoje esančios infrastruktūros tvarkymą ir priežiūrą</t>
  </si>
  <si>
    <t>Kapinių skaitmeninės sistemos įdiegimas</t>
  </si>
  <si>
    <t>Tvarkomi takai, privažiavimai</t>
  </si>
  <si>
    <t>km</t>
  </si>
  <si>
    <t>Visų miesto kapinių priežiūra (administravimas, vandens vežimas, atliekų išvežimas ir kt.)</t>
  </si>
  <si>
    <t>04.01.02.03</t>
  </si>
  <si>
    <t>Vykdyti kolumbariumo statybą ir priežiūrą</t>
  </si>
  <si>
    <t>Statybos ir renovacijos skyrius; Miesto ūkio ir aplinkos skyrius</t>
  </si>
  <si>
    <t>Įgyvendinta kolumbariumo statyba</t>
  </si>
  <si>
    <t>Užtikrinta Kolumbariumo priežiūra (kolumbariumo ir takų valymas)</t>
  </si>
  <si>
    <t>04.01.02.04</t>
  </si>
  <si>
    <t>Vykdyti Daušiškių kapinių statybos ir infrastruktūros įrengimo darbus</t>
  </si>
  <si>
    <t>Statybos ir renovacijos skyrius</t>
  </si>
  <si>
    <t>Įgyvendinti Daušiškių kapinių II etapo įrengimo darbai (paviršinių nuotekų tinklai, kapinių nusausinimas, vandentiekio tinklai, buitinių nuotekų tinklai)</t>
  </si>
  <si>
    <t>04.01.04.</t>
  </si>
  <si>
    <t>Sutvarkyti viešąsias erdves</t>
  </si>
  <si>
    <t>04.01.04.01</t>
  </si>
  <si>
    <t>Įgyvendinti projektą „Prisikėlimo aikštės, jos jungčių ir prieigų rekonstrukcija“</t>
  </si>
  <si>
    <t>04.01.04.05</t>
  </si>
  <si>
    <t>Įgyvendinti projektą „Vilniaus gatvės pėsčiųjų bulvaro ir amfiteatro rekonstrukcija“</t>
  </si>
  <si>
    <t>Atlikta rangos darbų</t>
  </si>
  <si>
    <t>04.01.04.06</t>
  </si>
  <si>
    <t>Įgyvendinti projektą „Talkšos ežero pakrantės plėtra“</t>
  </si>
  <si>
    <t>Architektūros, urbanistikos ir paveldosaugos skyrius; Miesto ūkio ir aplinkos skyrius; Projektų valdymo skyrius</t>
  </si>
  <si>
    <t>Sukurtos arba atnaujintos atviros erdvės mieste</t>
  </si>
  <si>
    <t>04.01.04.07</t>
  </si>
  <si>
    <t>Įgyvendinti projektą „Viešųjų erdvių ir gyvenamosios aplinkos gerinimas teritorijoje, besiribojančioje su Draugystės prospektu, Vytauto gatve, P. Višinskio gatve ir Dubijos gatve"</t>
  </si>
  <si>
    <t>04.01.04.08</t>
  </si>
  <si>
    <t>Įgyvendinti projektą „P. Višinskio gatvės viešųjų erdvių pritaikymas jaunimo poreikiams“</t>
  </si>
  <si>
    <t>Architektūros, urbanistikos ir paveldosaugos skyrius; Projektų valdymo skyrius</t>
  </si>
  <si>
    <t>04.01.04.09</t>
  </si>
  <si>
    <t>Įgyvendinti projektą „Šiaulių miesto centrinio ir Didždvario parkų bei jų prieigų sutvarkymas“</t>
  </si>
  <si>
    <t>Architektūros, urbanistikos ir paveldosaugos skyrius; Projektų valdymo skyrius; Šiaulių kultūros centras</t>
  </si>
  <si>
    <t>04.01.04.10</t>
  </si>
  <si>
    <t>Įgyvendinti projektą „Aušros alėjos (nuo Žemaitės g. iki Varpo g.) viešųjų pastatų ir viešųjų erdvių prieigų rekonstrukcija"</t>
  </si>
  <si>
    <t>04.01.04.12</t>
  </si>
  <si>
    <t>Vykdyti vaizdo stebėjimo kamerų sistemos plėtrą</t>
  </si>
  <si>
    <t>Miesto koordinavimo skyrius</t>
  </si>
  <si>
    <t>Įrengtų vaizdo stebėjimo kamerų</t>
  </si>
  <si>
    <t>Prijungtų UAB "Šiaulių gatvių apšvietimas" dispozicijoje esančių vaizdo stebėjimo kamerų prie savivaldybės administracijos valdomos vaizdo stebėjimo sistemos</t>
  </si>
  <si>
    <t>Viešųjų vietų vaizdo stebėjimo kamerų, kurioms užtikrinamas funkcionalumo tęstinumas</t>
  </si>
  <si>
    <t>Alėjų, pėsčiųjų takų, skverų, gatvių, kuriose įrengtos viešųjų vietų vaizdo stebėjimo kameros</t>
  </si>
  <si>
    <t>Įrengtų greičio matuoklių</t>
  </si>
  <si>
    <t>04.02.</t>
  </si>
  <si>
    <t>Užtikrinti subalansuotą miesto susisiekimo sistemos vystymą</t>
  </si>
  <si>
    <t>Vykdyti miesto susisiekimo sistemos plėtrą</t>
  </si>
  <si>
    <t>04.02.01.</t>
  </si>
  <si>
    <t>Tobulinti miesto vidaus susisiekimo sistemą</t>
  </si>
  <si>
    <t>04.02.01.01</t>
  </si>
  <si>
    <t>Vykdyti naujų magistralinių gatvių suprojektavimo ir nutiesimo, susisiekimo komunikacijų įrengimo, rekonstravimo ir remonto darbus</t>
  </si>
  <si>
    <t>Statybos ir renovacijos skyrius; Architektūros, urbanistikos ir paveldosaugos skyrius</t>
  </si>
  <si>
    <t>Atlikta miesto gatvių, šaligatvių ir takų remonto darbų pagal skirtą finansavimą (Vaisių g., Šalkauskio g., Salantų g., Radviliškio g. šaligatvis, Dainų takas, Dainų parko takų plėtra)</t>
  </si>
  <si>
    <t>Atliktas išlyginamojo asfalto sluoksnio dengimas</t>
  </si>
  <si>
    <t>Sukurtos arba atnaujintos atviros erdvės mieste (Dainų takas, Dainų parkas)</t>
  </si>
  <si>
    <t>04.02.01.06</t>
  </si>
  <si>
    <t>Įrengti viešojo susisiekimo infrastruktūrą, siekiant pagerinti sąlygas verslo plėtrai</t>
  </si>
  <si>
    <t>Statybos ir renovacijos skyrius; Projektų valdymo skyrius</t>
  </si>
  <si>
    <t>Įrengtas Serbentų g. tęsinys nuo esamos Serbentų g. iki Aukštabalio g.</t>
  </si>
  <si>
    <t>Įrengta žiedinė sankryža</t>
  </si>
  <si>
    <t>04.02.01.07</t>
  </si>
  <si>
    <t>Įrengti kelio Šiauliai-Panevėžys jungtį su Šiaulių industrinio parko teritorija</t>
  </si>
  <si>
    <t>Atlikta kelio rangos darbų</t>
  </si>
  <si>
    <t>04.02.01.10</t>
  </si>
  <si>
    <t>Įgyvendinti projektą „Šiaulių miesto viešojo transporto priemonių parko atnaujinimas“</t>
  </si>
  <si>
    <t>04.02.01.11</t>
  </si>
  <si>
    <t>Įgyvendinti projektą „Eismo saugumo priemonių įdiegimas Šiaulių mieste“</t>
  </si>
  <si>
    <t>04.02.01.13</t>
  </si>
  <si>
    <t>Įgyvendinti projektą „Darnus judumas ir kasdienių kelionių modeliavimas Baltijos jūros miestuose“</t>
  </si>
  <si>
    <t>04.02.01.14</t>
  </si>
  <si>
    <t>Įgyvendinti projektą „Darnaus judumo priemonių diegimas Šiaulių mieste“</t>
  </si>
  <si>
    <t>Įgyvendintos darnaus judumo priemonės</t>
  </si>
  <si>
    <t>04.02.01.15</t>
  </si>
  <si>
    <t>Įgyvendinti projektą „Pakruojo gatvės rekonstrukcija“</t>
  </si>
  <si>
    <t>04.02.01.16</t>
  </si>
  <si>
    <t>Įgyvendinti projektą „Tilžės g. dviračių tako rekonstrukcija"</t>
  </si>
  <si>
    <t>04.02.01.18</t>
  </si>
  <si>
    <t>Įgyvendinti Bačiūnų g. rekonstrukciją</t>
  </si>
  <si>
    <t>04.02.01.19</t>
  </si>
  <si>
    <t>Vykdyti keleivių vežimą vietinio (miesto) reguliaraus susisiekimo autobusų maršrutais</t>
  </si>
  <si>
    <t>Apmokėta už miesto keleivių vežimo vietiniais maršrutais (Nr. 2,8,14,20,24) paslaugas pagal kilometražą</t>
  </si>
  <si>
    <t>04.02.02.</t>
  </si>
  <si>
    <t>Vykdyti Savivaldybės infrastruktūros plėtrą</t>
  </si>
  <si>
    <t>04.02.02.01</t>
  </si>
  <si>
    <t>Suprojektuoti, nutiesti, išasfaltuoti ar rekonstruoti žvyruotas gatves</t>
  </si>
  <si>
    <t>Gatvių asfaltavimas ir įrengimas</t>
  </si>
  <si>
    <t>04.02.02.02</t>
  </si>
  <si>
    <t>Įgyvendinti Savivaldybės infrastruktūros plėtros rėmimo programą</t>
  </si>
  <si>
    <t>Sukurta infrastruktūros objektų (pasirašyta savivaldybės infrastruktūros plėtros sutarčių)</t>
  </si>
  <si>
    <t>05.</t>
  </si>
  <si>
    <t>Miesto ekonominės plėtros programa</t>
  </si>
  <si>
    <t>Ekonomikos ir investicijų skyrius</t>
  </si>
  <si>
    <t>05.01.</t>
  </si>
  <si>
    <t>Skatinti miesto ekonominę plėtrą sudarant palankias sąlygas verslo vystymuisi</t>
  </si>
  <si>
    <t>Užimtų gyventojų skaičiaus augimas</t>
  </si>
  <si>
    <t>Įsteigtų įmonių</t>
  </si>
  <si>
    <t>Materialinių investicijų augimas</t>
  </si>
  <si>
    <t>Tiesioginių užsienio investicijų (TUI) augimas</t>
  </si>
  <si>
    <t>05.01.02.</t>
  </si>
  <si>
    <t>Skatinti ir ugdyti verslumą</t>
  </si>
  <si>
    <t>05.01.02.01</t>
  </si>
  <si>
    <t>Skatinti smulkiojo verslo subjektus</t>
  </si>
  <si>
    <t>Įgyvendintų skatinimo priemonių</t>
  </si>
  <si>
    <t>05.01.02.02</t>
  </si>
  <si>
    <t>Įgyvendinti verslo subjektų mokymo programas</t>
  </si>
  <si>
    <t>Ekonomikos ir investicijų skyrius; VšĮ Šiaulių verslo inkubatorius</t>
  </si>
  <si>
    <t>Surengtų mokymų</t>
  </si>
  <si>
    <t>Verslo sklaidos renginių</t>
  </si>
  <si>
    <t>Suteiktos konsultacijos</t>
  </si>
  <si>
    <t>val.</t>
  </si>
  <si>
    <t>05.01.02.03</t>
  </si>
  <si>
    <t>Įgyvendinti jaunimo verslumo skatinimo programą</t>
  </si>
  <si>
    <t>Konsultuotų asmenų</t>
  </si>
  <si>
    <t>žm.</t>
  </si>
  <si>
    <t>Verslumo mokymo ir verslo informacinės sklaidos renginių</t>
  </si>
  <si>
    <t>05.01.05.</t>
  </si>
  <si>
    <t>Skatinti investicijų pritraukimą</t>
  </si>
  <si>
    <t>05.01.05.01</t>
  </si>
  <si>
    <t>Parengti (atnaujinti) investicijų projektus</t>
  </si>
  <si>
    <t>Parengtų ir atnaujintų investicijų projektų</t>
  </si>
  <si>
    <t>05.01.05.02</t>
  </si>
  <si>
    <t>Vystyti Šiaulių pramoninio  parko (ŠPP) ir Šiaulių laisvosios ekonominės zonos (Šiaulių LEZ) infrastruktūrą</t>
  </si>
  <si>
    <t>Ekonomikos ir investicijų skyrius; Miesto ūkio ir aplinkos skyrius; Projektų valdymo skyrius</t>
  </si>
  <si>
    <t>LEZ teritorijoje įrengti pėsčiųjų dviračių takai</t>
  </si>
  <si>
    <t>Sklypų skaičius iš kurių pašalinti medžiai</t>
  </si>
  <si>
    <t>Iškeltų inžinerinių tinklų</t>
  </si>
  <si>
    <t>Įrengta geležinkelio kelių</t>
  </si>
  <si>
    <t>Įrengta krovos aikštelių infrastruktūra</t>
  </si>
  <si>
    <t>05.01.05.03</t>
  </si>
  <si>
    <t>Vystyti Šiaulių Oro uosto veiklą</t>
  </si>
  <si>
    <t>Ekonomikos ir investicijų skyrius; SĮ Šiaulių oro uostas</t>
  </si>
  <si>
    <t>Įvykdyti specialieji aviacijos saugumo užtikrinimo įsipareigojimai</t>
  </si>
  <si>
    <t>05.01.05.04</t>
  </si>
  <si>
    <t>Įrengti ekonominės veiklos centro infrastruktūrą</t>
  </si>
  <si>
    <t>Elektros transformatorinės rekonstrukcija el. galios padidinimui</t>
  </si>
  <si>
    <t>05.01.05.05</t>
  </si>
  <si>
    <t>Viešinti investicinę aplinką</t>
  </si>
  <si>
    <t>Suorganizuota renginių</t>
  </si>
  <si>
    <t>Dalyvauta parodose</t>
  </si>
  <si>
    <t>Sukurtų elektroninių leidinių</t>
  </si>
  <si>
    <t>Publikuotų straipsnių spaudoje</t>
  </si>
  <si>
    <t>Sukurtų edukacinių rinkodaros priemonių</t>
  </si>
  <si>
    <t>05.01.05.06</t>
  </si>
  <si>
    <t>Pritraukti aukštos kvalifikacijos specialistus į Šiaulių miestą</t>
  </si>
  <si>
    <t>Atvykusių dirbti aukštos kvalifikacijos specialistų skaičius, kurie gavo vienkartines išmokas</t>
  </si>
  <si>
    <t>06.</t>
  </si>
  <si>
    <t>Turto valdymo ir privatizavimo programa</t>
  </si>
  <si>
    <t>Turto valdymo skyrius</t>
  </si>
  <si>
    <t>06.01.</t>
  </si>
  <si>
    <t>Užtikrinti Savivaldybei nuosavybės teise priklausančio turto efektyvų panaudojimą</t>
  </si>
  <si>
    <t>Teisiškai sutvarkytų ir  įregistruotų  nekilnojamojo turto sk.  nuo viso turimo turto, proc.</t>
  </si>
  <si>
    <t>06.01.01.</t>
  </si>
  <si>
    <t>Užtikrinti Savivaldybei nuosavybės teise priklausančio turto įregistravimą viešuosiuose registruose</t>
  </si>
  <si>
    <t>06.01.01.01</t>
  </si>
  <si>
    <t>Apmokėti pastatų, patalpų ir inžinerinių statinių vertinimo, kadastrinių matavimų atlikimo, teisines registracijos išlaidas</t>
  </si>
  <si>
    <t>Nekilnojamojo turto registre teisiškai įregistruotas turtas</t>
  </si>
  <si>
    <t>06.01.01.03</t>
  </si>
  <si>
    <t>Padengti Privatizavimo programos vykdymo išlaidas</t>
  </si>
  <si>
    <t>Padengtos išlaidos</t>
  </si>
  <si>
    <t>06.01.01.06</t>
  </si>
  <si>
    <t>Apmokėti turto, kuris neturi savininko (ar savininkas nežinomas) laikinosios priežiūros ir laikinųjų apsaugos priemonių įrengimo arba griovimo išlaidas</t>
  </si>
  <si>
    <t>Prižiūrimų ir nugriautų objektų</t>
  </si>
  <si>
    <t>06.01.02.</t>
  </si>
  <si>
    <t>Tinkamai eksploatuoti, renovuoti, remontuoti ir  saugoti Savivaldybei nuosavybės teise priklausantį turtą</t>
  </si>
  <si>
    <t>06.01.02.03</t>
  </si>
  <si>
    <t>Apmokėti Savivaldybei nuosavybės teise priklausančių pastatų, patalpų ir inžinerinių statinių  draudimo, apsaugos, remonto, komunalines ir kitas išlaidas</t>
  </si>
  <si>
    <t>Projektų valdymo skyrius; Turto valdymo skyrius</t>
  </si>
  <si>
    <t>Apmokėtos eksploatavimo išlaidos</t>
  </si>
  <si>
    <t>Apdraustų objektų</t>
  </si>
  <si>
    <t>06.01.02.12</t>
  </si>
  <si>
    <t>Apmokėti Savivaldybei nuosavybės teise priklausančio nekilnojamojo turto renovacijos išlaidas</t>
  </si>
  <si>
    <t>Apmokėtos renovacijos išlaidos</t>
  </si>
  <si>
    <t>06.01.02.14</t>
  </si>
  <si>
    <t>Užtikrinti skolų išieškojimą ir skolininkų iškeldinimą iš Savivaldybei nuosavybės teise priklausančių būstų</t>
  </si>
  <si>
    <t>Įvykdytų teismų sprendimų</t>
  </si>
  <si>
    <t>06.01.02.15</t>
  </si>
  <si>
    <t>Organizuoti finansinių įsipareigojimų Aukštabalio multifunkcinio komplekso operatoriui vykdymą</t>
  </si>
  <si>
    <t>Pasirašyta koncesijos sutartis</t>
  </si>
  <si>
    <t>Įvykdytų sutartinių metinių įsipareigojimų</t>
  </si>
  <si>
    <t>06.01.02.16</t>
  </si>
  <si>
    <t>Apmokėti Savivaldybei nuosavybės teise priklausančių būstų eksploatavimo, administravimo, kaupimo, nuomos mokesčio surinkimo, komunalinių mokesčių, remonto išlaidas</t>
  </si>
  <si>
    <t>Apmokėtos išlaidos</t>
  </si>
  <si>
    <t>06.01.02.17</t>
  </si>
  <si>
    <t>Kompensuoti daugiabučių namų savininkų bendrijų steigimo išlaidas</t>
  </si>
  <si>
    <t>Padengtos steigimo išlaidos</t>
  </si>
  <si>
    <t>06.01.03.</t>
  </si>
  <si>
    <t>Sudaryti sąlygas įsigyti būstą pažeidžiamiausioms gyventojų grupėms</t>
  </si>
  <si>
    <t>06.01.03.05</t>
  </si>
  <si>
    <t>Didinti Savivaldybės būsto fondą</t>
  </si>
  <si>
    <t>Nupirktų būstų</t>
  </si>
  <si>
    <t>06.01.03.06</t>
  </si>
  <si>
    <t>Įgyvendinti projektą „Socialinio būsto fondo plėtra Šiaulių miesto savivaldybėje"</t>
  </si>
  <si>
    <t>06.01.03.07</t>
  </si>
  <si>
    <t>Kompensuoti būsto nuomos ar išperkamosios būsto nuomos mokesčių dalį</t>
  </si>
  <si>
    <t>1.04.</t>
  </si>
  <si>
    <t>06.01.03.08</t>
  </si>
  <si>
    <t>Sumokėti socialiai remtinų piliečių palūkanas už paskolas ir kompensuoti būsto nuomos mokesčių dalį</t>
  </si>
  <si>
    <t>06.01.03.09</t>
  </si>
  <si>
    <t>Kompensuoti jaunoms šeimoms dalį išlaidų įsigyjant pirmą būstą</t>
  </si>
  <si>
    <t>Šeimų gavusių kompensacijas</t>
  </si>
  <si>
    <t>07.</t>
  </si>
  <si>
    <t>Sporto plėtros programa</t>
  </si>
  <si>
    <t>Sporto skyrius</t>
  </si>
  <si>
    <t>07.01.</t>
  </si>
  <si>
    <t>Sudaryti sąlygas ugdyti sveiką ir fiziškai aktyvią miesto bendruomenę bei plėtoti aukšto meistriškumo sportininkų rengimo sistemą</t>
  </si>
  <si>
    <t>Sporto organizacijų Šiaulių mieste</t>
  </si>
  <si>
    <t>Prižiūrimų sporto bazių</t>
  </si>
  <si>
    <t>07.01.01.</t>
  </si>
  <si>
    <t>Plėtoti aukšto meistriškumo sportininkų rengimo sistemą</t>
  </si>
  <si>
    <t>07.01.01.02</t>
  </si>
  <si>
    <t>Vykdyti miesto, apskrities, šalies ir tarptautinius sporto renginius bei pasirengti ir dalyvauti šalies ir tarptautinėms varžyboms (Baltijos, Europos ir pasaulio čempionato varžyboms, kompleksiniams renginiams ir kt.)</t>
  </si>
  <si>
    <t>Šalies sporto šakų čempionatuose, taurės varžybose (suaugusiųjų amžiaus grupėje) laimėta 1–3 vietų</t>
  </si>
  <si>
    <t>Šalies sporto šakų čempionatuose, taurės varžybose (jaunučių, jaunių, jaunimo amžiaus grupėse) laimėta 1–3 vietų</t>
  </si>
  <si>
    <t>Europos čempionate iškovotų 1–6 vietų ir pasaulio čempionate, taurės varžybose (suaugusiųjų amžiaus grupėje) iškovotų 1–10 vietų</t>
  </si>
  <si>
    <t>Europos čempionate iškovotų 1–6 vietų ir pasaulio čempionate, taurės varžybose (jaunučių, jaunių, jaunimo amžiaus grupėse) iškovotų 1–10 vietų</t>
  </si>
  <si>
    <t>Olimpinės ir paralimpinės rinktinės kandidatų bei perspektyvinės pamainos sportininkų</t>
  </si>
  <si>
    <t>Rinktinės narių skaičius (suaugusiųjų amžiaus grupėje)</t>
  </si>
  <si>
    <t>Rinktinės narių skaičius (jaunučių, jaunių, jaunimo amžiaus grupėse)</t>
  </si>
  <si>
    <t>Surengtų sporto renginių</t>
  </si>
  <si>
    <t>07.01.01.06</t>
  </si>
  <si>
    <t>Pasirengti ir dalyvauti Lietuvos čempionato ir sporto šakų federacijų taurės, Baltijos lygos ir taurės laimėtojų, Europos taurės ir kitose oficialiose varžybose (žaidimų komandų jaunimo ir suaugusiųjų amžiaus grupė)</t>
  </si>
  <si>
    <t>Komandų, dalyvaujančių šalies varžybose</t>
  </si>
  <si>
    <t>Lietuvos čempionato varžybose laimėta 1–3 vietų</t>
  </si>
  <si>
    <t>Komandų, dalyvaujančių tarptautinėse varžybose</t>
  </si>
  <si>
    <t>Tarptautinėse varžybose laimėta 1–3 vietų</t>
  </si>
  <si>
    <t>Rinktinės narių</t>
  </si>
  <si>
    <t>07.01.01.08</t>
  </si>
  <si>
    <t>Įgyvendinti Šiaulių miesto reprezentacinių renginių programą</t>
  </si>
  <si>
    <t>Sporto skyrius; Šiaulių sporto centras ,,Dubysa"</t>
  </si>
  <si>
    <t>Surengti miestą reprezentuojantys sporto renginiai</t>
  </si>
  <si>
    <t>Surengtų sporto renginių dalyvių</t>
  </si>
  <si>
    <t>07.01.01.09</t>
  </si>
  <si>
    <t>Skatinti sportininkus ir trenerius laimėjusius aukštas vietas tarptautinės varžybose</t>
  </si>
  <si>
    <t>Paskatinta aukšto meistriškumo sportininkų</t>
  </si>
  <si>
    <t>Premijų (stipendijų), skirtų sportininkams</t>
  </si>
  <si>
    <t>Paskatinta aukšto meistriškumo sportininkų trenerių</t>
  </si>
  <si>
    <t>07.01.01.10</t>
  </si>
  <si>
    <t>Plėtoti sportininkų rengimo centrų veiklą</t>
  </si>
  <si>
    <t>Sporto skyrius; Sportininkų rengimo centrai</t>
  </si>
  <si>
    <t>Komandų, dalyvaujančių LFF A, I ir II lygos varžybose</t>
  </si>
  <si>
    <t>Futbolo plėtros programoje rengiamų sportininkų</t>
  </si>
  <si>
    <t>Komandų, dalyvaujančių Regiono lygos varžybose</t>
  </si>
  <si>
    <t>Krepšinio plėtros programoje rengiamų sportininkų</t>
  </si>
  <si>
    <t>07.01.01.11</t>
  </si>
  <si>
    <t>Plėtoti sporto įstaigų veiklą</t>
  </si>
  <si>
    <t>Sporto įstaigose rengiamų sportininkų</t>
  </si>
  <si>
    <t>07.01.06.</t>
  </si>
  <si>
    <t>Modernizuoti ir sukurti sporto infrastruktūrą</t>
  </si>
  <si>
    <t>07.01.06.01</t>
  </si>
  <si>
    <t>Pastatyti sporto kompleksą (futbolo ir regbio maniežą)</t>
  </si>
  <si>
    <t>Sporto skyrius; Projektų valdymo skyrius</t>
  </si>
  <si>
    <t>Parengtas techninis projektas</t>
  </si>
  <si>
    <t>Atlikta darbų</t>
  </si>
  <si>
    <t>07.01.06.02</t>
  </si>
  <si>
    <t>Pastatyti irklavimo sporto bazę (Žvyro g. 34)</t>
  </si>
  <si>
    <t>Statybos ir renovacijos skyrius; Sporto skyrius</t>
  </si>
  <si>
    <t>Atlikti II etapo statybos darbai (pastatytas pastatas), atlikta darbų</t>
  </si>
  <si>
    <t>07.01.06.03</t>
  </si>
  <si>
    <t>Suprojektuoti ir pastatyti buriavimo elingą prie Rėkyvos ežero</t>
  </si>
  <si>
    <t>Architektūros, urbanistikos ir paveldosaugos skyrius; Statybos ir renovacijos skyrius; Sporto skyrius</t>
  </si>
  <si>
    <t>07.01.06.05</t>
  </si>
  <si>
    <t>Modernizuoti plaukimo centro „Delfinas" (Ežero 11A) pastatą</t>
  </si>
  <si>
    <t>07.01.06.06</t>
  </si>
  <si>
    <t>Suremontuoti Šiaulių m. stadioną ir pastatų patalpas (S. Daukanto g. 23)</t>
  </si>
  <si>
    <t>Suremontuoti Šiaulių miesto stadiono pastato persirengimo rūbines, atlikta darbų</t>
  </si>
  <si>
    <t>07.01.06.07</t>
  </si>
  <si>
    <t>Pritaikyti miesto viešąsias erdves fizinio aktyvumo ir laisvalaikio poreikiams tenkinti</t>
  </si>
  <si>
    <t>07.01.06.08</t>
  </si>
  <si>
    <t>Futbolo aikštės rekonstrukcija (Kviečių g. 7)</t>
  </si>
  <si>
    <t>07.01.07.</t>
  </si>
  <si>
    <t>Skatinti gyventojų fizinio aktyvumo veiklas</t>
  </si>
  <si>
    <t>07.01.07.01</t>
  </si>
  <si>
    <t>Sudaryti sąlygas didinti fizinio aktyvumo renginių bei veiklų prieinamumą ir aprėptį</t>
  </si>
  <si>
    <t>Vykdytose fizinio aktyvumo veiklose dalyvaujančių dalis nuo bendro Šiaulių miesto gyventojų skaičiaus</t>
  </si>
  <si>
    <t>07.01.07.02</t>
  </si>
  <si>
    <t>Mokyti vaikus plaukti ir saugiai elgtis vandenyje ir prie vandens</t>
  </si>
  <si>
    <t>Sporto skyrius; Šiaulių plaukimo centras ,,Delfinas"</t>
  </si>
  <si>
    <t>Išmokytų plaukti vaikų dalis nuo bendro 1–4 klasių mokinių skaičiaus Šiaulių miesto bendrojo ugdymo mokyklose</t>
  </si>
  <si>
    <t>08.</t>
  </si>
  <si>
    <t>Švietimo prieinamumo ir kokybės užtikrinimo programa</t>
  </si>
  <si>
    <t>Švietimo skyrius</t>
  </si>
  <si>
    <t>08.01.</t>
  </si>
  <si>
    <t>Plėtoti inovatyvią švietimo sistemą, ugdančią aktyvią ir kūrybingą asmenybę</t>
  </si>
  <si>
    <t>Sudarytos sąlygos kokybiškam ugdymo procesui</t>
  </si>
  <si>
    <t>Užtikrinta švietimo pagalba kiekvienam mokiniui</t>
  </si>
  <si>
    <t>08.01.01.</t>
  </si>
  <si>
    <t>Gerinti švietimo prieinamumą ir pristatyti švietimo veiklą</t>
  </si>
  <si>
    <t>08.01.01.01</t>
  </si>
  <si>
    <t>Atstovauti miestui, pristatyti švietimo veiklą, organizuoti renginius</t>
  </si>
  <si>
    <t>Tradicinių mokytojų ir mokinių renginių</t>
  </si>
  <si>
    <t>Olimpiadų dalyvių</t>
  </si>
  <si>
    <t>Įteikta premijų ,,Metų mokytojas“</t>
  </si>
  <si>
    <t>Vieną ir daugiau 100 balų įvertinimą gavusių mokinių</t>
  </si>
  <si>
    <t>Švietimo lyderystės ir pagalbos programų dalyvių</t>
  </si>
  <si>
    <t>Pirmoko krepšelį gavusių mokinių</t>
  </si>
  <si>
    <t>08.01.01.02</t>
  </si>
  <si>
    <t>Sukurti skaitmenines mokymosi aplinkas bendrojo ugdymo mokyklose</t>
  </si>
  <si>
    <t>Sukurtos skaitmeninės mokymosi aplinkos (2020-2023 m.), įvykdyti mokymai bei konsultacijos mokytojams ir mokyklos administracijai (2020-2021 m.), mokyklų skaičius</t>
  </si>
  <si>
    <t>08.01.01.03</t>
  </si>
  <si>
    <t>Užtikrinti švietimo elektroninės apskaitos ir registracijos sistemų funkcionavimą</t>
  </si>
  <si>
    <t>Įstaigų objektų, kuriuose įdiegta ir atnaujinta veikianti apskaitos sistema</t>
  </si>
  <si>
    <t>Nevalstybinių švietimo įstaigų ir laisvųjų mokytojų įgyvendinamų neformaliojo vaikų švietimo programų</t>
  </si>
  <si>
    <t>Sukurta ir veikianti priėmimo į bendrojo ugdymo mokyklas sistema</t>
  </si>
  <si>
    <t>08.01.01.04</t>
  </si>
  <si>
    <t>Įgyvendinti projektą „Ugdymo karjerai sistemos tobulinimas Šiaulių miesto savivaldybės bendrojo ugdymo mokyklose“</t>
  </si>
  <si>
    <t>Projekto dalyvių</t>
  </si>
  <si>
    <t>08.01.01.05</t>
  </si>
  <si>
    <t>Vykdyti Šiaulių miesto savivaldybės, jos teritorijoje veikiančių aukštųjų mokyklų, Šiaulių profesinio rengimo centro, verslo įmonių ir švietimo įstaigų bendradarbiavimo programas</t>
  </si>
  <si>
    <t>STEAM ir STEAM JUNIOR programos grupių</t>
  </si>
  <si>
    <t>INOSTART programų</t>
  </si>
  <si>
    <t>Inžinerijos ir informatikos mokslų krypties studijų Šiaulių mieste parama kviestiniams dėstytojams, skatinamųjų stipendijų</t>
  </si>
  <si>
    <t>Pritaikytų erdvių integruotam gamtos mokslų ugdymui ir Šiaulių miesto bendruomenės švietimui programų</t>
  </si>
  <si>
    <t>Viešųjų ryšių akcijos „Šiauliai – sėkmingos karjeros miestas“ priemonių</t>
  </si>
  <si>
    <t>Studijų parama, studentų</t>
  </si>
  <si>
    <t>STEAM renginių ir varžybų</t>
  </si>
  <si>
    <t>Įgyvendinama ankstyvojo profesinio informavimo programa "OPA" pradinių klasių mokiniams</t>
  </si>
  <si>
    <t>Įgyvendinta  Tarpinstitucinio bendradarbiavimo žmogiškųjų išteklių plėtros programa</t>
  </si>
  <si>
    <t>Suorganizuota technologijų pamokų</t>
  </si>
  <si>
    <t>08.01.01.06</t>
  </si>
  <si>
    <t>Vykdyti suaugusiųjų neformaliojo švietimo programas</t>
  </si>
  <si>
    <t>Programos dalyvių</t>
  </si>
  <si>
    <t>08.01.01.07</t>
  </si>
  <si>
    <t>Užtikrinti Šiaulių miesto reprezentacinių renginių organizavimą</t>
  </si>
  <si>
    <t>Suorganizuota reprezentacinių renginių</t>
  </si>
  <si>
    <t>08.01.03.</t>
  </si>
  <si>
    <t>Sudaryti sąlygas kokybiškam ugdymo procesui</t>
  </si>
  <si>
    <t>08.01.03.01</t>
  </si>
  <si>
    <t>Užtikrinti švietimo įstaigų veiklą (ML 98% + SB)</t>
  </si>
  <si>
    <t>Bendrojo ugdymo mokyklų</t>
  </si>
  <si>
    <t>Miesto bendrojo ugdymo mokyklose mokinių</t>
  </si>
  <si>
    <t>Švietimo centras</t>
  </si>
  <si>
    <t>Suformatuotų, atspausdintų ir išduotų naujų elektroninių mokinio pažymėjimų</t>
  </si>
  <si>
    <t>Dalyvavusių pedagogų mokymuose dirbti informacinėmis technologijomis, asmeninių ir profesinių gebėjimų kursuose</t>
  </si>
  <si>
    <t>Tarnyba, teikianti pedagoginę psichologinę pagalbą</t>
  </si>
  <si>
    <t>1.03.</t>
  </si>
  <si>
    <t>Įstaigų, kuriose įsteigti karjeros specialisto etatai</t>
  </si>
  <si>
    <t>Vidutiniškai vienam mokiniui tenkantis plotas</t>
  </si>
  <si>
    <t>Mokinių, dalyvaujančių ,,Kultūros krepšelio“ edukaciniuose užsiėmimuose Šiaulių regiono muziejuose ir kitose kultūros įstaigose</t>
  </si>
  <si>
    <t>Mokinių, lankančių IT, robotikos, inžinerijos neformaliojo ugdymo būrelius, dalis</t>
  </si>
  <si>
    <t>08.01.03.02</t>
  </si>
  <si>
    <t>Tenkinti mokymo reikmes (ML  2% )</t>
  </si>
  <si>
    <t>Ikimokyklinio ir bendrojo ugdymo mokyklų, kuriose mažinami ugdymo finansavimo poreikių skirtumai</t>
  </si>
  <si>
    <t>Mokyklų, įdiegusių socialinių kompetencijų ugdymo modelį</t>
  </si>
  <si>
    <t>08.01.03.03</t>
  </si>
  <si>
    <t>Organizuoti mokinių vežimą</t>
  </si>
  <si>
    <t>Mokinių, kuriems kompensuojamas važiavimas į mokyklą</t>
  </si>
  <si>
    <t>08.01.03.04</t>
  </si>
  <si>
    <t>Užtikrinti viešųjų įstaigų, įgyvendinančių bendrąsias ir specialiąsias ugdymo programas bei nevalstybinių tradicinių religinių bendruomenių ir bendrijų mokyklų veiklą (ML 98 % + SB)</t>
  </si>
  <si>
    <t>VšĮ ugdymo įstaigų (,,Smalsieji pabiručiai“ ir Šiaulių jėzuitų mokykla)</t>
  </si>
  <si>
    <t>Nevalstybinių tradicinių religinių bendruomenių ir bendrijų mokyklų</t>
  </si>
  <si>
    <t>08.01.03.05</t>
  </si>
  <si>
    <t>Įgyvendinti projektą „Gerinti mokinių pasiekimus diegiant kokybės krepšelį“</t>
  </si>
  <si>
    <t>Projekte dalyvaujančių mokyklų</t>
  </si>
  <si>
    <t>08.01.03.06</t>
  </si>
  <si>
    <t>Vykdyti neformaliojo vaikų švietimo programas</t>
  </si>
  <si>
    <t>Sporto skyrius; Švietimo skyrius</t>
  </si>
  <si>
    <t>Neformaliojo vaikų švietimo mokyklų</t>
  </si>
  <si>
    <t>Vaikų, lankančių neformaliojo vaikų švietimo mokyklas</t>
  </si>
  <si>
    <t>Neformaliojo vaikų švietimo teikėjų</t>
  </si>
  <si>
    <t>Nevalstybinių švietimo įstaigų ir laisvųjų mokytojų įgyvendinamų neformaliojo vaikų švietimo programas lankančių vaikų</t>
  </si>
  <si>
    <t>Neformaliojo vaikų švietimo programų</t>
  </si>
  <si>
    <t>FŠPU dalyvaujančių 1-12 klasių mokinių</t>
  </si>
  <si>
    <t>Atlyginimo lengvatą už neformalųjį vaikų švietimą  gaunančių vaikų</t>
  </si>
  <si>
    <t>08.01.03.07</t>
  </si>
  <si>
    <t>Užtikrinti neformaliojo vaikų švietimo teikėjų programų vykdymą (ŠMSM - 15 Eur/mėn.)</t>
  </si>
  <si>
    <t>08.01.03.08</t>
  </si>
  <si>
    <t>Kompensuoti tėvų atlyginimą už neformalųjį vaikų švietimą savivaldybės įstaigose</t>
  </si>
  <si>
    <t>08.01.03.09</t>
  </si>
  <si>
    <t>Užtikrinti ikimokyklinį ir priešmokyklinį ugdymą</t>
  </si>
  <si>
    <t>Ikimokyklinio ugdymo įstaigų</t>
  </si>
  <si>
    <t>Pagal ikimokyklinę programą ugdomų vaikų</t>
  </si>
  <si>
    <t>08.01.03.10</t>
  </si>
  <si>
    <t>Kompensuoti tėvų atlyginimą už vaiko išlaikymą įstaigoje</t>
  </si>
  <si>
    <t>Ikimokyklinio ugdymo įstaigose lengvatas gaunančių vaikų</t>
  </si>
  <si>
    <t>08.01.03.11</t>
  </si>
  <si>
    <t>Užtikrinti ikimokyklinio ugdymo programų įgyvendinimą Šiaulių miesto nevalstybinėse švietimo įstaigose (70 Eur/mėn.)</t>
  </si>
  <si>
    <t>Nevalstybines švietimo įstaigas, įgyvendinančias ikimokyklinio ugdymo programas, lankančių ugdytinių</t>
  </si>
  <si>
    <t>08.01.03.12</t>
  </si>
  <si>
    <t>Finansuoti ikimokyklinio ir priešmokyklinio ugdymo programas vykdančias viešąsias įstaigas</t>
  </si>
  <si>
    <t>Viešųjų įstaigų</t>
  </si>
  <si>
    <t>08.01.03.13</t>
  </si>
  <si>
    <t>Įgyvendinti vaikų ir jaunimo vasaros užimtumo programas</t>
  </si>
  <si>
    <t>Vasaros užimtumo programose dalyvaujančių vaikų</t>
  </si>
  <si>
    <t>08.01.03.14</t>
  </si>
  <si>
    <t>Švietimo pagalbos užtikrinimas švietimo įstaigose</t>
  </si>
  <si>
    <t>Specialiųjų ugdymosi poreikių turinčių mokinių, kuriems teikiama švietimo pagalba</t>
  </si>
  <si>
    <t>08.05.</t>
  </si>
  <si>
    <t>Gerinti ugdymo sąlygas ir aplinką</t>
  </si>
  <si>
    <t>Įstaigų, kuriose atnaujintos aplinkos</t>
  </si>
  <si>
    <t>08.05.02.</t>
  </si>
  <si>
    <t>Atnaujinti ir modernizuoti švietimo įstaigų ugdymo aplinką</t>
  </si>
  <si>
    <t>08.05.02.08</t>
  </si>
  <si>
    <t>Įgyvendinti projektą „Šiaulių Sporto gimnazijos (Vilniaus g. 297) modernizavimas“</t>
  </si>
  <si>
    <t>Statybos ir renovacijos skyrius; Švietimo skyrius; Projektų valdymo skyrius</t>
  </si>
  <si>
    <t>Įrengta sporto aikštelė</t>
  </si>
  <si>
    <t>08.05.02.09</t>
  </si>
  <si>
    <t>Įgyvendinti projektą „Santarvės" gimnazijos renovavimas“</t>
  </si>
  <si>
    <t>Statybos ir renovacijos skyrius; Švietimo skyrius</t>
  </si>
  <si>
    <t>Atlikta planuotų pastato remonto darbų</t>
  </si>
  <si>
    <t>08.05.02.16</t>
  </si>
  <si>
    <t>Rekonstruoti miesto gimnazijų ir mokyklų sporto aikštynus</t>
  </si>
  <si>
    <t>Atnaujintas "Saulėtekio" gimnazijos sporto aikštynas</t>
  </si>
  <si>
    <t>Atlikti "Rasos" progimnazijos sporto aikštyno atnaujinimo rangos darbai</t>
  </si>
  <si>
    <t>Atlikti Gytarių progimnazijos sporto aikštyno atnaujinimo rangos darbai</t>
  </si>
  <si>
    <t>08.05.02.17</t>
  </si>
  <si>
    <t>Renovuoti švietimo įstaigų baseinus</t>
  </si>
  <si>
    <t>08.05.02.22</t>
  </si>
  <si>
    <t>Įgyvendinti projektą „Rėkyvos progimnazijos rekonstrukcija ir aplinkos gerinimas“</t>
  </si>
  <si>
    <t>Atlikta planuotų mokyklos rekonstravimo darbų</t>
  </si>
  <si>
    <t>1.07.</t>
  </si>
  <si>
    <t>08.05.02.23</t>
  </si>
  <si>
    <t>Tvarkyti švietimo įstaigų teritorijų dangas ir įvažiavimus</t>
  </si>
  <si>
    <t>Miesto ūkio ir aplinkos skyrius; Švietimo skyrius</t>
  </si>
  <si>
    <t>Švietimo įstaigų, kuriose atnaujintos teritorijų dangos ir įvažiavimai, skaičius (Švietimo centras, l/d „Pasaka“ ir kt.)</t>
  </si>
  <si>
    <t>08.05.02.24</t>
  </si>
  <si>
    <t>Atnaujinti švietimo įstaigų teritorijų lauko įrenginius ir aptvėrimą</t>
  </si>
  <si>
    <t>Švietimo įstaigų, kuriose atnaujinti lauko įrenginiai ir aptvertos teritorijos (lopšelis-darželis „Drugelis“, Gegužių progimnazija ir kt.)</t>
  </si>
  <si>
    <t>Švietimo įstaigų, kuriose atnaujintas lauko apšvietimas (l/d „Pasaka“, „Kregždutė“, P. Avižonio ugdymo centras, Centro pradinė mokykla,  l/d „Berželis“ ir kt.)</t>
  </si>
  <si>
    <t>08.05.02.31</t>
  </si>
  <si>
    <t>Atnaujinti švietimo įstaigų pastatus, patalpas, įrangą ir komunikacijas</t>
  </si>
  <si>
    <t>Švietimo įstaigų, atnaujinusių  virtuves ir įrangą (Salduvės, Zoknių progimnazijos, ,,Santarvės“  gimnazija ir kt.)</t>
  </si>
  <si>
    <t>Įstaigų, kurių pastatams apšiltintos sienos (l. d. „Eglutė“, l/d  „Trys nykštukai“ darbų projektavimas pagal priemonę 01.05.01.01)</t>
  </si>
  <si>
    <t>Atnaujinta vėdinimo sistema ir lauko laiptai (l/d „Drugelis“, l/d ,,Rugiagėlė“)</t>
  </si>
  <si>
    <t>Įstaigų, kuriose atliktas vamzdynų remontas (l/d „Varpelis“, „Trys nykštukai“ ir kt.)</t>
  </si>
  <si>
    <t>Įstaigų, kuriose atliktas elektros instaliacijos remontas (l/d „Vaikystė“, „Ąžuoliukas“ II korpusas ir kt.)</t>
  </si>
  <si>
    <t>08.05.02.41</t>
  </si>
  <si>
    <t>Įgyvendinti projektą „Didždvario gimnazijos pastato remontas“</t>
  </si>
  <si>
    <t>Atlikta planuotų gimnazijos remonto darbų</t>
  </si>
  <si>
    <t>08.05.02.52</t>
  </si>
  <si>
    <t>Įgyvendinti projektą „Šiaulių Didždvario gimnazijos ir Šiaulių „Juventos“ progimnazijos ugdymo aplinkos modernizavimas“</t>
  </si>
  <si>
    <t>08.05.02.53</t>
  </si>
  <si>
    <t>Įgyvendinti projektą „Lopšelio darželio „Kregždutė" modernizavimas“</t>
  </si>
  <si>
    <t>Atnaujintų įstaigų skaičius</t>
  </si>
  <si>
    <t>08.05.02.54</t>
  </si>
  <si>
    <t>Įgyvendinti projektą „Modernizuoti edukacines aplinkas Šiaulių 1-ojoje muzikos mokykloje ir Šiaulių dainavimo mokykloje „Dagilėlis“</t>
  </si>
  <si>
    <t>Atnaujintos neformaliojo ugdymo įstaigos</t>
  </si>
  <si>
    <t>08.05.02.60</t>
  </si>
  <si>
    <t>Įgyvendinti švietimo įstaigų modernizavimo projektą</t>
  </si>
  <si>
    <t>Švietimo skyrius; Projektų valdymo skyrius</t>
  </si>
  <si>
    <t>Įrengti liftai švietimo įstaigose</t>
  </si>
  <si>
    <t>Įdiegtos hibridinės klasės bendrojo ugdymo mokyklose</t>
  </si>
  <si>
    <t>Įdiegta kondicionavimo įranga ikimokyklinio ugdymo įstaigose</t>
  </si>
  <si>
    <t>Švietimo įstaigose įrengtų saulės elektrinių</t>
  </si>
  <si>
    <t>08.05.02.61</t>
  </si>
  <si>
    <t>Įgyvendinti projektą „Savivaldybės viešųjų pastatų atnaujinimui teikiamų subsidijų panaudojimas“</t>
  </si>
  <si>
    <t>Atnaujinta (modernizuota) savivaldybės viešųjų pastatų</t>
  </si>
  <si>
    <t>08.05.02.62</t>
  </si>
  <si>
    <t>Užtikrinti švietimo įstaigų pastatų ir vidaus patalpų avarinių situacijų šalinimą</t>
  </si>
  <si>
    <t>Miesto ūkio ir aplinkos skyrius; Švietimo skyrius; Šiaulių miesto savivaldybės švietimo centras</t>
  </si>
  <si>
    <t>Pašalintos vidaus ir išorės pastatų, lauko aplinkos avarinės situacijos. Švietimo įstaigose</t>
  </si>
  <si>
    <t>08.05.02.64</t>
  </si>
  <si>
    <t>Atnaujinti mokyklų sporto sales</t>
  </si>
  <si>
    <t>Suremontuotos  sporto salės (ir pagalbinės patalpos) švietimo įstaigose (Ragainės progimnazijoje,  „Saulėtekio“ gimnazijoje, V. Kudirkos progimnazijoje ir kt.)</t>
  </si>
  <si>
    <t>09.</t>
  </si>
  <si>
    <t>Bendruomenės sveikatinimo programa</t>
  </si>
  <si>
    <t>Sveikatos skyrius</t>
  </si>
  <si>
    <t>09.01.</t>
  </si>
  <si>
    <t>Sudaryti palankias sąlygas miesto bendruomenei sveikatinti ir gerinti sveikatos priežiūros paslaugų kokybę ir prieinamumą</t>
  </si>
  <si>
    <t>Asmenų sergamumas, tenkantis 1000 savivaldybės gyventojų, skaičiaus pokytis per metus</t>
  </si>
  <si>
    <t>09.01.01.</t>
  </si>
  <si>
    <t>Modernizuoti sveikatos priežiūros įstaigų infrastruktūrą</t>
  </si>
  <si>
    <t>09.01.01.05</t>
  </si>
  <si>
    <t>Įgyvendinti projektą „Energetinių charakteristikų gerinimas VšĮ Dainų pirminės sveikatos priežiūros centre"</t>
  </si>
  <si>
    <t>Sveikatos skyrius; VšĮ Dainų pirminės sveikatos priežiūros centras</t>
  </si>
  <si>
    <t>Parengta atnaujinimo (modernizavimo) techninė dokumentacija</t>
  </si>
  <si>
    <t>09.01.01.11</t>
  </si>
  <si>
    <t>Įgyvendinti projektą „VšĮ Šiaulių ilgalaikio gydymo ir geriatrijos centro pastatų rekonstravimas, aktyvios ventiliacijos įrengimas, kiemo gerbūvio sutvarkymas ir maisto gamybos skyriaus modernizavimas"</t>
  </si>
  <si>
    <t>Statybos ir renovacijos skyrius; Sveikatos skyrius; VšĮ Šiaulių ilgalaikio gydymo ir geriatrijos centras</t>
  </si>
  <si>
    <t>Atlikta senojo korpuso rekuperavimo ir kondicionavimo sistemos įrengimo darbų</t>
  </si>
  <si>
    <t>Atlikta naujojo korpuso dalies rekuperavimo ir kondicionavimo sistemos įrengimo darbų</t>
  </si>
  <si>
    <t>09.01.01.13</t>
  </si>
  <si>
    <t>Modernizuoti VšĮ Šiaulių centro polikliniką</t>
  </si>
  <si>
    <t>Atlikta senojo Odotologijos korpuso fasado remonto darbų</t>
  </si>
  <si>
    <t>Įrengtas dienos chirurgijos centras</t>
  </si>
  <si>
    <t>Atnaujinta vidaus patalpų ir odontologinės įrangos</t>
  </si>
  <si>
    <t>Atlikta naujojo Odontologijos korpuso fasado remonto darbų</t>
  </si>
  <si>
    <t>09.01.01.15</t>
  </si>
  <si>
    <t>Įgyvendinti projektą „Pirminės asmens sveikatos priežiūros veiklos efektyvumo didinimas Šiaulių mieste"</t>
  </si>
  <si>
    <t>Sveikatos skyrius; Projektų valdymo skyrius; VšĮ Šiaulių centro poliklinika; VšĮ Šiaulių ilgalaikio gydymo ir geriatrijos centras</t>
  </si>
  <si>
    <t>Pacientų, kuriems pagerinta paslaugų kokybė ir prieinamumas</t>
  </si>
  <si>
    <t>Viešąsias sveikatos paslaugas teikiančios asmens sveikatos priežiūros įstaigos, kuriose modernizuota paslaugų teikimo infrastruktūra</t>
  </si>
  <si>
    <t>09.01.02.</t>
  </si>
  <si>
    <t>Plėtoti visuomenės sveikatos priežiūros paslaugas ir ugdyti visuomenės poreikį sveikai gyventi</t>
  </si>
  <si>
    <t>09.01.02.01</t>
  </si>
  <si>
    <t>Įsitraukti į sveikatinimo iniciatyvas, prevencines programas ir jas vykdyti</t>
  </si>
  <si>
    <t>09.01.02.02</t>
  </si>
  <si>
    <t>Sukurti ir gerinti miesto bendruomenės sveikatinimo sąlygas, užtikrinant sveikatinimo projektų finansavimą</t>
  </si>
  <si>
    <t>Sveikatinimo iniciatyvose dalyvavusių asmenų</t>
  </si>
  <si>
    <t>09.01.02.03</t>
  </si>
  <si>
    <t>Įgyvendinti projektą „Sveikos gyvensenos skatinimas Šiaulių mieste"</t>
  </si>
  <si>
    <t>Sveikatos skyrius; Šiaulių miesto savivaldybės visuomenės sveikatos biuras</t>
  </si>
  <si>
    <t>Tikslinių grupių asmenų, kurie dalyvavo informavimo, švietimo ir mokymo renginiuose bei sveikatos raštingumą didinančiose veiklose</t>
  </si>
  <si>
    <t>09.01.02.04</t>
  </si>
  <si>
    <t>Užtikrinti Visuomenės sveikatos biuro veiklą</t>
  </si>
  <si>
    <t>Privalomojo mokymo metu mokytų asmenų</t>
  </si>
  <si>
    <t>09.01.02.05</t>
  </si>
  <si>
    <t>Plėtoti sveiką gyvenseną bei stiprinti sveikos gyvensenos įgūdžius ugdymo įstaigose ir bendruomenėse, vykdyti visuomenės sveikatos stebėseną</t>
  </si>
  <si>
    <t>Ugdymo įstaigų, kuriose vykdytos visuomenės sveikatos priežiūros funkcijos</t>
  </si>
  <si>
    <t>Mokinių, dalyvavusių sveikatinimo veiklose ugdymo įstaigose</t>
  </si>
  <si>
    <t>Stebėsenos ataskaitų su pasiūlymais dėl gyventojų sveikatos būklės gerinimo</t>
  </si>
  <si>
    <t>Miesto gyventojų, dalyvavusių sveikatinimo veiklose</t>
  </si>
  <si>
    <t>Asmenų, baigusių Širdies ir kraujagyslių ligų ir cukrinio diabeto prevencinę sveikatos stiprinimo programą</t>
  </si>
  <si>
    <t>09.01.02.07</t>
  </si>
  <si>
    <t>Plėtoti visuomenės psichikos sveikatos paslaugų prieinamumą bei ankstyvojo savižudybių atpažinimo ir kompleksinės pagalbos teikimo sistemą</t>
  </si>
  <si>
    <t>Suteiktų individualių konsultacijų</t>
  </si>
  <si>
    <t>Suteiktų grupinių konsultacijų</t>
  </si>
  <si>
    <t>Pravestų mokymų</t>
  </si>
  <si>
    <t>09.01.04.</t>
  </si>
  <si>
    <t>Vykdyti ligų prevenciją ir didinti sveikatos priežiūros paslaugų prieinamumą</t>
  </si>
  <si>
    <t>09.01.04.01</t>
  </si>
  <si>
    <t>Kompensuoti ir teikti medicinines paslaugas pažeidžiamiausioms gyventojų grupėms</t>
  </si>
  <si>
    <t>Dantų protezavimo paslaugas gavusių asmenų</t>
  </si>
  <si>
    <t>Slaugos paslaugas gavusių asmenų</t>
  </si>
  <si>
    <t>Pervežtų pacientų</t>
  </si>
  <si>
    <t>Ortodonto suteiktų konsultacijų</t>
  </si>
  <si>
    <t>09.01.04.03</t>
  </si>
  <si>
    <t>Organizuoti privalomąjį profilaktinį aplinkos kenksmingumo pašalinimą</t>
  </si>
  <si>
    <t>Gavusių paslaugas asmenų</t>
  </si>
  <si>
    <t>09.01.04.04</t>
  </si>
  <si>
    <t>Įgyvendinti projektą „Paramos priemonių tuberkulioze sergantiems asmenims įgyvendinimas Šiaulių mieste"</t>
  </si>
  <si>
    <t>Sveikatos skyrius; Projektų valdymo skyrius</t>
  </si>
  <si>
    <t>Tuberkulioze sergančių pacientų, kuriems buvo suteiktos socialinės paramos priemonės tuberkuliozės ambulatorinio gydymo metu</t>
  </si>
  <si>
    <t>09.01.04.05</t>
  </si>
  <si>
    <t>Įgyvendinti projektą „Priklausomybės ligų profilaktikos, diagnostikos ir gydymo kokybės ir prieinamumo gerinimas Šiaulių mieste"</t>
  </si>
  <si>
    <t>Sveikatos skyrius; Projektų valdymo skyrius; VšĮ Šiaulių centro poliklinika</t>
  </si>
  <si>
    <t>Apsilankymų žemo slenksčio paslaugų kabinetuose</t>
  </si>
  <si>
    <t>09.01.04.06</t>
  </si>
  <si>
    <t>Pritraukti gydytojus specialistus į Šiaulių miestą ir išlaikyti jame</t>
  </si>
  <si>
    <t>Paremtų gydytojų, atvykusių dirbti į Šiaulius</t>
  </si>
  <si>
    <t>Finansuotų rezidentų</t>
  </si>
  <si>
    <t>09.01.04.07</t>
  </si>
  <si>
    <t>Vykdyti maudyklų vandens kokybės stebėseną ir paruošti duomenų rinkmenas apie maudyklų vandens charakteristikas</t>
  </si>
  <si>
    <t>Sveikatos skyrius; Šiaulių sporto centras ,,Atžalynas"</t>
  </si>
  <si>
    <t>Stebėtų maudyklų</t>
  </si>
  <si>
    <t>Atliktų tyrimų</t>
  </si>
  <si>
    <t>09.01.04.08</t>
  </si>
  <si>
    <t>Įgyvendinti projektą „Geležinkelių transporto aplinkos apsaugos priemonių (triukšmą slopinančių priemonių) diegimas Šiaulių miesto savivaldybėje"</t>
  </si>
  <si>
    <t>09.01.04.09</t>
  </si>
  <si>
    <t>Vykdyti ligų profilaktikos ir prevencijos priemones</t>
  </si>
  <si>
    <t>Miesto ūkio ir aplinkos skyrius; Sveikatos skyrius; Civilinės saugos ir teisėtvarkos skyrius</t>
  </si>
  <si>
    <t>Įvykdytų priemonių</t>
  </si>
  <si>
    <t>10.</t>
  </si>
  <si>
    <t>Socialinės paramos įgyvendinimo programa</t>
  </si>
  <si>
    <t>Socialinių paslaugų skyrius; Socialinių išmokų ir kompensacijų skyrius</t>
  </si>
  <si>
    <t>10.01.</t>
  </si>
  <si>
    <t>Įgyvendinti socialinės apsaugos sistemą, mažinančią socialinę atskirtį ir užtikrinančią pažeidžiamų gyventojų grupių socialinę integraciją</t>
  </si>
  <si>
    <t>Socialinių paslaugų gavėjų dalis nuo bendro Šiaulių miesto gyventojų skaičiaus</t>
  </si>
  <si>
    <t>Piniginės socialinės paramos gavėjų dalis nuo bendro Šiaulių miesto gyventojų skaičiaus</t>
  </si>
  <si>
    <t>Mažas pajamas gaunančių socialinės paramos gavėjų dalis nuo bendro Šiaulių miesto gyventojų skaičiaus</t>
  </si>
  <si>
    <t>10.01.01.</t>
  </si>
  <si>
    <t>Teikti socialines paslaugas ir didinti jų prieinamumą įvairioms gyventojų grupėms</t>
  </si>
  <si>
    <t>10.01.01.05</t>
  </si>
  <si>
    <t>Teikti ilgalaikės, trumpalaikės ir dienos socialinės globos paslaugas senyvo amžiaus asmenims, suaugusiems asmenims ir vaikams su negalia ir su sunkia negalia</t>
  </si>
  <si>
    <t>Socialinių paslaugų skyrius</t>
  </si>
  <si>
    <t>Teikiamų paslaugų rūšių</t>
  </si>
  <si>
    <t>Paslaugų gavėjų su sunkia negalia</t>
  </si>
  <si>
    <t>Paslaugų gavėjų su negalia</t>
  </si>
  <si>
    <t>Patenkintų prašymų laikino atokvėpio paslaugai gauti (nuo visų pateiktų asmenų prašymų)</t>
  </si>
  <si>
    <t>10.01.01.07</t>
  </si>
  <si>
    <t>Įgyvendinti Užimtumo didinimo programą laikiną užimtumą užtikrinančiomis priemonėmis</t>
  </si>
  <si>
    <t>Sukurtų laikinų darbo vietų</t>
  </si>
  <si>
    <t>10.01.01.09</t>
  </si>
  <si>
    <t>Įgyvendinti Būsto pritaikymo asmenims turintiems negalią programą</t>
  </si>
  <si>
    <t>Socialinių paslaugų skyrius; Statybos ir renovacijos skyrius; Šiaulių miesto savivaldybės socialinių paslaugų centras</t>
  </si>
  <si>
    <t>Pritaikytų būstų ir gyvenamosios aplinkos dalis nuo visų gautų paraiškų</t>
  </si>
  <si>
    <t>Pritaikytų būstų suaugusiems asmenims dalis nuo visų gautų paraiškų</t>
  </si>
  <si>
    <t>Pritaikytų būstų vaikams dalis nuo visų gautų paraiškų</t>
  </si>
  <si>
    <t>10.01.01.10</t>
  </si>
  <si>
    <t>Didinti socialinių paslaugų prieinamumą</t>
  </si>
  <si>
    <t>Suteikta pavėžėjimo su pagalba paslaugų asmenims su negalia nuo pateiktų prašymų</t>
  </si>
  <si>
    <t>Suteikta asmeninės pagalbos paslaugų asmenims su negalia nuo pateiktų prašymų</t>
  </si>
  <si>
    <t>10.01.01.11</t>
  </si>
  <si>
    <t>Užtikrinti socialinių paslaugų įstaigų veiklą ir prienamumą</t>
  </si>
  <si>
    <t>Socialinių paslaugų skyrius; Šiaulių miesto savivaldybės socialinių paslaugų centras; Šiaulių miesto savivaldybės vaikų globos namai ; Šiaulių miesto savivaldybės globos namai; Kompleksinių paslaugų namai ,,Alka"</t>
  </si>
  <si>
    <t>Socialinių paslaugų centre teikiamų paslaugų rūšių</t>
  </si>
  <si>
    <t>Socialinių paslaugų centre aptarnautų asmenų (šeimų)</t>
  </si>
  <si>
    <t>Vaikų globos namuose teikiamų paslaugų rūšių</t>
  </si>
  <si>
    <t>Vaikų globos namuose paslaugų gavėjų</t>
  </si>
  <si>
    <t>Globos namuose teikiamų paslaugų rūšių</t>
  </si>
  <si>
    <t>Globos namuose paslaugų gavėjų</t>
  </si>
  <si>
    <t>Kompleksinių paslaugų namuose "Alka" teikiamų paslaugų rūšių</t>
  </si>
  <si>
    <t>Kompleksinių paslaugų namuose "Alka" paslaugų gavėjų</t>
  </si>
  <si>
    <t>10.01.01.12</t>
  </si>
  <si>
    <t>Užtikrinti socialinės globos paslaugų teikimą vaikams, likusiems be tėvų globos</t>
  </si>
  <si>
    <t>Globojamų vaikų šeimose</t>
  </si>
  <si>
    <t>Globojamų vaikų šeimynose</t>
  </si>
  <si>
    <t>Globojamų vaikų bendruomeniniuose vaikų globos namuose</t>
  </si>
  <si>
    <t>Globojamų vaikų kitų savivaldybių institucijose</t>
  </si>
  <si>
    <t>10.01.01.13</t>
  </si>
  <si>
    <t>Įgyvendinti socialinės reabilitacijos paslaugų neįgaliesiems bendruomenėje projektus</t>
  </si>
  <si>
    <t>Finansuojamų projektų</t>
  </si>
  <si>
    <t>Paslaugų gavėjų</t>
  </si>
  <si>
    <t>10.01.01.14</t>
  </si>
  <si>
    <t>Užtikrinti vaikų dienos centrų veiklą ir prieinamumą</t>
  </si>
  <si>
    <t>Vaikų, lankančių dienos centrus</t>
  </si>
  <si>
    <t>Vaikų iš šeimų, patiriančių socialinę riziką, dalis nuo visų socialinės rizikos šeimose augančių vaikų skaičiaus</t>
  </si>
  <si>
    <t>Vaikų iš šeimų patiriančių socialinę riziką, dalis nuo visų vaikų dienos centrus lankančių vaikų</t>
  </si>
  <si>
    <t>10.01.01.15</t>
  </si>
  <si>
    <t>Užtikrinti kraitelio skyrimą šeimoms, susilaukusioms kūdikio</t>
  </si>
  <si>
    <t>Socialinių paslaugų skyrius; Civilinės metrikacijos skyrius</t>
  </si>
  <si>
    <t>Nupirktų kraitelių</t>
  </si>
  <si>
    <t>Kūdikiams įteiktų kraitelių dalis nuo visų per metus gimusių kūdikių</t>
  </si>
  <si>
    <t>10.01.01.16</t>
  </si>
  <si>
    <t>Įgyvendinti projektą „Integrali pagalba į namus Šiaulių mieste"</t>
  </si>
  <si>
    <t>Socialinių paslaugų skyrius; Projektų valdymo skyrius; Šiaulių miesto savivaldybės socialinių paslaugų centras; Šiaulių miesto savivaldybės globos namai</t>
  </si>
  <si>
    <t>Patenkintų prašymų integraliai pagalbai (asmens namuose) paslaugai gauti (nuo pateiktų asmenų prašymų)</t>
  </si>
  <si>
    <t>10.01.01.17</t>
  </si>
  <si>
    <t>Įgyvendinti projektą „Kompleksinės paslaugos šeimai Šiaulių miesto savivaldybėje"</t>
  </si>
  <si>
    <t>Socialinių paslaugų skyrius; Projektų valdymo skyrius</t>
  </si>
  <si>
    <t>10.01.01.18</t>
  </si>
  <si>
    <t>Įgyvendinti projektą „Vaikų socialinės integracijos skatinimas Jelgavos ir Šiaulių miestuose"</t>
  </si>
  <si>
    <t>Suremontuota ir įranga aprūpinta vaikų dienos centrų</t>
  </si>
  <si>
    <t>Įdiegta atsiskaitymo be grynųjų pinigų sistema mokyklose</t>
  </si>
  <si>
    <t>Suteikta psichologo ir teisinių konsultacijų</t>
  </si>
  <si>
    <t>Parengta ir pritaikyta darbo su jaunimu gatvėje metodika</t>
  </si>
  <si>
    <t>10.01.01.19</t>
  </si>
  <si>
    <t>Užtikrinti Globos centrų veiklą</t>
  </si>
  <si>
    <t xml:space="preserve">Socialinių paslaugų skyrius; Šiaulių miesto savivaldybės socialinių paslaugų centras; Šiaulių miesto savivaldybės vaikų globos namai </t>
  </si>
  <si>
    <t>Budinčių globotojų</t>
  </si>
  <si>
    <t>Budinčių globotojų šeimose globojamų vaikų</t>
  </si>
  <si>
    <t>GIMK mokymus baigusių asmenų</t>
  </si>
  <si>
    <t>Koordinuotos pagalbos atvejų</t>
  </si>
  <si>
    <t>10.01.03.</t>
  </si>
  <si>
    <t>Plėsti  socialinių paslaugų įstaigų infrastruktūrą, atnaujinant ir modernizuojant esamus bei įrengiant naujus socialinės paskirties įstaigų pastatus</t>
  </si>
  <si>
    <t>10.01.03.09</t>
  </si>
  <si>
    <t>Pastatyti (pritaikyti pastatą) nakvynės namų ir apgyvendinimo paslaugoms teikti</t>
  </si>
  <si>
    <t>Statybos ir renovacijos skyrius; Socialinių paslaugų skyrius; Šiaulių miesto savivaldybės socialinių paslaugų centras</t>
  </si>
  <si>
    <t>10.01.03.10</t>
  </si>
  <si>
    <t>Rekonstruoti Šiaulių miesto savivaldybės socialinių paslaugų centro Paramos tarnybos pastatą (Stoties g.)</t>
  </si>
  <si>
    <t>10.01.03.11</t>
  </si>
  <si>
    <t>Naujo padalinio prie Šiaulių miesto savivaldybės globos namų (Energetikų g. 13 A) statyba</t>
  </si>
  <si>
    <t>Statybos ir renovacijos skyrius; Šiaulių miesto savivaldybės globos namai</t>
  </si>
  <si>
    <t>10.01.03.12</t>
  </si>
  <si>
    <t>Įgyvendinti projektą „Bendruomeninių apgyvendinimo bei užimtumo paslaugų asmenims su proto ir psichikos negaliai plėtra Šiaulių mieste“</t>
  </si>
  <si>
    <t>Rekonstruotas ir specializuotos slaugos-globos namų, dienos užimtumo ir socialinių dirbtuvių veiklai pritaikytas pastatas</t>
  </si>
  <si>
    <t>Pastatyti ir grupinio gyvenimo namų veiklai pritaikyti namai</t>
  </si>
  <si>
    <t>10.01.03.14</t>
  </si>
  <si>
    <t>Plėsti bendruomenines paslaugas vaikams</t>
  </si>
  <si>
    <t>Pritaikyta būstų bendruomeninių vaikų globos namų veiklai</t>
  </si>
  <si>
    <t>10.01.03.15</t>
  </si>
  <si>
    <t>Gerinti socialinių paslaugų įstaigų pastatų būklę</t>
  </si>
  <si>
    <t>Statybos ir renovacijos skyrius; Socialinių paslaugų skyrius; Šiaulių miesto savivaldybės globos namai</t>
  </si>
  <si>
    <t>10.01.05.</t>
  </si>
  <si>
    <t>Užtikrinti valstybės garantuotos piniginės socialinės paramos teikimą</t>
  </si>
  <si>
    <t>10.01.05.01</t>
  </si>
  <si>
    <t>Skirti ir išmokėti išmokas ir kompensacijas</t>
  </si>
  <si>
    <t>Socialinių išmokų ir kompensacijų skyrius</t>
  </si>
  <si>
    <t>Socialinių išmokų ir kompensacijų gavėjų skaičius</t>
  </si>
  <si>
    <t>Laidojimo pašalpų gavėjų skaičius</t>
  </si>
  <si>
    <t>10.01.05.02</t>
  </si>
  <si>
    <t>Skirti ir išmokėti išmokas vaikams</t>
  </si>
  <si>
    <t>Išmokų gavėjų</t>
  </si>
  <si>
    <t>Patvirtintų pareigybių</t>
  </si>
  <si>
    <t>10.01.05.03</t>
  </si>
  <si>
    <t>Skirti ir išmokėti tikslines kompensacijas</t>
  </si>
  <si>
    <t>10.01.05.04</t>
  </si>
  <si>
    <t>Kompensacijos sovietinėje armijoje sužalotiems ir žuvusiųjų šeimoms</t>
  </si>
  <si>
    <t>10.01.05.05</t>
  </si>
  <si>
    <t>Skirti kompensacijas nepriklausomybės gynėjams nukentėjusiems nuo 1991 m. sausio 11-13 d. ir po to vykdytos SSRS agresijos</t>
  </si>
  <si>
    <t>10.01.05.06</t>
  </si>
  <si>
    <t>Skirti kitas išmokas</t>
  </si>
  <si>
    <t>10.01.05.07</t>
  </si>
  <si>
    <t>Skirti socialinę paramą moksleiviams</t>
  </si>
  <si>
    <t>10.01.05.08</t>
  </si>
  <si>
    <t>Kompensuoti keleivinio transporto vežėjų išlaidas (negautas pajamas) už lengvatinį keleivių vežimą reguliaraus susisiekimo maršrutais</t>
  </si>
  <si>
    <t>Sutartinių įsipareigojimų vykdymas</t>
  </si>
  <si>
    <t>11.</t>
  </si>
  <si>
    <t>Savivaldybės veiklos programa</t>
  </si>
  <si>
    <t>Bendrųjų reikalų skyrius</t>
  </si>
  <si>
    <t>11.01.</t>
  </si>
  <si>
    <t>Efektyviai organizuoti Savivaldybės darbą ir užtikrinti Savivaldybės funkcijų įgyvendinimą</t>
  </si>
  <si>
    <t>Darbuotojų, dalyvavusių mokymuose, skaičius (nuo visų darbuotojų skaičiaus)</t>
  </si>
  <si>
    <t>Suteiktų elektroninių paslaugų kiekis</t>
  </si>
  <si>
    <t>Valstybės deleguotų funkcijų skaičius</t>
  </si>
  <si>
    <t>11.01.01.</t>
  </si>
  <si>
    <t>Organizuoti  Savivaldybės veiklos funkcijų įgyvendinimą</t>
  </si>
  <si>
    <t>11.01.01.01</t>
  </si>
  <si>
    <t>Užtikrinti Savivaldybės administracijos finansinį, ūkinį ir materialinį aptarnavimą</t>
  </si>
  <si>
    <t>Apskaitos skyrius</t>
  </si>
  <si>
    <t>Valstybės karjeros tarnautojų (pareigybių)</t>
  </si>
  <si>
    <t>Darbuotojų dirbančių pagal darbo sutartis (pareigybių)</t>
  </si>
  <si>
    <t>Įvykdytų planuotų administracijos remonto darbų</t>
  </si>
  <si>
    <t>Įsigyta kompiuterinės technikos</t>
  </si>
  <si>
    <t>Įsigyta organizacinės technikos</t>
  </si>
  <si>
    <t>Įsigyta programinė įranga</t>
  </si>
  <si>
    <t>Įsigyta duomenų saugyklų</t>
  </si>
  <si>
    <t>Eksploatuojama kompiuterių</t>
  </si>
  <si>
    <t>Aktyvios komunikacijos Savivaldybės socialinėje paskyroje "Facebook" (sekėjai)</t>
  </si>
  <si>
    <t>Komunikacija socialiniuose tinkluose lietuvių/anglų kalba (Linekdin ir Instagram) (sekėjai)</t>
  </si>
  <si>
    <t>Mokymų dalyviai</t>
  </si>
  <si>
    <t>11.01.01.02</t>
  </si>
  <si>
    <t>Užtikrinti Savivaldybės tarybos ir Savivaldybės tarybos sekretoriato finansinį, ūkinį ir materialinį aptarnavimą</t>
  </si>
  <si>
    <t>Tarybos sekretoriato darbuotojų (pareigybių)</t>
  </si>
  <si>
    <t>Įvykę skelbti Tarybos, Komitetų, Komisijų posėdžiai</t>
  </si>
  <si>
    <t>Laiku paskelbti ir įvykdyti Tarybos priimti sprendimai</t>
  </si>
  <si>
    <t>11.01.01.03</t>
  </si>
  <si>
    <t>Užtikrinti Kontrolės ir audito tarnybos finansinį, ūkinį bei materialinį aptarnavimą</t>
  </si>
  <si>
    <t>Kontrolės ir audito tarnyba</t>
  </si>
  <si>
    <t>Atlikta auditų</t>
  </si>
  <si>
    <t>11.01.01.05</t>
  </si>
  <si>
    <t>Užtikrinti Šiaulių apskaitos centro veiklą</t>
  </si>
  <si>
    <t>Užtikrinta buhalterinių įstaigų veikla</t>
  </si>
  <si>
    <t>11.01.01.09</t>
  </si>
  <si>
    <t>Užtikrinti projektų vykdymo priežiūros ir kitas inžinerines paslaugas</t>
  </si>
  <si>
    <t>Įgyvendintos inžinerinės paslaugos</t>
  </si>
  <si>
    <t>11.01.01.10</t>
  </si>
  <si>
    <t>Likviduoti įvykių, ekstremalių įvykių ir ekstremalių situacijų pasekmes</t>
  </si>
  <si>
    <t>Likviduotos įvykusių ekstremalių įvykių/situacijų pasekmės</t>
  </si>
  <si>
    <t>11.01.01.11</t>
  </si>
  <si>
    <t>Parengti Šiaulių m. 2025–2033 m. strateginį plėtros planą</t>
  </si>
  <si>
    <t>Strateginio planavimo ir finansų skyrius</t>
  </si>
  <si>
    <t>Parinktas rengėjas</t>
  </si>
  <si>
    <t>Parengta esamos situacijos analizė</t>
  </si>
  <si>
    <t>Parengtas strateginis plėtros planas</t>
  </si>
  <si>
    <t>Parengtas strateginis veiklos planas</t>
  </si>
  <si>
    <t>11.01.02.</t>
  </si>
  <si>
    <t>Tinkamai įgyvendinti valstybines (perduotas savivaldybei) funkcijas</t>
  </si>
  <si>
    <t>11.01.02.01</t>
  </si>
  <si>
    <t>Deklaruoti gyvenamąją vietą</t>
  </si>
  <si>
    <t>Užtikrintas funkcijos įgyvendinimas</t>
  </si>
  <si>
    <t>11.01.02.02</t>
  </si>
  <si>
    <t>Teikti duomenis Valstybės registrui</t>
  </si>
  <si>
    <t>11.01.02.03</t>
  </si>
  <si>
    <t>Teikti pirminę teisinę pagalbą</t>
  </si>
  <si>
    <t>Teisės skyrius</t>
  </si>
  <si>
    <t>11.01.02.05</t>
  </si>
  <si>
    <t>Registruoti civilinės būklės aktus</t>
  </si>
  <si>
    <t>Civilinės metrikacijos skyrius</t>
  </si>
  <si>
    <t>11.01.02.06</t>
  </si>
  <si>
    <t>Tvarkyti Gyventojų registrą</t>
  </si>
  <si>
    <t>11.01.02.07</t>
  </si>
  <si>
    <t>Vykdyti valstybinės kalbos vartojimo kontrolę</t>
  </si>
  <si>
    <t>11.01.02.09</t>
  </si>
  <si>
    <t>Įgyvendinti jaunimo politiką</t>
  </si>
  <si>
    <t>Vyriausiasis specialistas (jaunimo reikalų koordinatorius)</t>
  </si>
  <si>
    <t>11.01.02.10</t>
  </si>
  <si>
    <t>Tvarkyti archyvinius dokumentus</t>
  </si>
  <si>
    <t>11.01.02.11</t>
  </si>
  <si>
    <t>Administruoti mobilizaciją</t>
  </si>
  <si>
    <t>11.01.02.12</t>
  </si>
  <si>
    <t>Organizuoti civilinę saugą</t>
  </si>
  <si>
    <t>11.01.02.13</t>
  </si>
  <si>
    <t>Vykdyti žemės ūkio funkcijas</t>
  </si>
  <si>
    <t>11.01.02.14</t>
  </si>
  <si>
    <t>Administruoti Užimtumo didinimo programą</t>
  </si>
  <si>
    <t>11.01.02.15</t>
  </si>
  <si>
    <t>Administruoti socialines pašalpas</t>
  </si>
  <si>
    <t>11.01.02.16</t>
  </si>
  <si>
    <t>Administruoti kompensacijas</t>
  </si>
  <si>
    <t>11.01.02.17</t>
  </si>
  <si>
    <t>Administruoti socialinę paramą mokiniams</t>
  </si>
  <si>
    <t>11.01.02.18</t>
  </si>
  <si>
    <t>Administruoti socialinę globą</t>
  </si>
  <si>
    <t>11.01.02.20</t>
  </si>
  <si>
    <t>Administruoti būsto nuomos ar išperkamosios būsto nuomos mokesčių dalies kompensacijas</t>
  </si>
  <si>
    <t>11.01.02.21</t>
  </si>
  <si>
    <t>Užtikrinti informacijos apie neveiksnių asmenų būklę persvarstymą</t>
  </si>
  <si>
    <t>Komisijos priimti sprendimai kreiptis į teismą</t>
  </si>
  <si>
    <t>Komisijos inicijuoti asmens būklės peržiūrėjimai</t>
  </si>
  <si>
    <t>11.01.02.22</t>
  </si>
  <si>
    <t>Organizuoti tarpinstitucinio bendradarbiavimo koordinatoriaus darbą</t>
  </si>
  <si>
    <t>11.01.02.23</t>
  </si>
  <si>
    <t>Atlikti erdvinių duomenų rinkinio tvarkymo funkciją</t>
  </si>
  <si>
    <t>Atlikta tvarkymo funkcija</t>
  </si>
  <si>
    <t>11.01.04.</t>
  </si>
  <si>
    <t>Diegti ir palaikyti Savivaldybės administracijoje modernias informacines sistemas</t>
  </si>
  <si>
    <t>11.01.04.03</t>
  </si>
  <si>
    <t>Įgyvendinti administracinės naštos mažinimo planą ir organizuoti plano įgyvendinimo stebėseną</t>
  </si>
  <si>
    <t>Įgyvendintų priemonių plano veiklų</t>
  </si>
  <si>
    <t>11.01.04.04</t>
  </si>
  <si>
    <t>Gerinti asmenų aptarnavimo ir paslaugų kokybę Šiaulių miesto savivaldybėje</t>
  </si>
  <si>
    <t>Patobulinti viešojo administravimo paslaugų organizavimo ir teikimo procesai</t>
  </si>
  <si>
    <t>11.01.04.05</t>
  </si>
  <si>
    <t>Įgyvendinti projektą „Gyventojų kortelės integravimas į teikiamų paslaugų valdymą Jelgavos ir Šiaulių savivaldybėse"</t>
  </si>
  <si>
    <t>Bendrųjų reikalų skyrius; Projektų valdymo skyrius</t>
  </si>
  <si>
    <t>11.01.04.08</t>
  </si>
  <si>
    <t>Įgyvendinti projektą „Bendradarbiavimas pasienio regione siekiant užtikrinti saugumą ir viešųjų paslaugų efektyvumą“</t>
  </si>
  <si>
    <t>11.01.06.</t>
  </si>
  <si>
    <t>Užtikrinti finansinių įsipareigojimų vykdymą</t>
  </si>
  <si>
    <t>11.01.06.01</t>
  </si>
  <si>
    <t>Vykdyti paskolų grąžinimą, palūkanų už paskolas mokėjimą ir kitus finansinius  įsipareigojimus</t>
  </si>
  <si>
    <t>Pasirašytų paskolų sutarčių</t>
  </si>
  <si>
    <t>Skolinių įsipareigojimų vykdymas</t>
  </si>
  <si>
    <t>11.01.06.02</t>
  </si>
  <si>
    <t>Kompensuoti keleivių vežimo vietiniais maršrutais organizavimo išlaidas</t>
  </si>
  <si>
    <t>11.01.07.</t>
  </si>
  <si>
    <t>Užtikrinti pagrindinius lygių galimybių principus Savivaldybės administracijoje</t>
  </si>
  <si>
    <t>11.01.07.01</t>
  </si>
  <si>
    <t>Sudaryti galimybes Savivaldybės administracijos darbuotojams dirbti nuotoliniu būdu ir taikyti lanksčius darbo grafikus</t>
  </si>
  <si>
    <t>Darbuotojai,  dirbantys pagal darbo sutartis ir valstybės karjeros tarnautojai</t>
  </si>
  <si>
    <t>11.01.07.02</t>
  </si>
  <si>
    <t>Teikti pasiūlymus dėl lygių galimybių kriterijų/krypčių numatymo Savivaldybės vykdomose programose</t>
  </si>
  <si>
    <t>Pateikti pasiūlymai</t>
  </si>
  <si>
    <t>11.01.07.03</t>
  </si>
  <si>
    <t>Užtikrinti informacijos sklaidą lygių galimybių klausimais</t>
  </si>
  <si>
    <t>Parengta straipsnių</t>
  </si>
  <si>
    <t>11.02.</t>
  </si>
  <si>
    <t>Plėtoti bendradarbiavimą su socialiniais partneriais</t>
  </si>
  <si>
    <t>Prevencinės programos įgyvendinimas</t>
  </si>
  <si>
    <t>Finansuota bendruomeninių projektų</t>
  </si>
  <si>
    <t>11.02.01.</t>
  </si>
  <si>
    <t>Plėtoti bendradarbiavimą su miesto teisėtvarkos institucijomis ir vietos bendruomene</t>
  </si>
  <si>
    <t>11.02.01.01</t>
  </si>
  <si>
    <t>Įgyvendinti prevencines programas</t>
  </si>
  <si>
    <t>Įgyvendinta projektų</t>
  </si>
  <si>
    <t>11.02.01.02</t>
  </si>
  <si>
    <t>Įgyvendinti projektą „Civilinės saugos sistemos gerinimas Šiaulių ir Jelgavos miestuose (saugios savivaldybės koncepcija)"</t>
  </si>
  <si>
    <t>11.02.01.03</t>
  </si>
  <si>
    <t>Stiprinti bendruomeninę veiklą savivaldybėje</t>
  </si>
  <si>
    <t>Vyriausiasis specialistas (nevyriausybinių organizacijų koordinatorius)</t>
  </si>
  <si>
    <t>Finansuota projektų</t>
  </si>
  <si>
    <t>11.02.01.04</t>
  </si>
  <si>
    <t>Skatinti nevyriausybinių organizacijų veiklą ir užtikrinti jų plėtrą</t>
  </si>
  <si>
    <t>Suorganizuota mokymų</t>
  </si>
  <si>
    <t>11.02.01.05</t>
  </si>
  <si>
    <t>Dalyvauti Šiaulių vietos veiklos grupės strategijos rengime ir įgyvendinime</t>
  </si>
  <si>
    <t>Pasirašytos projektų finansavimo sutartys</t>
  </si>
  <si>
    <t>11.02.01.06</t>
  </si>
  <si>
    <t>Įgyvendinti bendruomenės iniciatyvas, skirtas gyvenamajai aplinkai gerinti</t>
  </si>
  <si>
    <t>Architektūros, urbanistikos ir paveldosaugos skyrius; Miesto ūkio ir aplinkos skyrius</t>
  </si>
  <si>
    <t>11.02.01.07</t>
  </si>
  <si>
    <t>Dalyvių</t>
  </si>
  <si>
    <t>Dalyvaujančio jaunimo veikloje procentas nuo bendro jaunimo skaičiaus</t>
  </si>
  <si>
    <t>11.02.01.08</t>
  </si>
  <si>
    <t>Įgyvendinti projektą „Savivaldybių kompetencijų didinimas teikiant paslaugas trečiųjų šalių piliečiams“ (Integracijos paslaugų trečiųjų šalių piliečiams paketo sukūrimas ir įgyvendinimas)</t>
  </si>
  <si>
    <t>Parengtas integracijos paslaugų teikimo planas</t>
  </si>
  <si>
    <t>Parengta padalomoji medžiaga</t>
  </si>
  <si>
    <t>Informacijos interneto svetainėse (savivaldybės, biudžetinių įstaigų, nevyriausybinių organizacijų ir kt.) viešinimas</t>
  </si>
  <si>
    <t>Parengta paraiška lėšoms gauti</t>
  </si>
  <si>
    <t>1.</t>
  </si>
  <si>
    <t>SAVIVALDYBĖS BIUDŽETAS IŠ VISO, IŠ JO:</t>
  </si>
  <si>
    <t>Savivaldybės biudžeto lėšos (SB)</t>
  </si>
  <si>
    <t>Skolintos lėšos (PS)</t>
  </si>
  <si>
    <t>Lėšos ugdymo reikmėms VB (UR)</t>
  </si>
  <si>
    <t>Lėšos valstybinėms funkcijoms VB (VF)</t>
  </si>
  <si>
    <t>Valstybės biudžeto lėšos (VB)</t>
  </si>
  <si>
    <t>Kelių priežiūros ir plėtros programos lėšos VB (KPPP)</t>
  </si>
  <si>
    <t>Valstybės investicijų projektų lėšos VB (VIP)</t>
  </si>
  <si>
    <t>Europos Sąjungos lėšos (ES)</t>
  </si>
  <si>
    <t>Įstaigos pajamų lėšos (PL)</t>
  </si>
  <si>
    <t>Lėšų likutis ataskaitinio laikotarpio pabaigoje (LIK)</t>
  </si>
  <si>
    <t>Aplinkos apsaugos rėmimo specialiosios programos lėšos SB (AA)</t>
  </si>
  <si>
    <t>Lėšų likutis iš Aplinkos apsaugos rėmimo specialiosios programos SB (AA/LIK)</t>
  </si>
  <si>
    <t>2.</t>
  </si>
  <si>
    <t>KITOS LĖŠOS IŠ VISO, IŠ JŲ:</t>
  </si>
  <si>
    <t>Valstybės biudžeto lėšos KT (VB)</t>
  </si>
  <si>
    <t>Europos Sąjungos lėšos KT (ES)</t>
  </si>
  <si>
    <t>Kitų šaltinių lėšos KT (KL)</t>
  </si>
  <si>
    <t>IŠ VISO:</t>
  </si>
  <si>
    <t>tūkst. Eur</t>
  </si>
  <si>
    <t>Atlikti laikino apgyvendinimo paslaugoms teikti (Tiesos g. 3)projekto II ir III etapo darbai</t>
  </si>
  <si>
    <t>Atlikta Mozaikos „Šiauliai“, adresu Tilžės g. 198, Šiauliai ekspertizė</t>
  </si>
  <si>
    <t xml:space="preserve">Baigta tvarkyti projekto dokumentacija ir finansiniai srautai </t>
  </si>
  <si>
    <t xml:space="preserve">Įsigyta baldų komplektų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</si>
</sst>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b/>
      <sz val="9"/>
      <color rgb="FF000000"/>
      <name val="times New Roman"/>
      <family val="2"/>
    </font>
    <font>
      <b/>
      <sz val="10"/>
      <color rgb="FF000000"/>
      <name val="Arial"/>
      <family val="2"/>
    </font>
    <font>
      <b/>
      <sz val="9"/>
      <color rgb="FF000000"/>
      <name val="Calibri"/>
      <family val="2"/>
    </font>
    <font>
      <b/>
      <sz val="10"/>
      <color rgb="FF000000"/>
      <name val="Arial"/>
      <family val="2"/>
      <charset val="186"/>
    </font>
  </fonts>
  <fills count="11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8FAD4"/>
        <bgColor rgb="FFD8FAD4"/>
      </patternFill>
    </fill>
    <fill>
      <patternFill patternType="solid">
        <fgColor rgb="FFC0E4F6"/>
        <bgColor rgb="FFC0E4F6"/>
      </patternFill>
    </fill>
    <fill>
      <patternFill patternType="solid">
        <fgColor rgb="FFFAEE80"/>
        <bgColor rgb="FFFAEE80"/>
      </patternFill>
    </fill>
    <fill>
      <patternFill patternType="solid">
        <fgColor rgb="FFEBEBEB"/>
        <bgColor rgb="FFEBEBEB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 applyBorder="0"/>
  </cellStyleXfs>
  <cellXfs count="105">
    <xf numFmtId="0" fontId="0" fillId="0" borderId="0" xfId="0" applyNumberFormat="1" applyFill="1" applyAlignment="1" applyProtection="1"/>
    <xf numFmtId="0" fontId="3" fillId="0" borderId="1" xfId="0" applyNumberFormat="1" applyFont="1" applyFill="1" applyBorder="1" applyAlignment="1" applyProtection="1">
      <alignment horizontal="center" vertical="center" wrapText="1" readingOrder="1"/>
    </xf>
    <xf numFmtId="0" fontId="1" fillId="2" borderId="0" xfId="0" applyNumberFormat="1" applyFont="1" applyFill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vertical="top" readingOrder="1"/>
      <protection locked="0"/>
    </xf>
    <xf numFmtId="164" fontId="2" fillId="0" borderId="1" xfId="0" applyNumberFormat="1" applyFont="1" applyFill="1" applyBorder="1" applyAlignment="1" applyProtection="1">
      <alignment horizontal="right" vertical="top" readingOrder="1"/>
      <protection locked="0"/>
    </xf>
    <xf numFmtId="0" fontId="2" fillId="2" borderId="0" xfId="0" applyNumberFormat="1" applyFont="1" applyFill="1" applyAlignment="1" applyProtection="1">
      <alignment vertical="top" readingOrder="1"/>
      <protection locked="0"/>
    </xf>
    <xf numFmtId="0" fontId="2" fillId="2" borderId="0" xfId="0" applyNumberFormat="1" applyFont="1" applyFill="1" applyAlignment="1" applyProtection="1">
      <alignment horizontal="left" vertical="top" readingOrder="1"/>
      <protection locked="0"/>
    </xf>
    <xf numFmtId="164" fontId="2" fillId="2" borderId="0" xfId="0" applyNumberFormat="1" applyFont="1" applyFill="1" applyAlignment="1" applyProtection="1">
      <alignment horizontal="right" vertical="top" readingOrder="1"/>
      <protection locked="0"/>
    </xf>
    <xf numFmtId="0" fontId="2" fillId="2" borderId="0" xfId="0" applyNumberFormat="1" applyFont="1" applyFill="1" applyAlignment="1" applyProtection="1">
      <alignment horizontal="center" vertical="top" readingOrder="1"/>
      <protection locked="0"/>
    </xf>
    <xf numFmtId="0" fontId="2" fillId="2" borderId="0" xfId="0" applyNumberFormat="1" applyFont="1" applyFill="1" applyAlignment="1" applyProtection="1">
      <alignment horizontal="right" vertical="top" readingOrder="1"/>
      <protection locked="0"/>
    </xf>
    <xf numFmtId="0" fontId="2" fillId="0" borderId="2" xfId="0" applyNumberFormat="1" applyFont="1" applyFill="1" applyBorder="1" applyAlignment="1" applyProtection="1">
      <alignment vertical="top" readingOrder="1"/>
      <protection locked="0"/>
    </xf>
    <xf numFmtId="0" fontId="2" fillId="0" borderId="3" xfId="0" applyNumberFormat="1" applyFont="1" applyFill="1" applyBorder="1" applyAlignment="1" applyProtection="1">
      <alignment horizontal="left" vertical="top" readingOrder="1"/>
      <protection locked="0"/>
    </xf>
    <xf numFmtId="164" fontId="2" fillId="0" borderId="3" xfId="0" applyNumberFormat="1" applyFont="1" applyFill="1" applyBorder="1" applyAlignment="1" applyProtection="1">
      <alignment horizontal="right" vertical="top" readingOrder="1"/>
      <protection locked="0"/>
    </xf>
    <xf numFmtId="0" fontId="2" fillId="0" borderId="3" xfId="0" applyNumberFormat="1" applyFont="1" applyFill="1" applyBorder="1" applyAlignment="1" applyProtection="1">
      <alignment horizontal="center" vertical="top" readingOrder="1"/>
      <protection locked="0"/>
    </xf>
    <xf numFmtId="0" fontId="2" fillId="0" borderId="3" xfId="0" applyNumberFormat="1" applyFont="1" applyFill="1" applyBorder="1" applyAlignment="1" applyProtection="1">
      <alignment horizontal="right" vertical="top" readingOrder="1"/>
      <protection locked="0"/>
    </xf>
    <xf numFmtId="0" fontId="2" fillId="0" borderId="4" xfId="0" applyNumberFormat="1" applyFont="1" applyFill="1" applyBorder="1" applyAlignment="1" applyProtection="1">
      <alignment vertical="top" readingOrder="1"/>
      <protection locked="0"/>
    </xf>
    <xf numFmtId="0" fontId="2" fillId="0" borderId="1" xfId="0" applyNumberFormat="1" applyFont="1" applyFill="1" applyBorder="1" applyAlignment="1" applyProtection="1">
      <alignment horizontal="left" vertical="top" readingOrder="1"/>
      <protection locked="0"/>
    </xf>
    <xf numFmtId="0" fontId="2" fillId="0" borderId="1" xfId="0" applyNumberFormat="1" applyFont="1" applyFill="1" applyBorder="1" applyAlignment="1" applyProtection="1">
      <alignment horizontal="center" vertical="top" readingOrder="1"/>
      <protection locked="0"/>
    </xf>
    <xf numFmtId="0" fontId="2" fillId="0" borderId="1" xfId="0" applyNumberFormat="1" applyFont="1" applyFill="1" applyBorder="1" applyAlignment="1" applyProtection="1">
      <alignment horizontal="right" vertical="top" readingOrder="1"/>
      <protection locked="0"/>
    </xf>
    <xf numFmtId="0" fontId="2" fillId="0" borderId="5" xfId="0" applyNumberFormat="1" applyFont="1" applyFill="1" applyBorder="1" applyAlignment="1" applyProtection="1">
      <alignment vertical="top" readingOrder="1"/>
      <protection locked="0"/>
    </xf>
    <xf numFmtId="0" fontId="2" fillId="0" borderId="6" xfId="0" applyNumberFormat="1" applyFont="1" applyFill="1" applyBorder="1" applyAlignment="1" applyProtection="1">
      <alignment horizontal="left" vertical="top" readingOrder="1"/>
      <protection locked="0"/>
    </xf>
    <xf numFmtId="164" fontId="2" fillId="0" borderId="6" xfId="0" applyNumberFormat="1" applyFont="1" applyFill="1" applyBorder="1" applyAlignment="1" applyProtection="1">
      <alignment horizontal="right" vertical="top" readingOrder="1"/>
    </xf>
    <xf numFmtId="0" fontId="2" fillId="0" borderId="6" xfId="0" applyNumberFormat="1" applyFont="1" applyFill="1" applyBorder="1" applyAlignment="1" applyProtection="1">
      <alignment horizontal="center" vertical="top" readingOrder="1"/>
      <protection locked="0"/>
    </xf>
    <xf numFmtId="0" fontId="2" fillId="0" borderId="6" xfId="0" applyNumberFormat="1" applyFont="1" applyFill="1" applyBorder="1" applyAlignment="1" applyProtection="1">
      <alignment horizontal="right" vertical="top" readingOrder="1"/>
      <protection locked="0"/>
    </xf>
    <xf numFmtId="164" fontId="2" fillId="0" borderId="6" xfId="0" applyNumberFormat="1" applyFont="1" applyFill="1" applyBorder="1" applyAlignment="1" applyProtection="1">
      <alignment horizontal="right" vertical="top" readingOrder="1"/>
      <protection locked="0"/>
    </xf>
    <xf numFmtId="0" fontId="2" fillId="3" borderId="5" xfId="0" applyNumberFormat="1" applyFont="1" applyFill="1" applyBorder="1" applyAlignment="1" applyProtection="1">
      <alignment vertical="top" readingOrder="1"/>
      <protection locked="0"/>
    </xf>
    <xf numFmtId="0" fontId="2" fillId="3" borderId="6" xfId="0" applyNumberFormat="1" applyFont="1" applyFill="1" applyBorder="1" applyAlignment="1" applyProtection="1">
      <alignment horizontal="left" vertical="top" readingOrder="1"/>
      <protection locked="0"/>
    </xf>
    <xf numFmtId="164" fontId="2" fillId="3" borderId="6" xfId="0" applyNumberFormat="1" applyFont="1" applyFill="1" applyBorder="1" applyAlignment="1" applyProtection="1">
      <alignment horizontal="right" vertical="top" readingOrder="1"/>
    </xf>
    <xf numFmtId="0" fontId="2" fillId="3" borderId="6" xfId="0" applyNumberFormat="1" applyFont="1" applyFill="1" applyBorder="1" applyAlignment="1" applyProtection="1">
      <alignment horizontal="center" vertical="top" readingOrder="1"/>
      <protection locked="0"/>
    </xf>
    <xf numFmtId="0" fontId="2" fillId="3" borderId="6" xfId="0" applyNumberFormat="1" applyFont="1" applyFill="1" applyBorder="1" applyAlignment="1" applyProtection="1">
      <alignment horizontal="right" vertical="top" readingOrder="1"/>
      <protection locked="0"/>
    </xf>
    <xf numFmtId="0" fontId="2" fillId="4" borderId="5" xfId="0" applyNumberFormat="1" applyFont="1" applyFill="1" applyBorder="1" applyAlignment="1" applyProtection="1">
      <alignment vertical="top" readingOrder="1"/>
      <protection locked="0"/>
    </xf>
    <xf numFmtId="0" fontId="2" fillId="4" borderId="6" xfId="0" applyNumberFormat="1" applyFont="1" applyFill="1" applyBorder="1" applyAlignment="1" applyProtection="1">
      <alignment horizontal="left" vertical="top" readingOrder="1"/>
      <protection locked="0"/>
    </xf>
    <xf numFmtId="164" fontId="2" fillId="4" borderId="6" xfId="0" applyNumberFormat="1" applyFont="1" applyFill="1" applyBorder="1" applyAlignment="1" applyProtection="1">
      <alignment horizontal="right" vertical="top" readingOrder="1"/>
    </xf>
    <xf numFmtId="0" fontId="2" fillId="4" borderId="6" xfId="0" applyNumberFormat="1" applyFont="1" applyFill="1" applyBorder="1" applyAlignment="1" applyProtection="1">
      <alignment horizontal="center" vertical="top" readingOrder="1"/>
      <protection locked="0"/>
    </xf>
    <xf numFmtId="0" fontId="2" fillId="4" borderId="6" xfId="0" applyNumberFormat="1" applyFont="1" applyFill="1" applyBorder="1" applyAlignment="1" applyProtection="1">
      <alignment horizontal="right" vertical="top" readingOrder="1"/>
      <protection locked="0"/>
    </xf>
    <xf numFmtId="0" fontId="2" fillId="5" borderId="5" xfId="0" applyNumberFormat="1" applyFont="1" applyFill="1" applyBorder="1" applyAlignment="1" applyProtection="1">
      <alignment vertical="top" readingOrder="1"/>
      <protection locked="0"/>
    </xf>
    <xf numFmtId="0" fontId="2" fillId="5" borderId="6" xfId="0" applyNumberFormat="1" applyFont="1" applyFill="1" applyBorder="1" applyAlignment="1" applyProtection="1">
      <alignment horizontal="left" vertical="top" readingOrder="1"/>
      <protection locked="0"/>
    </xf>
    <xf numFmtId="164" fontId="2" fillId="5" borderId="6" xfId="0" applyNumberFormat="1" applyFont="1" applyFill="1" applyBorder="1" applyAlignment="1" applyProtection="1">
      <alignment horizontal="right" vertical="top" readingOrder="1"/>
    </xf>
    <xf numFmtId="0" fontId="2" fillId="5" borderId="6" xfId="0" applyNumberFormat="1" applyFont="1" applyFill="1" applyBorder="1" applyAlignment="1" applyProtection="1">
      <alignment horizontal="center" vertical="top" readingOrder="1"/>
      <protection locked="0"/>
    </xf>
    <xf numFmtId="0" fontId="2" fillId="5" borderId="6" xfId="0" applyNumberFormat="1" applyFont="1" applyFill="1" applyBorder="1" applyAlignment="1" applyProtection="1">
      <alignment horizontal="right" vertical="top" readingOrder="1"/>
      <protection locked="0"/>
    </xf>
    <xf numFmtId="0" fontId="4" fillId="6" borderId="1" xfId="0" applyNumberFormat="1" applyFont="1" applyFill="1" applyBorder="1" applyAlignment="1" applyProtection="1">
      <alignment vertical="top" readingOrder="1"/>
      <protection locked="0"/>
    </xf>
    <xf numFmtId="164" fontId="4" fillId="6" borderId="1" xfId="0" applyNumberFormat="1" applyFont="1" applyFill="1" applyBorder="1" applyAlignment="1" applyProtection="1">
      <alignment horizontal="right" vertical="top" readingOrder="1"/>
    </xf>
    <xf numFmtId="0" fontId="0" fillId="2" borderId="0" xfId="0" applyNumberFormat="1" applyFill="1" applyAlignment="1" applyProtection="1">
      <alignment horizontal="center"/>
    </xf>
    <xf numFmtId="0" fontId="0" fillId="2" borderId="0" xfId="0" applyNumberFormat="1" applyFill="1" applyAlignment="1" applyProtection="1"/>
    <xf numFmtId="0" fontId="2" fillId="0" borderId="1" xfId="0" applyNumberFormat="1" applyFont="1" applyFill="1" applyBorder="1" applyAlignment="1" applyProtection="1">
      <alignment vertical="top" wrapText="1" readingOrder="1"/>
      <protection locked="0"/>
    </xf>
    <xf numFmtId="0" fontId="2" fillId="2" borderId="0" xfId="0" applyNumberFormat="1" applyFont="1" applyFill="1" applyAlignment="1" applyProtection="1">
      <alignment vertical="top" wrapText="1" readingOrder="1"/>
      <protection locked="0"/>
    </xf>
    <xf numFmtId="0" fontId="4" fillId="6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0" fillId="0" borderId="0" xfId="0" applyNumberFormat="1" applyFill="1" applyAlignment="1" applyProtection="1">
      <alignment wrapText="1"/>
    </xf>
    <xf numFmtId="0" fontId="2" fillId="5" borderId="6" xfId="0" applyNumberFormat="1" applyFont="1" applyFill="1" applyBorder="1" applyAlignment="1" applyProtection="1">
      <alignment horizontal="left" vertical="top" wrapText="1" readingOrder="1"/>
      <protection locked="0"/>
    </xf>
    <xf numFmtId="0" fontId="2" fillId="4" borderId="6" xfId="0" applyNumberFormat="1" applyFont="1" applyFill="1" applyBorder="1" applyAlignment="1" applyProtection="1">
      <alignment horizontal="left" vertical="top" wrapText="1" readingOrder="1"/>
      <protection locked="0"/>
    </xf>
    <xf numFmtId="0" fontId="2" fillId="3" borderId="6" xfId="0" applyNumberFormat="1" applyFont="1" applyFill="1" applyBorder="1" applyAlignment="1" applyProtection="1">
      <alignment horizontal="left" vertical="top" wrapText="1" readingOrder="1"/>
      <protection locked="0"/>
    </xf>
    <xf numFmtId="0" fontId="2" fillId="0" borderId="6" xfId="0" applyNumberFormat="1" applyFont="1" applyFill="1" applyBorder="1" applyAlignment="1" applyProtection="1">
      <alignment horizontal="left" vertical="top" wrapText="1" readingOrder="1"/>
      <protection locked="0"/>
    </xf>
    <xf numFmtId="0" fontId="2" fillId="0" borderId="1" xfId="0" applyNumberFormat="1" applyFont="1" applyFill="1" applyBorder="1" applyAlignment="1" applyProtection="1">
      <alignment horizontal="left" vertical="top" wrapText="1" readingOrder="1"/>
      <protection locked="0"/>
    </xf>
    <xf numFmtId="0" fontId="2" fillId="2" borderId="0" xfId="0" applyNumberFormat="1" applyFont="1" applyFill="1" applyAlignment="1" applyProtection="1">
      <alignment horizontal="left" vertical="top" wrapText="1" readingOrder="1"/>
      <protection locked="0"/>
    </xf>
    <xf numFmtId="164" fontId="2" fillId="0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6" borderId="1" xfId="0" applyNumberFormat="1" applyFont="1" applyFill="1" applyBorder="1" applyAlignment="1" applyProtection="1">
      <alignment horizontal="right" vertical="top" wrapText="1" readingOrder="1"/>
    </xf>
    <xf numFmtId="0" fontId="3" fillId="0" borderId="3" xfId="0" applyNumberFormat="1" applyFont="1" applyFill="1" applyBorder="1" applyAlignment="1" applyProtection="1">
      <alignment horizontal="center" vertical="center" wrapText="1" readingOrder="1"/>
    </xf>
    <xf numFmtId="0" fontId="2" fillId="5" borderId="6" xfId="0" applyNumberFormat="1" applyFont="1" applyFill="1" applyBorder="1" applyAlignment="1" applyProtection="1">
      <alignment horizontal="justify" vertical="top" wrapText="1" readingOrder="1"/>
      <protection locked="0"/>
    </xf>
    <xf numFmtId="0" fontId="2" fillId="4" borderId="6" xfId="0" applyNumberFormat="1" applyFont="1" applyFill="1" applyBorder="1" applyAlignment="1" applyProtection="1">
      <alignment horizontal="justify" vertical="top" wrapText="1" readingOrder="1"/>
      <protection locked="0"/>
    </xf>
    <xf numFmtId="0" fontId="2" fillId="3" borderId="6" xfId="0" applyNumberFormat="1" applyFont="1" applyFill="1" applyBorder="1" applyAlignment="1" applyProtection="1">
      <alignment horizontal="justify" vertical="top" wrapText="1" readingOrder="1"/>
      <protection locked="0"/>
    </xf>
    <xf numFmtId="0" fontId="2" fillId="0" borderId="6" xfId="0" applyNumberFormat="1" applyFont="1" applyFill="1" applyBorder="1" applyAlignment="1" applyProtection="1">
      <alignment horizontal="justify" vertical="top" wrapText="1" readingOrder="1"/>
      <protection locked="0"/>
    </xf>
    <xf numFmtId="0" fontId="2" fillId="0" borderId="1" xfId="0" applyNumberFormat="1" applyFont="1" applyFill="1" applyBorder="1" applyAlignment="1" applyProtection="1">
      <alignment horizontal="justify" vertical="top" wrapText="1" readingOrder="1"/>
      <protection locked="0"/>
    </xf>
    <xf numFmtId="0" fontId="2" fillId="0" borderId="3" xfId="0" applyNumberFormat="1" applyFont="1" applyFill="1" applyBorder="1" applyAlignment="1" applyProtection="1">
      <alignment horizontal="justify" vertical="top" wrapText="1" readingOrder="1"/>
      <protection locked="0"/>
    </xf>
    <xf numFmtId="3" fontId="2" fillId="0" borderId="1" xfId="0" applyNumberFormat="1" applyFont="1" applyFill="1" applyBorder="1" applyAlignment="1" applyProtection="1">
      <alignment horizontal="right" vertical="top" readingOrder="1"/>
      <protection locked="0"/>
    </xf>
    <xf numFmtId="1" fontId="2" fillId="0" borderId="6" xfId="0" applyNumberFormat="1" applyFont="1" applyFill="1" applyBorder="1" applyAlignment="1" applyProtection="1">
      <alignment horizontal="right" vertical="top" readingOrder="1"/>
      <protection locked="0"/>
    </xf>
    <xf numFmtId="1" fontId="2" fillId="0" borderId="1" xfId="0" applyNumberFormat="1" applyFont="1" applyFill="1" applyBorder="1" applyAlignment="1" applyProtection="1">
      <alignment horizontal="right" vertical="top" readingOrder="1"/>
      <protection locked="0"/>
    </xf>
    <xf numFmtId="3" fontId="2" fillId="0" borderId="6" xfId="0" applyNumberFormat="1" applyFont="1" applyFill="1" applyBorder="1" applyAlignment="1" applyProtection="1">
      <alignment horizontal="right" vertical="top" readingOrder="1"/>
      <protection locked="0"/>
    </xf>
    <xf numFmtId="0" fontId="2" fillId="7" borderId="1" xfId="0" applyNumberFormat="1" applyFont="1" applyFill="1" applyBorder="1" applyAlignment="1" applyProtection="1">
      <alignment vertical="top" wrapText="1" readingOrder="1"/>
      <protection locked="0"/>
    </xf>
    <xf numFmtId="164" fontId="2" fillId="7" borderId="1" xfId="0" applyNumberFormat="1" applyFont="1" applyFill="1" applyBorder="1" applyAlignment="1" applyProtection="1">
      <alignment horizontal="right" vertical="top" wrapText="1" readingOrder="1"/>
    </xf>
    <xf numFmtId="164" fontId="2" fillId="7" borderId="1" xfId="0" applyNumberFormat="1" applyFont="1" applyFill="1" applyBorder="1" applyAlignment="1" applyProtection="1">
      <alignment horizontal="right" vertical="top" readingOrder="1"/>
    </xf>
    <xf numFmtId="0" fontId="2" fillId="7" borderId="1" xfId="0" applyNumberFormat="1" applyFont="1" applyFill="1" applyBorder="1" applyAlignment="1" applyProtection="1">
      <alignment vertical="top" readingOrder="1"/>
      <protection locked="0"/>
    </xf>
    <xf numFmtId="0" fontId="6" fillId="5" borderId="6" xfId="0" applyNumberFormat="1" applyFont="1" applyFill="1" applyBorder="1" applyAlignment="1" applyProtection="1">
      <alignment horizontal="justify" vertical="top" wrapText="1" readingOrder="1"/>
      <protection locked="0"/>
    </xf>
    <xf numFmtId="0" fontId="6" fillId="5" borderId="6" xfId="0" applyNumberFormat="1" applyFont="1" applyFill="1" applyBorder="1" applyAlignment="1" applyProtection="1">
      <alignment horizontal="left" vertical="top" wrapText="1" readingOrder="1"/>
      <protection locked="0"/>
    </xf>
    <xf numFmtId="0" fontId="6" fillId="5" borderId="6" xfId="0" applyNumberFormat="1" applyFont="1" applyFill="1" applyBorder="1" applyAlignment="1" applyProtection="1">
      <alignment horizontal="left" vertical="top" readingOrder="1"/>
      <protection locked="0"/>
    </xf>
    <xf numFmtId="164" fontId="6" fillId="5" borderId="6" xfId="0" applyNumberFormat="1" applyFont="1" applyFill="1" applyBorder="1" applyAlignment="1" applyProtection="1">
      <alignment horizontal="right" vertical="top" readingOrder="1"/>
    </xf>
    <xf numFmtId="0" fontId="6" fillId="5" borderId="6" xfId="0" applyNumberFormat="1" applyFont="1" applyFill="1" applyBorder="1" applyAlignment="1" applyProtection="1">
      <alignment horizontal="center" vertical="top" readingOrder="1"/>
      <protection locked="0"/>
    </xf>
    <xf numFmtId="0" fontId="6" fillId="5" borderId="6" xfId="0" applyNumberFormat="1" applyFont="1" applyFill="1" applyBorder="1" applyAlignment="1" applyProtection="1">
      <alignment horizontal="right" vertical="top" readingOrder="1"/>
      <protection locked="0"/>
    </xf>
    <xf numFmtId="0" fontId="2" fillId="9" borderId="1" xfId="0" applyNumberFormat="1" applyFont="1" applyFill="1" applyBorder="1" applyAlignment="1" applyProtection="1">
      <alignment horizontal="justify" vertical="top" wrapText="1" readingOrder="1"/>
      <protection locked="0"/>
    </xf>
    <xf numFmtId="0" fontId="2" fillId="9" borderId="1" xfId="0" applyNumberFormat="1" applyFont="1" applyFill="1" applyBorder="1" applyAlignment="1" applyProtection="1">
      <alignment horizontal="center" vertical="top" readingOrder="1"/>
      <protection locked="0"/>
    </xf>
    <xf numFmtId="0" fontId="2" fillId="9" borderId="1" xfId="0" applyNumberFormat="1" applyFont="1" applyFill="1" applyBorder="1" applyAlignment="1" applyProtection="1">
      <alignment horizontal="right" vertical="top" readingOrder="1"/>
      <protection locked="0"/>
    </xf>
    <xf numFmtId="0" fontId="2" fillId="8" borderId="1" xfId="0" applyNumberFormat="1" applyFont="1" applyFill="1" applyBorder="1" applyAlignment="1" applyProtection="1">
      <alignment horizontal="right" vertical="top" readingOrder="1"/>
      <protection locked="0"/>
    </xf>
    <xf numFmtId="0" fontId="6" fillId="5" borderId="5" xfId="0" applyNumberFormat="1" applyFont="1" applyFill="1" applyBorder="1" applyAlignment="1" applyProtection="1">
      <alignment vertical="top" readingOrder="1"/>
      <protection locked="0"/>
    </xf>
    <xf numFmtId="0" fontId="0" fillId="10" borderId="0" xfId="0" applyNumberFormat="1" applyFill="1" applyAlignment="1" applyProtection="1">
      <alignment wrapText="1"/>
    </xf>
    <xf numFmtId="0" fontId="2" fillId="10" borderId="6" xfId="0" applyNumberFormat="1" applyFont="1" applyFill="1" applyBorder="1" applyAlignment="1" applyProtection="1">
      <alignment horizontal="justify" vertical="top" wrapText="1" readingOrder="1"/>
      <protection locked="0"/>
    </xf>
    <xf numFmtId="0" fontId="2" fillId="10" borderId="6" xfId="0" applyNumberFormat="1" applyFont="1" applyFill="1" applyBorder="1" applyAlignment="1" applyProtection="1">
      <alignment horizontal="center" vertical="top" readingOrder="1"/>
      <protection locked="0"/>
    </xf>
    <xf numFmtId="0" fontId="2" fillId="10" borderId="6" xfId="0" applyNumberFormat="1" applyFont="1" applyFill="1" applyBorder="1" applyAlignment="1" applyProtection="1">
      <alignment horizontal="right" vertical="top" readingOrder="1"/>
      <protection locked="0"/>
    </xf>
    <xf numFmtId="0" fontId="0" fillId="0" borderId="0" xfId="0" applyNumberFormat="1" applyFill="1" applyAlignment="1" applyProtection="1">
      <alignment horizontal="left" wrapText="1"/>
    </xf>
    <xf numFmtId="0" fontId="0" fillId="0" borderId="7" xfId="0" applyNumberFormat="1" applyFill="1" applyBorder="1" applyAlignment="1" applyProtection="1">
      <alignment horizontal="right"/>
    </xf>
    <xf numFmtId="0" fontId="1" fillId="2" borderId="0" xfId="0" applyNumberFormat="1" applyFont="1" applyFill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 vertical="center" wrapText="1" readingOrder="1"/>
    </xf>
    <xf numFmtId="0" fontId="3" fillId="0" borderId="4" xfId="0" applyNumberFormat="1" applyFont="1" applyFill="1" applyBorder="1" applyAlignment="1" applyProtection="1">
      <alignment horizontal="center" vertical="center" wrapText="1" readingOrder="1"/>
    </xf>
    <xf numFmtId="0" fontId="3" fillId="0" borderId="2" xfId="0" applyNumberFormat="1" applyFont="1" applyFill="1" applyBorder="1" applyAlignment="1" applyProtection="1">
      <alignment horizontal="center" vertical="center" wrapText="1" readingOrder="1"/>
    </xf>
    <xf numFmtId="0" fontId="3" fillId="0" borderId="6" xfId="0" applyNumberFormat="1" applyFont="1" applyFill="1" applyBorder="1" applyAlignment="1" applyProtection="1">
      <alignment horizontal="center" vertical="center" wrapText="1" readingOrder="1"/>
    </xf>
    <xf numFmtId="0" fontId="3" fillId="0" borderId="1" xfId="0" applyNumberFormat="1" applyFont="1" applyFill="1" applyBorder="1" applyAlignment="1" applyProtection="1">
      <alignment horizontal="center" vertical="center" wrapText="1" readingOrder="1"/>
    </xf>
    <xf numFmtId="0" fontId="3" fillId="0" borderId="3" xfId="0" applyNumberFormat="1" applyFont="1" applyFill="1" applyBorder="1" applyAlignment="1" applyProtection="1">
      <alignment horizontal="center" vertical="center" wrapText="1" readingOrder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0" fillId="2" borderId="0" xfId="0" applyNumberFormat="1" applyFill="1" applyAlignment="1" applyProtection="1">
      <alignment horizontal="center"/>
    </xf>
    <xf numFmtId="164" fontId="2" fillId="4" borderId="8" xfId="0" applyNumberFormat="1" applyFont="1" applyFill="1" applyBorder="1" applyAlignment="1" applyProtection="1">
      <alignment horizontal="center" vertical="top" readingOrder="1"/>
    </xf>
    <xf numFmtId="164" fontId="2" fillId="4" borderId="9" xfId="0" applyNumberFormat="1" applyFont="1" applyFill="1" applyBorder="1" applyAlignment="1" applyProtection="1">
      <alignment horizontal="center" vertical="top" readingOrder="1"/>
    </xf>
    <xf numFmtId="0" fontId="2" fillId="4" borderId="8" xfId="0" applyNumberFormat="1" applyFont="1" applyFill="1" applyBorder="1" applyAlignment="1" applyProtection="1">
      <alignment horizontal="left" vertical="top" wrapText="1" readingOrder="1"/>
      <protection locked="0"/>
    </xf>
    <xf numFmtId="0" fontId="2" fillId="4" borderId="9" xfId="0" applyNumberFormat="1" applyFont="1" applyFill="1" applyBorder="1" applyAlignment="1" applyProtection="1">
      <alignment horizontal="left" vertical="top" wrapText="1" readingOrder="1"/>
      <protection locked="0"/>
    </xf>
    <xf numFmtId="0" fontId="2" fillId="4" borderId="8" xfId="0" applyNumberFormat="1" applyFont="1" applyFill="1" applyBorder="1" applyAlignment="1" applyProtection="1">
      <alignment horizontal="center" vertical="top" wrapText="1" readingOrder="1"/>
      <protection locked="0"/>
    </xf>
    <xf numFmtId="0" fontId="2" fillId="4" borderId="9" xfId="0" applyNumberFormat="1" applyFont="1" applyFill="1" applyBorder="1" applyAlignment="1" applyProtection="1">
      <alignment horizontal="center" vertical="top" wrapText="1" readingOrder="1"/>
      <protection locked="0"/>
    </xf>
    <xf numFmtId="0" fontId="2" fillId="4" borderId="8" xfId="0" applyNumberFormat="1" applyFont="1" applyFill="1" applyBorder="1" applyAlignment="1" applyProtection="1">
      <alignment horizontal="center" vertical="top" readingOrder="1"/>
      <protection locked="0"/>
    </xf>
    <xf numFmtId="0" fontId="2" fillId="4" borderId="9" xfId="0" applyNumberFormat="1" applyFont="1" applyFill="1" applyBorder="1" applyAlignment="1" applyProtection="1">
      <alignment horizontal="center" vertical="top" readingOrder="1"/>
      <protection locked="0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742"/>
  <sheetViews>
    <sheetView showZeros="0" tabSelected="1" workbookViewId="0">
      <selection activeCell="P12" sqref="P12"/>
    </sheetView>
  </sheetViews>
  <sheetFormatPr defaultRowHeight="15" x14ac:dyDescent="0.25"/>
  <cols>
    <col min="1" max="1" width="11.85546875" customWidth="1"/>
    <col min="2" max="2" width="39.85546875" style="47" customWidth="1"/>
    <col min="3" max="3" width="16.7109375" style="47" customWidth="1"/>
    <col min="4" max="4" width="12.28515625" bestFit="1" customWidth="1"/>
    <col min="5" max="5" width="15.28515625" customWidth="1"/>
    <col min="6" max="6" width="14.7109375" customWidth="1"/>
    <col min="7" max="7" width="11.5703125" customWidth="1"/>
    <col min="8" max="8" width="45.42578125" style="47" customWidth="1"/>
    <col min="9" max="9" width="9" customWidth="1"/>
    <col min="10" max="10" width="10.28515625" customWidth="1"/>
    <col min="11" max="11" width="9.85546875" customWidth="1"/>
    <col min="12" max="12" width="10" customWidth="1"/>
  </cols>
  <sheetData>
    <row r="2" spans="1:12" x14ac:dyDescent="0.25">
      <c r="I2" s="86"/>
      <c r="J2" s="86"/>
      <c r="K2" s="86"/>
      <c r="L2" s="86"/>
    </row>
    <row r="3" spans="1:12" x14ac:dyDescent="0.25">
      <c r="I3" s="86"/>
      <c r="J3" s="86"/>
      <c r="K3" s="86"/>
      <c r="L3" s="86"/>
    </row>
    <row r="6" spans="1:12" s="2" customFormat="1" x14ac:dyDescent="0.25">
      <c r="A6" s="88" t="s">
        <v>0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s="42" customFormat="1" x14ac:dyDescent="0.25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</row>
    <row r="8" spans="1:12" ht="15.75" thickBot="1" x14ac:dyDescent="0.3">
      <c r="K8" s="87" t="s">
        <v>1152</v>
      </c>
      <c r="L8" s="87"/>
    </row>
    <row r="9" spans="1:12" x14ac:dyDescent="0.25">
      <c r="A9" s="89" t="s">
        <v>1</v>
      </c>
      <c r="B9" s="92" t="s">
        <v>2</v>
      </c>
      <c r="C9" s="92" t="s">
        <v>3</v>
      </c>
      <c r="D9" s="92" t="s">
        <v>4</v>
      </c>
      <c r="E9" s="92" t="s">
        <v>5</v>
      </c>
      <c r="F9" s="92" t="s">
        <v>6</v>
      </c>
      <c r="G9" s="92" t="s">
        <v>7</v>
      </c>
      <c r="H9" s="92" t="s">
        <v>8</v>
      </c>
      <c r="I9" s="95"/>
      <c r="J9" s="95"/>
      <c r="K9" s="95"/>
      <c r="L9" s="95"/>
    </row>
    <row r="10" spans="1:12" x14ac:dyDescent="0.25">
      <c r="A10" s="90"/>
      <c r="B10" s="93"/>
      <c r="C10" s="93"/>
      <c r="D10" s="93"/>
      <c r="E10" s="93"/>
      <c r="F10" s="93"/>
      <c r="G10" s="93"/>
      <c r="H10" s="93" t="s">
        <v>9</v>
      </c>
      <c r="I10" s="93" t="s">
        <v>10</v>
      </c>
      <c r="J10" s="1" t="s">
        <v>11</v>
      </c>
      <c r="K10" s="1" t="s">
        <v>12</v>
      </c>
      <c r="L10" s="1" t="s">
        <v>13</v>
      </c>
    </row>
    <row r="11" spans="1:12" ht="15.75" thickBot="1" x14ac:dyDescent="0.3">
      <c r="A11" s="91"/>
      <c r="B11" s="94"/>
      <c r="C11" s="94"/>
      <c r="D11" s="94"/>
      <c r="E11" s="94"/>
      <c r="F11" s="94"/>
      <c r="G11" s="94"/>
      <c r="H11" s="94"/>
      <c r="I11" s="94"/>
      <c r="J11" s="56" t="s">
        <v>14</v>
      </c>
      <c r="K11" s="56" t="s">
        <v>14</v>
      </c>
      <c r="L11" s="56" t="s">
        <v>14</v>
      </c>
    </row>
    <row r="12" spans="1:12" ht="51.75" thickBot="1" x14ac:dyDescent="0.3">
      <c r="A12" s="81" t="s">
        <v>15</v>
      </c>
      <c r="B12" s="71" t="s">
        <v>16</v>
      </c>
      <c r="C12" s="72" t="s">
        <v>17</v>
      </c>
      <c r="D12" s="73"/>
      <c r="E12" s="74">
        <f>SUM(E13:E13)</f>
        <v>1258.3999999999999</v>
      </c>
      <c r="F12" s="74">
        <f>SUM(F13:F13)</f>
        <v>779.1</v>
      </c>
      <c r="G12" s="74">
        <f>SUM(G13:G13)</f>
        <v>876.9</v>
      </c>
      <c r="H12" s="57"/>
      <c r="I12" s="38"/>
      <c r="J12" s="39"/>
      <c r="K12" s="39"/>
      <c r="L12" s="39"/>
    </row>
    <row r="13" spans="1:12" ht="39" thickBot="1" x14ac:dyDescent="0.3">
      <c r="A13" s="30" t="s">
        <v>19</v>
      </c>
      <c r="B13" s="58" t="s">
        <v>20</v>
      </c>
      <c r="C13" s="49"/>
      <c r="D13" s="31"/>
      <c r="E13" s="32">
        <f>E14+E37+E47+E50</f>
        <v>1258.3999999999999</v>
      </c>
      <c r="F13" s="32">
        <f>F14+F37+F47+F50</f>
        <v>779.1</v>
      </c>
      <c r="G13" s="32">
        <f>G14+G37+G47+G50</f>
        <v>876.9</v>
      </c>
      <c r="H13" s="58" t="s">
        <v>21</v>
      </c>
      <c r="I13" s="33" t="s">
        <v>22</v>
      </c>
      <c r="J13" s="34">
        <v>95</v>
      </c>
      <c r="K13" s="34">
        <v>88</v>
      </c>
      <c r="L13" s="34">
        <v>88</v>
      </c>
    </row>
    <row r="14" spans="1:12" ht="26.25" thickBot="1" x14ac:dyDescent="0.3">
      <c r="A14" s="25" t="s">
        <v>23</v>
      </c>
      <c r="B14" s="59" t="s">
        <v>24</v>
      </c>
      <c r="C14" s="50"/>
      <c r="D14" s="28"/>
      <c r="E14" s="27">
        <f>E15+E20+E32+E34</f>
        <v>294</v>
      </c>
      <c r="F14" s="27">
        <f>F15+F20+F32+F34</f>
        <v>156.5</v>
      </c>
      <c r="G14" s="27">
        <f>G15+G20+G32+G34</f>
        <v>456</v>
      </c>
      <c r="H14" s="59"/>
      <c r="I14" s="28"/>
      <c r="J14" s="29"/>
      <c r="K14" s="29"/>
      <c r="L14" s="29"/>
    </row>
    <row r="15" spans="1:12" ht="51" x14ac:dyDescent="0.25">
      <c r="A15" s="19" t="s">
        <v>25</v>
      </c>
      <c r="B15" s="60" t="s">
        <v>26</v>
      </c>
      <c r="C15" s="51" t="s">
        <v>17</v>
      </c>
      <c r="D15" s="20" t="s">
        <v>27</v>
      </c>
      <c r="E15" s="21">
        <f>SUM(E16:E19)+72.8</f>
        <v>72.8</v>
      </c>
      <c r="F15" s="21">
        <f>SUM(F16:F19)+20</f>
        <v>20</v>
      </c>
      <c r="G15" s="21">
        <f>SUM(G16:G19)+300</f>
        <v>300</v>
      </c>
      <c r="H15" s="60" t="s">
        <v>28</v>
      </c>
      <c r="I15" s="22" t="s">
        <v>22</v>
      </c>
      <c r="J15" s="23">
        <v>1</v>
      </c>
      <c r="K15" s="23">
        <v>1</v>
      </c>
      <c r="L15" s="23"/>
    </row>
    <row r="16" spans="1:12" ht="27.75" customHeight="1" x14ac:dyDescent="0.25">
      <c r="A16" s="15"/>
      <c r="B16" s="61"/>
      <c r="C16" s="52"/>
      <c r="D16" s="16"/>
      <c r="E16" s="4">
        <v>0</v>
      </c>
      <c r="F16" s="4">
        <v>0</v>
      </c>
      <c r="G16" s="4">
        <v>0</v>
      </c>
      <c r="H16" s="61" t="s">
        <v>29</v>
      </c>
      <c r="I16" s="17" t="s">
        <v>22</v>
      </c>
      <c r="J16" s="18">
        <v>1</v>
      </c>
      <c r="K16" s="18"/>
      <c r="L16" s="18"/>
    </row>
    <row r="17" spans="1:12" ht="19.5" customHeight="1" x14ac:dyDescent="0.25">
      <c r="A17" s="15"/>
      <c r="B17" s="61"/>
      <c r="C17" s="52"/>
      <c r="D17" s="16"/>
      <c r="E17" s="4">
        <v>0</v>
      </c>
      <c r="F17" s="4">
        <v>0</v>
      </c>
      <c r="G17" s="4">
        <v>0</v>
      </c>
      <c r="H17" s="61" t="s">
        <v>30</v>
      </c>
      <c r="I17" s="17" t="s">
        <v>22</v>
      </c>
      <c r="J17" s="18">
        <v>1</v>
      </c>
      <c r="K17" s="18"/>
      <c r="L17" s="18"/>
    </row>
    <row r="18" spans="1:12" ht="63.75" x14ac:dyDescent="0.25">
      <c r="A18" s="15"/>
      <c r="B18" s="61"/>
      <c r="C18" s="52"/>
      <c r="D18" s="16"/>
      <c r="E18" s="4">
        <v>0</v>
      </c>
      <c r="F18" s="4">
        <v>0</v>
      </c>
      <c r="G18" s="4">
        <v>0</v>
      </c>
      <c r="H18" s="61" t="s">
        <v>31</v>
      </c>
      <c r="I18" s="17" t="s">
        <v>22</v>
      </c>
      <c r="J18" s="18">
        <v>1</v>
      </c>
      <c r="K18" s="18"/>
      <c r="L18" s="18"/>
    </row>
    <row r="19" spans="1:12" ht="15.75" thickBot="1" x14ac:dyDescent="0.3">
      <c r="A19" s="15"/>
      <c r="B19" s="61"/>
      <c r="C19" s="52"/>
      <c r="D19" s="16"/>
      <c r="E19" s="4">
        <v>0</v>
      </c>
      <c r="F19" s="4">
        <v>0</v>
      </c>
      <c r="G19" s="4">
        <v>0</v>
      </c>
      <c r="H19" s="61" t="s">
        <v>32</v>
      </c>
      <c r="I19" s="17" t="s">
        <v>22</v>
      </c>
      <c r="J19" s="18"/>
      <c r="K19" s="18"/>
      <c r="L19" s="18">
        <v>1</v>
      </c>
    </row>
    <row r="20" spans="1:12" ht="51" x14ac:dyDescent="0.25">
      <c r="A20" s="19" t="s">
        <v>33</v>
      </c>
      <c r="B20" s="60" t="s">
        <v>34</v>
      </c>
      <c r="C20" s="51" t="s">
        <v>17</v>
      </c>
      <c r="D20" s="20"/>
      <c r="E20" s="21">
        <f>SUM(E21:E31)</f>
        <v>190.2</v>
      </c>
      <c r="F20" s="21">
        <f>SUM(F21:F31)</f>
        <v>100</v>
      </c>
      <c r="G20" s="21">
        <f>SUM(G21:G31)</f>
        <v>100</v>
      </c>
      <c r="H20" s="60" t="s">
        <v>35</v>
      </c>
      <c r="I20" s="22" t="s">
        <v>22</v>
      </c>
      <c r="J20" s="23">
        <v>2</v>
      </c>
      <c r="K20" s="23">
        <v>6</v>
      </c>
      <c r="L20" s="23">
        <v>6</v>
      </c>
    </row>
    <row r="21" spans="1:12" ht="30" customHeight="1" x14ac:dyDescent="0.25">
      <c r="A21" s="15"/>
      <c r="B21" s="61"/>
      <c r="C21" s="52"/>
      <c r="D21" s="16" t="s">
        <v>36</v>
      </c>
      <c r="E21" s="4">
        <v>160.19999999999999</v>
      </c>
      <c r="F21" s="4">
        <v>0</v>
      </c>
      <c r="G21" s="4">
        <v>0</v>
      </c>
      <c r="H21" s="61" t="s">
        <v>37</v>
      </c>
      <c r="I21" s="17" t="s">
        <v>22</v>
      </c>
      <c r="J21" s="18">
        <v>1</v>
      </c>
      <c r="K21" s="18"/>
      <c r="L21" s="18"/>
    </row>
    <row r="22" spans="1:12" ht="38.25" x14ac:dyDescent="0.25">
      <c r="A22" s="15"/>
      <c r="B22" s="61"/>
      <c r="C22" s="52"/>
      <c r="D22" s="16" t="s">
        <v>27</v>
      </c>
      <c r="E22" s="4">
        <v>30</v>
      </c>
      <c r="F22" s="4">
        <v>100</v>
      </c>
      <c r="G22" s="4">
        <v>100</v>
      </c>
      <c r="H22" s="61" t="s">
        <v>38</v>
      </c>
      <c r="I22" s="17" t="s">
        <v>22</v>
      </c>
      <c r="J22" s="18">
        <v>1</v>
      </c>
      <c r="K22" s="18"/>
      <c r="L22" s="18"/>
    </row>
    <row r="23" spans="1:12" ht="38.25" x14ac:dyDescent="0.25">
      <c r="A23" s="15"/>
      <c r="B23" s="61"/>
      <c r="C23" s="52"/>
      <c r="D23" s="16"/>
      <c r="E23" s="4">
        <v>0</v>
      </c>
      <c r="F23" s="4">
        <v>0</v>
      </c>
      <c r="G23" s="4">
        <v>0</v>
      </c>
      <c r="H23" s="61" t="s">
        <v>39</v>
      </c>
      <c r="I23" s="17" t="s">
        <v>22</v>
      </c>
      <c r="J23" s="18">
        <v>1</v>
      </c>
      <c r="K23" s="18"/>
      <c r="L23" s="18"/>
    </row>
    <row r="24" spans="1:12" ht="25.5" x14ac:dyDescent="0.25">
      <c r="A24" s="15"/>
      <c r="B24" s="61"/>
      <c r="C24" s="52"/>
      <c r="D24" s="16"/>
      <c r="E24" s="4">
        <v>0</v>
      </c>
      <c r="F24" s="4">
        <v>0</v>
      </c>
      <c r="G24" s="4">
        <v>0</v>
      </c>
      <c r="H24" s="61" t="s">
        <v>40</v>
      </c>
      <c r="I24" s="17" t="s">
        <v>22</v>
      </c>
      <c r="J24" s="18">
        <v>1</v>
      </c>
      <c r="K24" s="18"/>
      <c r="L24" s="18"/>
    </row>
    <row r="25" spans="1:12" ht="25.5" x14ac:dyDescent="0.25">
      <c r="A25" s="15"/>
      <c r="B25" s="61"/>
      <c r="C25" s="52"/>
      <c r="D25" s="16"/>
      <c r="E25" s="4">
        <v>0</v>
      </c>
      <c r="F25" s="4">
        <v>0</v>
      </c>
      <c r="G25" s="4">
        <v>0</v>
      </c>
      <c r="H25" s="61" t="s">
        <v>41</v>
      </c>
      <c r="I25" s="17" t="s">
        <v>22</v>
      </c>
      <c r="J25" s="18">
        <v>1</v>
      </c>
      <c r="K25" s="18"/>
      <c r="L25" s="18"/>
    </row>
    <row r="26" spans="1:12" ht="51" x14ac:dyDescent="0.25">
      <c r="A26" s="15"/>
      <c r="B26" s="61"/>
      <c r="C26" s="52"/>
      <c r="D26" s="16"/>
      <c r="E26" s="4">
        <v>0</v>
      </c>
      <c r="F26" s="4">
        <v>0</v>
      </c>
      <c r="G26" s="4">
        <v>0</v>
      </c>
      <c r="H26" s="61" t="s">
        <v>42</v>
      </c>
      <c r="I26" s="17" t="s">
        <v>22</v>
      </c>
      <c r="J26" s="18">
        <v>1</v>
      </c>
      <c r="K26" s="18"/>
      <c r="L26" s="18"/>
    </row>
    <row r="27" spans="1:12" ht="38.25" x14ac:dyDescent="0.25">
      <c r="A27" s="15"/>
      <c r="B27" s="61"/>
      <c r="C27" s="52"/>
      <c r="D27" s="16"/>
      <c r="E27" s="4">
        <v>0</v>
      </c>
      <c r="F27" s="4">
        <v>0</v>
      </c>
      <c r="G27" s="4">
        <v>0</v>
      </c>
      <c r="H27" s="61" t="s">
        <v>43</v>
      </c>
      <c r="I27" s="17" t="s">
        <v>22</v>
      </c>
      <c r="J27" s="18">
        <v>1</v>
      </c>
      <c r="K27" s="18"/>
      <c r="L27" s="18"/>
    </row>
    <row r="28" spans="1:12" ht="25.5" x14ac:dyDescent="0.25">
      <c r="A28" s="15"/>
      <c r="B28" s="61"/>
      <c r="C28" s="52"/>
      <c r="D28" s="16"/>
      <c r="E28" s="4">
        <v>0</v>
      </c>
      <c r="F28" s="4">
        <v>0</v>
      </c>
      <c r="G28" s="4">
        <v>0</v>
      </c>
      <c r="H28" s="61" t="s">
        <v>44</v>
      </c>
      <c r="I28" s="17" t="s">
        <v>22</v>
      </c>
      <c r="J28" s="18">
        <v>1</v>
      </c>
      <c r="K28" s="18"/>
      <c r="L28" s="18"/>
    </row>
    <row r="29" spans="1:12" ht="25.5" x14ac:dyDescent="0.25">
      <c r="A29" s="15"/>
      <c r="B29" s="61"/>
      <c r="C29" s="52"/>
      <c r="D29" s="16"/>
      <c r="E29" s="4">
        <v>0</v>
      </c>
      <c r="F29" s="4">
        <v>0</v>
      </c>
      <c r="G29" s="4">
        <v>0</v>
      </c>
      <c r="H29" s="61" t="s">
        <v>45</v>
      </c>
      <c r="I29" s="17" t="s">
        <v>22</v>
      </c>
      <c r="J29" s="18">
        <v>1</v>
      </c>
      <c r="K29" s="18"/>
      <c r="L29" s="18"/>
    </row>
    <row r="30" spans="1:12" ht="38.25" x14ac:dyDescent="0.25">
      <c r="A30" s="15"/>
      <c r="B30" s="61"/>
      <c r="C30" s="52"/>
      <c r="D30" s="16"/>
      <c r="E30" s="4">
        <v>0</v>
      </c>
      <c r="F30" s="4">
        <v>0</v>
      </c>
      <c r="G30" s="4">
        <v>0</v>
      </c>
      <c r="H30" s="61" t="s">
        <v>46</v>
      </c>
      <c r="I30" s="17" t="s">
        <v>22</v>
      </c>
      <c r="J30" s="18">
        <v>1</v>
      </c>
      <c r="K30" s="18"/>
      <c r="L30" s="18"/>
    </row>
    <row r="31" spans="1:12" ht="26.25" thickBot="1" x14ac:dyDescent="0.3">
      <c r="A31" s="15"/>
      <c r="B31" s="61"/>
      <c r="C31" s="52"/>
      <c r="D31" s="16"/>
      <c r="E31" s="4">
        <v>0</v>
      </c>
      <c r="F31" s="4">
        <v>0</v>
      </c>
      <c r="G31" s="4">
        <v>0</v>
      </c>
      <c r="H31" s="61" t="s">
        <v>47</v>
      </c>
      <c r="I31" s="17" t="s">
        <v>22</v>
      </c>
      <c r="J31" s="18">
        <v>1</v>
      </c>
      <c r="K31" s="18"/>
      <c r="L31" s="18"/>
    </row>
    <row r="32" spans="1:12" ht="51" x14ac:dyDescent="0.25">
      <c r="A32" s="19" t="s">
        <v>48</v>
      </c>
      <c r="B32" s="60" t="s">
        <v>49</v>
      </c>
      <c r="C32" s="51" t="s">
        <v>17</v>
      </c>
      <c r="D32" s="20" t="s">
        <v>27</v>
      </c>
      <c r="E32" s="21">
        <f>SUM(E33:E33)+4</f>
        <v>4</v>
      </c>
      <c r="F32" s="21">
        <f>SUM(F33:F33)+10</f>
        <v>10</v>
      </c>
      <c r="G32" s="21">
        <f>SUM(G33:G33)+29.5</f>
        <v>29.5</v>
      </c>
      <c r="H32" s="60" t="s">
        <v>50</v>
      </c>
      <c r="I32" s="22" t="s">
        <v>22</v>
      </c>
      <c r="J32" s="23">
        <v>1</v>
      </c>
      <c r="K32" s="23"/>
      <c r="L32" s="23"/>
    </row>
    <row r="33" spans="1:12" ht="39" thickBot="1" x14ac:dyDescent="0.3">
      <c r="A33" s="15"/>
      <c r="B33" s="61"/>
      <c r="C33" s="52"/>
      <c r="D33" s="16"/>
      <c r="E33" s="4">
        <v>0</v>
      </c>
      <c r="F33" s="4">
        <v>0</v>
      </c>
      <c r="G33" s="4">
        <v>0</v>
      </c>
      <c r="H33" s="61" t="s">
        <v>51</v>
      </c>
      <c r="I33" s="17" t="s">
        <v>22</v>
      </c>
      <c r="J33" s="18"/>
      <c r="K33" s="18">
        <v>1</v>
      </c>
      <c r="L33" s="18">
        <v>1</v>
      </c>
    </row>
    <row r="34" spans="1:12" ht="51" x14ac:dyDescent="0.25">
      <c r="A34" s="19" t="s">
        <v>52</v>
      </c>
      <c r="B34" s="60" t="s">
        <v>53</v>
      </c>
      <c r="C34" s="51" t="s">
        <v>17</v>
      </c>
      <c r="D34" s="20"/>
      <c r="E34" s="21">
        <f>SUM(E35:E36)</f>
        <v>27</v>
      </c>
      <c r="F34" s="21">
        <f>SUM(F35:F36)</f>
        <v>26.5</v>
      </c>
      <c r="G34" s="21">
        <f>SUM(G35:G36)</f>
        <v>26.5</v>
      </c>
      <c r="H34" s="60" t="s">
        <v>54</v>
      </c>
      <c r="I34" s="22" t="s">
        <v>22</v>
      </c>
      <c r="J34" s="23">
        <v>80</v>
      </c>
      <c r="K34" s="23">
        <v>80</v>
      </c>
      <c r="L34" s="23">
        <v>80</v>
      </c>
    </row>
    <row r="35" spans="1:12" x14ac:dyDescent="0.25">
      <c r="A35" s="15"/>
      <c r="B35" s="61"/>
      <c r="C35" s="52"/>
      <c r="D35" s="16" t="s">
        <v>36</v>
      </c>
      <c r="E35" s="4">
        <v>25</v>
      </c>
      <c r="F35" s="4">
        <v>0</v>
      </c>
      <c r="G35" s="4">
        <v>0</v>
      </c>
      <c r="H35" s="61"/>
      <c r="I35" s="17"/>
      <c r="J35" s="18"/>
      <c r="K35" s="18"/>
      <c r="L35" s="18"/>
    </row>
    <row r="36" spans="1:12" ht="15.75" thickBot="1" x14ac:dyDescent="0.3">
      <c r="A36" s="15"/>
      <c r="B36" s="61"/>
      <c r="C36" s="52"/>
      <c r="D36" s="16" t="s">
        <v>27</v>
      </c>
      <c r="E36" s="4">
        <v>2</v>
      </c>
      <c r="F36" s="4">
        <v>26.5</v>
      </c>
      <c r="G36" s="4">
        <v>26.5</v>
      </c>
      <c r="H36" s="61"/>
      <c r="I36" s="17"/>
      <c r="J36" s="18"/>
      <c r="K36" s="18"/>
      <c r="L36" s="18"/>
    </row>
    <row r="37" spans="1:12" ht="26.25" thickBot="1" x14ac:dyDescent="0.3">
      <c r="A37" s="25" t="s">
        <v>55</v>
      </c>
      <c r="B37" s="59" t="s">
        <v>56</v>
      </c>
      <c r="C37" s="50"/>
      <c r="D37" s="26"/>
      <c r="E37" s="27">
        <f>E38+E43+E44</f>
        <v>823</v>
      </c>
      <c r="F37" s="27">
        <f>F38+F43+F44</f>
        <v>592</v>
      </c>
      <c r="G37" s="27">
        <f>G38+G43+G44</f>
        <v>388</v>
      </c>
      <c r="H37" s="59"/>
      <c r="I37" s="28"/>
      <c r="J37" s="29"/>
      <c r="K37" s="29"/>
      <c r="L37" s="29"/>
    </row>
    <row r="38" spans="1:12" ht="51" x14ac:dyDescent="0.25">
      <c r="A38" s="19" t="s">
        <v>57</v>
      </c>
      <c r="B38" s="60" t="s">
        <v>58</v>
      </c>
      <c r="C38" s="51" t="s">
        <v>17</v>
      </c>
      <c r="D38" s="20" t="s">
        <v>27</v>
      </c>
      <c r="E38" s="21">
        <f>SUM(E39:E42)+52</f>
        <v>52</v>
      </c>
      <c r="F38" s="21">
        <f>SUM(F39:F42)+220</f>
        <v>220</v>
      </c>
      <c r="G38" s="21">
        <f>SUM(G39:G42)+15</f>
        <v>15</v>
      </c>
      <c r="H38" s="60" t="s">
        <v>59</v>
      </c>
      <c r="I38" s="22" t="s">
        <v>22</v>
      </c>
      <c r="J38" s="23">
        <v>1</v>
      </c>
      <c r="K38" s="23">
        <v>2</v>
      </c>
      <c r="L38" s="23">
        <v>2</v>
      </c>
    </row>
    <row r="39" spans="1:12" ht="25.5" x14ac:dyDescent="0.25">
      <c r="A39" s="15"/>
      <c r="B39" s="61"/>
      <c r="C39" s="52"/>
      <c r="D39" s="16"/>
      <c r="E39" s="4">
        <v>0</v>
      </c>
      <c r="F39" s="4">
        <v>0</v>
      </c>
      <c r="G39" s="4">
        <v>0</v>
      </c>
      <c r="H39" s="61" t="s">
        <v>60</v>
      </c>
      <c r="I39" s="17" t="s">
        <v>22</v>
      </c>
      <c r="J39" s="18">
        <v>1</v>
      </c>
      <c r="K39" s="18"/>
      <c r="L39" s="18"/>
    </row>
    <row r="40" spans="1:12" ht="25.5" x14ac:dyDescent="0.25">
      <c r="A40" s="15"/>
      <c r="B40" s="61"/>
      <c r="C40" s="52"/>
      <c r="D40" s="16"/>
      <c r="E40" s="4">
        <v>0</v>
      </c>
      <c r="F40" s="4">
        <v>0</v>
      </c>
      <c r="G40" s="4">
        <v>0</v>
      </c>
      <c r="H40" s="61" t="s">
        <v>61</v>
      </c>
      <c r="I40" s="17" t="s">
        <v>22</v>
      </c>
      <c r="J40" s="18">
        <v>1</v>
      </c>
      <c r="K40" s="18"/>
      <c r="L40" s="18"/>
    </row>
    <row r="41" spans="1:12" ht="25.5" x14ac:dyDescent="0.25">
      <c r="A41" s="15"/>
      <c r="B41" s="61"/>
      <c r="C41" s="52"/>
      <c r="D41" s="16"/>
      <c r="E41" s="4">
        <v>0</v>
      </c>
      <c r="F41" s="4">
        <v>0</v>
      </c>
      <c r="G41" s="4">
        <v>0</v>
      </c>
      <c r="H41" s="61" t="s">
        <v>1154</v>
      </c>
      <c r="I41" s="17" t="s">
        <v>22</v>
      </c>
      <c r="J41" s="18">
        <v>1</v>
      </c>
      <c r="K41" s="18"/>
      <c r="L41" s="18"/>
    </row>
    <row r="42" spans="1:12" ht="15.75" thickBot="1" x14ac:dyDescent="0.3">
      <c r="A42" s="15"/>
      <c r="B42" s="61"/>
      <c r="C42" s="52"/>
      <c r="D42" s="16"/>
      <c r="E42" s="4">
        <v>0</v>
      </c>
      <c r="F42" s="4">
        <v>0</v>
      </c>
      <c r="G42" s="4">
        <v>0</v>
      </c>
      <c r="H42" s="61" t="s">
        <v>62</v>
      </c>
      <c r="I42" s="17" t="s">
        <v>22</v>
      </c>
      <c r="J42" s="18"/>
      <c r="K42" s="18">
        <v>1</v>
      </c>
      <c r="L42" s="18"/>
    </row>
    <row r="43" spans="1:12" ht="51.75" thickBot="1" x14ac:dyDescent="0.3">
      <c r="A43" s="19" t="s">
        <v>63</v>
      </c>
      <c r="B43" s="60" t="s">
        <v>64</v>
      </c>
      <c r="C43" s="51" t="s">
        <v>17</v>
      </c>
      <c r="D43" s="20" t="s">
        <v>27</v>
      </c>
      <c r="E43" s="24">
        <v>1</v>
      </c>
      <c r="F43" s="24">
        <v>2</v>
      </c>
      <c r="G43" s="24">
        <v>3</v>
      </c>
      <c r="H43" s="60" t="s">
        <v>65</v>
      </c>
      <c r="I43" s="22" t="s">
        <v>22</v>
      </c>
      <c r="J43" s="23">
        <v>1</v>
      </c>
      <c r="K43" s="23">
        <v>1</v>
      </c>
      <c r="L43" s="23">
        <v>1</v>
      </c>
    </row>
    <row r="44" spans="1:12" ht="102" x14ac:dyDescent="0.25">
      <c r="A44" s="19" t="s">
        <v>66</v>
      </c>
      <c r="B44" s="60" t="s">
        <v>67</v>
      </c>
      <c r="C44" s="51" t="s">
        <v>68</v>
      </c>
      <c r="D44" s="20"/>
      <c r="E44" s="21">
        <f>SUM(E45:E46)</f>
        <v>770</v>
      </c>
      <c r="F44" s="21">
        <f>SUM(F45:F46)</f>
        <v>370</v>
      </c>
      <c r="G44" s="21">
        <f>SUM(G45:G46)</f>
        <v>370</v>
      </c>
      <c r="H44" s="60" t="s">
        <v>69</v>
      </c>
      <c r="I44" s="22" t="s">
        <v>22</v>
      </c>
      <c r="J44" s="23">
        <v>3</v>
      </c>
      <c r="K44" s="23"/>
      <c r="L44" s="23"/>
    </row>
    <row r="45" spans="1:12" ht="25.5" x14ac:dyDescent="0.25">
      <c r="A45" s="15"/>
      <c r="B45" s="61"/>
      <c r="C45" s="52"/>
      <c r="D45" s="16" t="s">
        <v>27</v>
      </c>
      <c r="E45" s="4">
        <v>665</v>
      </c>
      <c r="F45" s="4">
        <v>370</v>
      </c>
      <c r="G45" s="4">
        <v>370</v>
      </c>
      <c r="H45" s="61" t="s">
        <v>70</v>
      </c>
      <c r="I45" s="17" t="s">
        <v>22</v>
      </c>
      <c r="J45" s="18">
        <v>13</v>
      </c>
      <c r="K45" s="18">
        <v>10</v>
      </c>
      <c r="L45" s="18">
        <v>10</v>
      </c>
    </row>
    <row r="46" spans="1:12" ht="26.25" thickBot="1" x14ac:dyDescent="0.3">
      <c r="A46" s="15"/>
      <c r="B46" s="61"/>
      <c r="C46" s="52"/>
      <c r="D46" s="16" t="s">
        <v>36</v>
      </c>
      <c r="E46" s="4">
        <v>105</v>
      </c>
      <c r="F46" s="4">
        <v>0</v>
      </c>
      <c r="G46" s="4">
        <v>0</v>
      </c>
      <c r="H46" s="61" t="s">
        <v>71</v>
      </c>
      <c r="I46" s="17" t="s">
        <v>22</v>
      </c>
      <c r="J46" s="18">
        <v>10</v>
      </c>
      <c r="K46" s="18">
        <v>10</v>
      </c>
      <c r="L46" s="18">
        <v>10</v>
      </c>
    </row>
    <row r="47" spans="1:12" ht="15.75" thickBot="1" x14ac:dyDescent="0.3">
      <c r="A47" s="25" t="s">
        <v>72</v>
      </c>
      <c r="B47" s="59" t="s">
        <v>73</v>
      </c>
      <c r="C47" s="50"/>
      <c r="D47" s="26"/>
      <c r="E47" s="27">
        <f>SUM(E48:E49)</f>
        <v>118.1</v>
      </c>
      <c r="F47" s="27">
        <f>SUM(F48:F49)</f>
        <v>6</v>
      </c>
      <c r="G47" s="27">
        <f>SUM(G48:G49)</f>
        <v>6.9</v>
      </c>
      <c r="H47" s="59"/>
      <c r="I47" s="28"/>
      <c r="J47" s="29"/>
      <c r="K47" s="29"/>
      <c r="L47" s="29"/>
    </row>
    <row r="48" spans="1:12" ht="51.75" thickBot="1" x14ac:dyDescent="0.3">
      <c r="A48" s="19" t="s">
        <v>74</v>
      </c>
      <c r="B48" s="60" t="s">
        <v>75</v>
      </c>
      <c r="C48" s="51" t="s">
        <v>17</v>
      </c>
      <c r="D48" s="20" t="s">
        <v>27</v>
      </c>
      <c r="E48" s="24">
        <v>113.1</v>
      </c>
      <c r="F48" s="24">
        <v>0</v>
      </c>
      <c r="G48" s="24">
        <v>0</v>
      </c>
      <c r="H48" s="60" t="s">
        <v>76</v>
      </c>
      <c r="I48" s="22" t="s">
        <v>22</v>
      </c>
      <c r="J48" s="23">
        <v>1</v>
      </c>
      <c r="K48" s="23"/>
      <c r="L48" s="23"/>
    </row>
    <row r="49" spans="1:12" ht="51.75" thickBot="1" x14ac:dyDescent="0.3">
      <c r="A49" s="19" t="s">
        <v>77</v>
      </c>
      <c r="B49" s="60" t="s">
        <v>78</v>
      </c>
      <c r="C49" s="51" t="s">
        <v>17</v>
      </c>
      <c r="D49" s="20" t="s">
        <v>27</v>
      </c>
      <c r="E49" s="24">
        <v>5</v>
      </c>
      <c r="F49" s="24">
        <v>6</v>
      </c>
      <c r="G49" s="24">
        <v>6.9</v>
      </c>
      <c r="H49" s="60" t="s">
        <v>79</v>
      </c>
      <c r="I49" s="22" t="s">
        <v>22</v>
      </c>
      <c r="J49" s="23">
        <v>1</v>
      </c>
      <c r="K49" s="23">
        <v>1</v>
      </c>
      <c r="L49" s="23">
        <v>1</v>
      </c>
    </row>
    <row r="50" spans="1:12" ht="26.25" thickBot="1" x14ac:dyDescent="0.3">
      <c r="A50" s="25" t="s">
        <v>80</v>
      </c>
      <c r="B50" s="59" t="s">
        <v>81</v>
      </c>
      <c r="C50" s="50"/>
      <c r="D50" s="26"/>
      <c r="E50" s="27">
        <f>SUM(E51:E52)</f>
        <v>23.3</v>
      </c>
      <c r="F50" s="27">
        <f>SUM(F51:F52)</f>
        <v>24.6</v>
      </c>
      <c r="G50" s="27">
        <f>SUM(G51:G52)</f>
        <v>26</v>
      </c>
      <c r="H50" s="59"/>
      <c r="I50" s="28"/>
      <c r="J50" s="29"/>
      <c r="K50" s="29"/>
      <c r="L50" s="29"/>
    </row>
    <row r="51" spans="1:12" ht="51.75" thickBot="1" x14ac:dyDescent="0.3">
      <c r="A51" s="19" t="s">
        <v>82</v>
      </c>
      <c r="B51" s="60" t="s">
        <v>83</v>
      </c>
      <c r="C51" s="51" t="s">
        <v>17</v>
      </c>
      <c r="D51" s="20" t="s">
        <v>27</v>
      </c>
      <c r="E51" s="24">
        <v>13.3</v>
      </c>
      <c r="F51" s="24">
        <v>14.6</v>
      </c>
      <c r="G51" s="24">
        <v>16</v>
      </c>
      <c r="H51" s="60" t="s">
        <v>84</v>
      </c>
      <c r="I51" s="22" t="s">
        <v>22</v>
      </c>
      <c r="J51" s="23">
        <v>2</v>
      </c>
      <c r="K51" s="23">
        <v>2</v>
      </c>
      <c r="L51" s="23">
        <v>2</v>
      </c>
    </row>
    <row r="52" spans="1:12" ht="51.75" thickBot="1" x14ac:dyDescent="0.3">
      <c r="A52" s="19" t="s">
        <v>85</v>
      </c>
      <c r="B52" s="60" t="s">
        <v>86</v>
      </c>
      <c r="C52" s="51" t="s">
        <v>17</v>
      </c>
      <c r="D52" s="20" t="s">
        <v>27</v>
      </c>
      <c r="E52" s="24">
        <v>10</v>
      </c>
      <c r="F52" s="24">
        <v>10</v>
      </c>
      <c r="G52" s="24">
        <v>10</v>
      </c>
      <c r="H52" s="60" t="s">
        <v>87</v>
      </c>
      <c r="I52" s="22" t="s">
        <v>22</v>
      </c>
      <c r="J52" s="23">
        <v>6</v>
      </c>
      <c r="K52" s="23">
        <v>6</v>
      </c>
      <c r="L52" s="23">
        <v>6</v>
      </c>
    </row>
    <row r="53" spans="1:12" ht="27" customHeight="1" thickBot="1" x14ac:dyDescent="0.3">
      <c r="A53" s="35" t="s">
        <v>88</v>
      </c>
      <c r="B53" s="71" t="s">
        <v>89</v>
      </c>
      <c r="C53" s="72" t="s">
        <v>90</v>
      </c>
      <c r="D53" s="73"/>
      <c r="E53" s="74">
        <f>E54+E98</f>
        <v>7492.5999999999995</v>
      </c>
      <c r="F53" s="74">
        <f>F54+F98</f>
        <v>6652.6</v>
      </c>
      <c r="G53" s="74">
        <f>G54+G98</f>
        <v>5481.5</v>
      </c>
      <c r="H53" s="71" t="s">
        <v>89</v>
      </c>
      <c r="I53" s="75"/>
      <c r="J53" s="76"/>
      <c r="K53" s="39"/>
      <c r="L53" s="39"/>
    </row>
    <row r="54" spans="1:12" ht="51" x14ac:dyDescent="0.25">
      <c r="A54" s="30" t="s">
        <v>91</v>
      </c>
      <c r="B54" s="58" t="s">
        <v>92</v>
      </c>
      <c r="C54" s="49"/>
      <c r="D54" s="31"/>
      <c r="E54" s="32">
        <f>E55+E56+E57+E69</f>
        <v>7166.7</v>
      </c>
      <c r="F54" s="32">
        <f>F55+F56+F57+F69</f>
        <v>6625</v>
      </c>
      <c r="G54" s="32">
        <f>G55+G56+G57+G69</f>
        <v>5452.5</v>
      </c>
      <c r="H54" s="58" t="s">
        <v>93</v>
      </c>
      <c r="I54" s="33" t="s">
        <v>18</v>
      </c>
      <c r="J54" s="34">
        <v>1.5</v>
      </c>
      <c r="K54" s="34">
        <v>2</v>
      </c>
      <c r="L54" s="34">
        <v>2.5</v>
      </c>
    </row>
    <row r="55" spans="1:12" x14ac:dyDescent="0.25">
      <c r="A55" s="15"/>
      <c r="B55" s="61"/>
      <c r="C55" s="52"/>
      <c r="D55" s="16"/>
      <c r="E55" s="4">
        <v>0</v>
      </c>
      <c r="F55" s="4">
        <v>0</v>
      </c>
      <c r="G55" s="4">
        <v>0</v>
      </c>
      <c r="H55" s="61" t="s">
        <v>94</v>
      </c>
      <c r="I55" s="17" t="s">
        <v>18</v>
      </c>
      <c r="J55" s="18">
        <v>1.5</v>
      </c>
      <c r="K55" s="18">
        <v>2</v>
      </c>
      <c r="L55" s="18">
        <v>2.5</v>
      </c>
    </row>
    <row r="56" spans="1:12" ht="15.75" thickBot="1" x14ac:dyDescent="0.3">
      <c r="A56" s="15"/>
      <c r="B56" s="61"/>
      <c r="C56" s="52"/>
      <c r="D56" s="16"/>
      <c r="E56" s="4">
        <v>0</v>
      </c>
      <c r="F56" s="4">
        <v>0</v>
      </c>
      <c r="G56" s="4">
        <v>0</v>
      </c>
      <c r="H56" s="61" t="s">
        <v>95</v>
      </c>
      <c r="I56" s="17" t="s">
        <v>22</v>
      </c>
      <c r="J56" s="18">
        <v>3</v>
      </c>
      <c r="K56" s="18">
        <v>1</v>
      </c>
      <c r="L56" s="18"/>
    </row>
    <row r="57" spans="1:12" ht="51.75" thickBot="1" x14ac:dyDescent="0.3">
      <c r="A57" s="25" t="s">
        <v>96</v>
      </c>
      <c r="B57" s="59" t="s">
        <v>97</v>
      </c>
      <c r="C57" s="50"/>
      <c r="D57" s="26"/>
      <c r="E57" s="27">
        <f>E58+E59+E60+E62</f>
        <v>615.70000000000005</v>
      </c>
      <c r="F57" s="27">
        <f>F58+F59+F60+F62</f>
        <v>714</v>
      </c>
      <c r="G57" s="27">
        <f>G58+G59+G60+G62</f>
        <v>728.9</v>
      </c>
      <c r="H57" s="59"/>
      <c r="I57" s="28"/>
      <c r="J57" s="29"/>
      <c r="K57" s="29"/>
      <c r="L57" s="29"/>
    </row>
    <row r="58" spans="1:12" ht="26.25" thickBot="1" x14ac:dyDescent="0.3">
      <c r="A58" s="19" t="s">
        <v>98</v>
      </c>
      <c r="B58" s="60" t="s">
        <v>99</v>
      </c>
      <c r="C58" s="51" t="s">
        <v>90</v>
      </c>
      <c r="D58" s="20" t="s">
        <v>27</v>
      </c>
      <c r="E58" s="24">
        <v>45</v>
      </c>
      <c r="F58" s="24">
        <v>46</v>
      </c>
      <c r="G58" s="24">
        <v>49</v>
      </c>
      <c r="H58" s="60" t="s">
        <v>100</v>
      </c>
      <c r="I58" s="22" t="s">
        <v>22</v>
      </c>
      <c r="J58" s="23">
        <v>30</v>
      </c>
      <c r="K58" s="23">
        <v>35</v>
      </c>
      <c r="L58" s="23">
        <v>40</v>
      </c>
    </row>
    <row r="59" spans="1:12" ht="15.75" thickBot="1" x14ac:dyDescent="0.3">
      <c r="A59" s="19" t="s">
        <v>101</v>
      </c>
      <c r="B59" s="60" t="s">
        <v>102</v>
      </c>
      <c r="C59" s="51" t="s">
        <v>90</v>
      </c>
      <c r="D59" s="20" t="s">
        <v>27</v>
      </c>
      <c r="E59" s="24">
        <v>26.2</v>
      </c>
      <c r="F59" s="24">
        <v>26.2</v>
      </c>
      <c r="G59" s="24">
        <v>26.2</v>
      </c>
      <c r="H59" s="60" t="s">
        <v>103</v>
      </c>
      <c r="I59" s="22" t="s">
        <v>22</v>
      </c>
      <c r="J59" s="23">
        <v>11</v>
      </c>
      <c r="K59" s="23">
        <v>11</v>
      </c>
      <c r="L59" s="23">
        <v>11</v>
      </c>
    </row>
    <row r="60" spans="1:12" ht="51" x14ac:dyDescent="0.25">
      <c r="A60" s="19" t="s">
        <v>104</v>
      </c>
      <c r="B60" s="60" t="s">
        <v>105</v>
      </c>
      <c r="C60" s="51" t="s">
        <v>90</v>
      </c>
      <c r="D60" s="20" t="s">
        <v>27</v>
      </c>
      <c r="E60" s="21">
        <f>SUM(E61:E61)+250</f>
        <v>250</v>
      </c>
      <c r="F60" s="21">
        <f>SUM(F61:F61)+250</f>
        <v>250</v>
      </c>
      <c r="G60" s="21">
        <f>SUM(G61:G61)+253</f>
        <v>253</v>
      </c>
      <c r="H60" s="60" t="s">
        <v>106</v>
      </c>
      <c r="I60" s="22" t="s">
        <v>22</v>
      </c>
      <c r="J60" s="23">
        <v>7</v>
      </c>
      <c r="K60" s="23">
        <v>7</v>
      </c>
      <c r="L60" s="23">
        <v>7</v>
      </c>
    </row>
    <row r="61" spans="1:12" ht="15.75" thickBot="1" x14ac:dyDescent="0.3">
      <c r="A61" s="15"/>
      <c r="B61" s="61"/>
      <c r="C61" s="52"/>
      <c r="D61" s="16"/>
      <c r="E61" s="4">
        <v>0</v>
      </c>
      <c r="F61" s="4">
        <v>0</v>
      </c>
      <c r="G61" s="4">
        <v>0</v>
      </c>
      <c r="H61" s="61" t="s">
        <v>107</v>
      </c>
      <c r="I61" s="17" t="s">
        <v>22</v>
      </c>
      <c r="J61" s="18">
        <v>1</v>
      </c>
      <c r="K61" s="18">
        <v>2</v>
      </c>
      <c r="L61" s="18">
        <v>2</v>
      </c>
    </row>
    <row r="62" spans="1:12" ht="38.25" x14ac:dyDescent="0.25">
      <c r="A62" s="19" t="s">
        <v>108</v>
      </c>
      <c r="B62" s="60" t="s">
        <v>109</v>
      </c>
      <c r="C62" s="51" t="s">
        <v>90</v>
      </c>
      <c r="D62" s="20" t="s">
        <v>27</v>
      </c>
      <c r="E62" s="21">
        <f>SUM(E63:E68)+294.5</f>
        <v>294.5</v>
      </c>
      <c r="F62" s="21">
        <f>SUM(F63:F68)+391.8</f>
        <v>391.8</v>
      </c>
      <c r="G62" s="21">
        <f>SUM(G63:G68)+400.7</f>
        <v>400.7</v>
      </c>
      <c r="H62" s="60" t="s">
        <v>110</v>
      </c>
      <c r="I62" s="22" t="s">
        <v>22</v>
      </c>
      <c r="J62" s="23">
        <v>1</v>
      </c>
      <c r="K62" s="23">
        <v>1</v>
      </c>
      <c r="L62" s="23">
        <v>1</v>
      </c>
    </row>
    <row r="63" spans="1:12" x14ac:dyDescent="0.25">
      <c r="A63" s="15"/>
      <c r="B63" s="61"/>
      <c r="C63" s="52"/>
      <c r="D63" s="16"/>
      <c r="E63" s="4">
        <v>0</v>
      </c>
      <c r="F63" s="4">
        <v>0</v>
      </c>
      <c r="G63" s="4">
        <v>0</v>
      </c>
      <c r="H63" s="61" t="s">
        <v>111</v>
      </c>
      <c r="I63" s="17" t="s">
        <v>22</v>
      </c>
      <c r="J63" s="18">
        <v>8</v>
      </c>
      <c r="K63" s="18">
        <v>8</v>
      </c>
      <c r="L63" s="18">
        <v>8</v>
      </c>
    </row>
    <row r="64" spans="1:12" ht="25.5" x14ac:dyDescent="0.25">
      <c r="A64" s="15"/>
      <c r="B64" s="61"/>
      <c r="C64" s="52"/>
      <c r="D64" s="16"/>
      <c r="E64" s="4">
        <v>0</v>
      </c>
      <c r="F64" s="4">
        <v>0</v>
      </c>
      <c r="G64" s="4">
        <v>0</v>
      </c>
      <c r="H64" s="61" t="s">
        <v>112</v>
      </c>
      <c r="I64" s="17" t="s">
        <v>22</v>
      </c>
      <c r="J64" s="18">
        <v>40</v>
      </c>
      <c r="K64" s="18">
        <v>45</v>
      </c>
      <c r="L64" s="18">
        <v>50</v>
      </c>
    </row>
    <row r="65" spans="1:12" ht="25.5" x14ac:dyDescent="0.25">
      <c r="A65" s="15"/>
      <c r="B65" s="61"/>
      <c r="C65" s="52"/>
      <c r="D65" s="16"/>
      <c r="E65" s="4">
        <v>0</v>
      </c>
      <c r="F65" s="4">
        <v>0</v>
      </c>
      <c r="G65" s="4">
        <v>0</v>
      </c>
      <c r="H65" s="61" t="s">
        <v>113</v>
      </c>
      <c r="I65" s="17" t="s">
        <v>22</v>
      </c>
      <c r="J65" s="18">
        <v>12</v>
      </c>
      <c r="K65" s="18">
        <v>12</v>
      </c>
      <c r="L65" s="18">
        <v>12</v>
      </c>
    </row>
    <row r="66" spans="1:12" x14ac:dyDescent="0.25">
      <c r="A66" s="15"/>
      <c r="B66" s="61"/>
      <c r="C66" s="52"/>
      <c r="D66" s="16"/>
      <c r="E66" s="4">
        <v>0</v>
      </c>
      <c r="F66" s="4">
        <v>0</v>
      </c>
      <c r="G66" s="4">
        <v>0</v>
      </c>
      <c r="H66" s="61" t="s">
        <v>114</v>
      </c>
      <c r="I66" s="17" t="s">
        <v>22</v>
      </c>
      <c r="J66" s="18">
        <v>3</v>
      </c>
      <c r="K66" s="18">
        <v>3</v>
      </c>
      <c r="L66" s="18">
        <v>3</v>
      </c>
    </row>
    <row r="67" spans="1:12" x14ac:dyDescent="0.25">
      <c r="A67" s="15"/>
      <c r="B67" s="61"/>
      <c r="C67" s="52"/>
      <c r="D67" s="16"/>
      <c r="E67" s="4">
        <v>0</v>
      </c>
      <c r="F67" s="4">
        <v>0</v>
      </c>
      <c r="G67" s="4">
        <v>0</v>
      </c>
      <c r="H67" s="61" t="s">
        <v>115</v>
      </c>
      <c r="I67" s="17" t="s">
        <v>22</v>
      </c>
      <c r="J67" s="18">
        <v>31</v>
      </c>
      <c r="K67" s="18">
        <v>31</v>
      </c>
      <c r="L67" s="18">
        <v>31</v>
      </c>
    </row>
    <row r="68" spans="1:12" ht="15.75" thickBot="1" x14ac:dyDescent="0.3">
      <c r="A68" s="15"/>
      <c r="B68" s="61"/>
      <c r="C68" s="52"/>
      <c r="D68" s="16"/>
      <c r="E68" s="4">
        <v>0</v>
      </c>
      <c r="F68" s="4">
        <v>0</v>
      </c>
      <c r="G68" s="4">
        <v>0</v>
      </c>
      <c r="H68" s="61" t="s">
        <v>116</v>
      </c>
      <c r="I68" s="17" t="s">
        <v>22</v>
      </c>
      <c r="J68" s="18">
        <v>10</v>
      </c>
      <c r="K68" s="18">
        <v>15</v>
      </c>
      <c r="L68" s="18">
        <v>20</v>
      </c>
    </row>
    <row r="69" spans="1:12" ht="26.25" thickBot="1" x14ac:dyDescent="0.3">
      <c r="A69" s="25" t="s">
        <v>117</v>
      </c>
      <c r="B69" s="59" t="s">
        <v>118</v>
      </c>
      <c r="C69" s="50"/>
      <c r="D69" s="26"/>
      <c r="E69" s="27">
        <f>E70+E81+E82+E85+E89+E92+E96+E97</f>
        <v>6551</v>
      </c>
      <c r="F69" s="27">
        <f>F70+F81+F82+F85+F89+F92+F96+F97</f>
        <v>5911</v>
      </c>
      <c r="G69" s="27">
        <f>G70+G81+G82+G85+G89+G92+G96+G97</f>
        <v>4723.6000000000004</v>
      </c>
      <c r="H69" s="59"/>
      <c r="I69" s="28"/>
      <c r="J69" s="29"/>
      <c r="K69" s="29"/>
      <c r="L69" s="29"/>
    </row>
    <row r="70" spans="1:12" x14ac:dyDescent="0.25">
      <c r="A70" s="19" t="s">
        <v>119</v>
      </c>
      <c r="B70" s="60" t="s">
        <v>120</v>
      </c>
      <c r="C70" s="51" t="s">
        <v>90</v>
      </c>
      <c r="D70" s="20"/>
      <c r="E70" s="21">
        <f>SUM(E71:E80)</f>
        <v>4806.3</v>
      </c>
      <c r="F70" s="21">
        <f>SUM(F71:F80)</f>
        <v>4611</v>
      </c>
      <c r="G70" s="21">
        <f>SUM(G71:G80)</f>
        <v>4723.6000000000004</v>
      </c>
      <c r="H70" s="60" t="s">
        <v>121</v>
      </c>
      <c r="I70" s="22" t="s">
        <v>22</v>
      </c>
      <c r="J70" s="23">
        <v>61</v>
      </c>
      <c r="K70" s="23">
        <v>62</v>
      </c>
      <c r="L70" s="23">
        <v>62</v>
      </c>
    </row>
    <row r="71" spans="1:12" x14ac:dyDescent="0.25">
      <c r="A71" s="15"/>
      <c r="B71" s="61"/>
      <c r="C71" s="52"/>
      <c r="D71" s="16" t="s">
        <v>36</v>
      </c>
      <c r="E71" s="4">
        <v>39.200000000000003</v>
      </c>
      <c r="F71" s="4">
        <v>0</v>
      </c>
      <c r="G71" s="4">
        <v>0</v>
      </c>
      <c r="H71" s="61" t="s">
        <v>122</v>
      </c>
      <c r="I71" s="17" t="s">
        <v>22</v>
      </c>
      <c r="J71" s="18">
        <v>177</v>
      </c>
      <c r="K71" s="18">
        <v>286</v>
      </c>
      <c r="L71" s="18">
        <v>297</v>
      </c>
    </row>
    <row r="72" spans="1:12" x14ac:dyDescent="0.25">
      <c r="A72" s="15"/>
      <c r="B72" s="61"/>
      <c r="C72" s="52"/>
      <c r="D72" s="16" t="s">
        <v>123</v>
      </c>
      <c r="E72" s="4">
        <v>181.1</v>
      </c>
      <c r="F72" s="4">
        <v>204.7</v>
      </c>
      <c r="G72" s="4">
        <v>216.5</v>
      </c>
      <c r="H72" s="61" t="s">
        <v>124</v>
      </c>
      <c r="I72" s="17" t="s">
        <v>22</v>
      </c>
      <c r="J72" s="18">
        <v>664</v>
      </c>
      <c r="K72" s="18">
        <v>792</v>
      </c>
      <c r="L72" s="18">
        <v>806</v>
      </c>
    </row>
    <row r="73" spans="1:12" x14ac:dyDescent="0.25">
      <c r="A73" s="15"/>
      <c r="B73" s="61"/>
      <c r="C73" s="52"/>
      <c r="D73" s="16" t="s">
        <v>27</v>
      </c>
      <c r="E73" s="4">
        <v>4246</v>
      </c>
      <c r="F73" s="4">
        <v>4085.4</v>
      </c>
      <c r="G73" s="4">
        <v>4175.3</v>
      </c>
      <c r="H73" s="61" t="s">
        <v>125</v>
      </c>
      <c r="I73" s="17" t="s">
        <v>22</v>
      </c>
      <c r="J73" s="18">
        <v>29</v>
      </c>
      <c r="K73" s="18">
        <v>28</v>
      </c>
      <c r="L73" s="18">
        <v>28</v>
      </c>
    </row>
    <row r="74" spans="1:12" ht="25.5" x14ac:dyDescent="0.25">
      <c r="A74" s="15"/>
      <c r="B74" s="61"/>
      <c r="C74" s="52"/>
      <c r="D74" s="16" t="s">
        <v>126</v>
      </c>
      <c r="E74" s="4">
        <v>40</v>
      </c>
      <c r="F74" s="4">
        <v>40.700000000000003</v>
      </c>
      <c r="G74" s="4">
        <v>41.6</v>
      </c>
      <c r="H74" s="61" t="s">
        <v>127</v>
      </c>
      <c r="I74" s="17" t="s">
        <v>22</v>
      </c>
      <c r="J74" s="65">
        <v>156600</v>
      </c>
      <c r="K74" s="65">
        <v>158950</v>
      </c>
      <c r="L74" s="65">
        <v>160850</v>
      </c>
    </row>
    <row r="75" spans="1:12" x14ac:dyDescent="0.25">
      <c r="A75" s="15"/>
      <c r="B75" s="61"/>
      <c r="C75" s="52"/>
      <c r="D75" s="16" t="s">
        <v>128</v>
      </c>
      <c r="E75" s="4">
        <v>154.30000000000001</v>
      </c>
      <c r="F75" s="4">
        <v>156.80000000000001</v>
      </c>
      <c r="G75" s="4">
        <v>158.80000000000001</v>
      </c>
      <c r="H75" s="61" t="s">
        <v>129</v>
      </c>
      <c r="I75" s="17" t="s">
        <v>22</v>
      </c>
      <c r="J75" s="65">
        <v>119900</v>
      </c>
      <c r="K75" s="65">
        <v>175400</v>
      </c>
      <c r="L75" s="65">
        <v>183950</v>
      </c>
    </row>
    <row r="76" spans="1:12" ht="25.5" x14ac:dyDescent="0.25">
      <c r="A76" s="15"/>
      <c r="B76" s="61"/>
      <c r="C76" s="52"/>
      <c r="D76" s="16" t="s">
        <v>130</v>
      </c>
      <c r="E76" s="4">
        <v>144.19999999999999</v>
      </c>
      <c r="F76" s="4">
        <v>121.9</v>
      </c>
      <c r="G76" s="4">
        <v>131.4</v>
      </c>
      <c r="H76" s="61" t="s">
        <v>131</v>
      </c>
      <c r="I76" s="17" t="s">
        <v>22</v>
      </c>
      <c r="J76" s="65">
        <v>11100</v>
      </c>
      <c r="K76" s="65">
        <v>11300</v>
      </c>
      <c r="L76" s="65">
        <v>11600</v>
      </c>
    </row>
    <row r="77" spans="1:12" ht="25.5" x14ac:dyDescent="0.25">
      <c r="A77" s="15"/>
      <c r="B77" s="61"/>
      <c r="C77" s="52"/>
      <c r="D77" s="16" t="s">
        <v>132</v>
      </c>
      <c r="E77" s="4">
        <v>1.5</v>
      </c>
      <c r="F77" s="4">
        <v>1.5</v>
      </c>
      <c r="G77" s="4">
        <v>0</v>
      </c>
      <c r="H77" s="61" t="s">
        <v>133</v>
      </c>
      <c r="I77" s="17" t="s">
        <v>22</v>
      </c>
      <c r="J77" s="65">
        <v>12300</v>
      </c>
      <c r="K77" s="65">
        <v>12700</v>
      </c>
      <c r="L77" s="65">
        <v>13100</v>
      </c>
    </row>
    <row r="78" spans="1:12" ht="25.5" x14ac:dyDescent="0.25">
      <c r="A78" s="15"/>
      <c r="B78" s="61"/>
      <c r="C78" s="52"/>
      <c r="D78" s="16"/>
      <c r="E78" s="4">
        <v>0</v>
      </c>
      <c r="F78" s="4">
        <v>0</v>
      </c>
      <c r="G78" s="4">
        <v>0</v>
      </c>
      <c r="H78" s="61" t="s">
        <v>134</v>
      </c>
      <c r="I78" s="17" t="s">
        <v>22</v>
      </c>
      <c r="J78" s="65">
        <v>2500</v>
      </c>
      <c r="K78" s="65">
        <v>3000</v>
      </c>
      <c r="L78" s="65">
        <v>3500</v>
      </c>
    </row>
    <row r="79" spans="1:12" x14ac:dyDescent="0.25">
      <c r="A79" s="15"/>
      <c r="B79" s="61"/>
      <c r="C79" s="52"/>
      <c r="D79" s="16"/>
      <c r="E79" s="4">
        <v>0</v>
      </c>
      <c r="F79" s="4">
        <v>0</v>
      </c>
      <c r="G79" s="4">
        <v>0</v>
      </c>
      <c r="H79" s="61" t="s">
        <v>135</v>
      </c>
      <c r="I79" s="17" t="s">
        <v>22</v>
      </c>
      <c r="J79" s="65">
        <v>533</v>
      </c>
      <c r="K79" s="65">
        <v>575</v>
      </c>
      <c r="L79" s="65">
        <v>575</v>
      </c>
    </row>
    <row r="80" spans="1:12" ht="15.75" thickBot="1" x14ac:dyDescent="0.3">
      <c r="A80" s="15"/>
      <c r="B80" s="61"/>
      <c r="C80" s="52"/>
      <c r="D80" s="16"/>
      <c r="E80" s="4">
        <v>0</v>
      </c>
      <c r="F80" s="4">
        <v>0</v>
      </c>
      <c r="G80" s="4">
        <v>0</v>
      </c>
      <c r="H80" s="61" t="s">
        <v>136</v>
      </c>
      <c r="I80" s="17" t="s">
        <v>22</v>
      </c>
      <c r="J80" s="65">
        <v>9682</v>
      </c>
      <c r="K80" s="65">
        <v>11457</v>
      </c>
      <c r="L80" s="65">
        <v>11637</v>
      </c>
    </row>
    <row r="81" spans="1:12" ht="30.75" thickBot="1" x14ac:dyDescent="0.3">
      <c r="A81" s="19" t="s">
        <v>137</v>
      </c>
      <c r="B81" s="60" t="s">
        <v>138</v>
      </c>
      <c r="C81" s="51" t="s">
        <v>139</v>
      </c>
      <c r="D81" s="20" t="s">
        <v>36</v>
      </c>
      <c r="E81" s="24">
        <v>0.5</v>
      </c>
      <c r="F81" s="24">
        <v>0</v>
      </c>
      <c r="G81" s="24">
        <v>0</v>
      </c>
      <c r="H81" s="82" t="s">
        <v>1155</v>
      </c>
      <c r="I81" s="22" t="s">
        <v>22</v>
      </c>
      <c r="J81" s="23">
        <v>1</v>
      </c>
      <c r="K81" s="23"/>
      <c r="L81" s="60"/>
    </row>
    <row r="82" spans="1:12" ht="38.25" x14ac:dyDescent="0.25">
      <c r="A82" s="19" t="s">
        <v>140</v>
      </c>
      <c r="B82" s="60" t="s">
        <v>141</v>
      </c>
      <c r="C82" s="51" t="s">
        <v>142</v>
      </c>
      <c r="D82" s="20"/>
      <c r="E82" s="21">
        <f>SUM(E83:E84)</f>
        <v>1450.1</v>
      </c>
      <c r="F82" s="21">
        <f>SUM(F83:F84)</f>
        <v>0</v>
      </c>
      <c r="G82" s="21">
        <f>SUM(G83:G84)</f>
        <v>0</v>
      </c>
      <c r="H82" s="60" t="s">
        <v>143</v>
      </c>
      <c r="I82" s="22" t="s">
        <v>18</v>
      </c>
      <c r="J82" s="23">
        <v>100</v>
      </c>
      <c r="K82" s="23"/>
      <c r="L82" s="23"/>
    </row>
    <row r="83" spans="1:12" x14ac:dyDescent="0.25">
      <c r="A83" s="15"/>
      <c r="B83" s="61"/>
      <c r="C83" s="52"/>
      <c r="D83" s="16" t="s">
        <v>36</v>
      </c>
      <c r="E83" s="4">
        <v>700.1</v>
      </c>
      <c r="F83" s="4">
        <v>0</v>
      </c>
      <c r="G83" s="4">
        <v>0</v>
      </c>
      <c r="H83" s="61"/>
      <c r="I83" s="17"/>
      <c r="J83" s="18"/>
      <c r="K83" s="18"/>
      <c r="L83" s="18"/>
    </row>
    <row r="84" spans="1:12" ht="15.75" thickBot="1" x14ac:dyDescent="0.3">
      <c r="A84" s="15"/>
      <c r="B84" s="61"/>
      <c r="C84" s="52"/>
      <c r="D84" s="16" t="s">
        <v>27</v>
      </c>
      <c r="E84" s="4">
        <v>750</v>
      </c>
      <c r="F84" s="4">
        <v>0</v>
      </c>
      <c r="G84" s="4">
        <v>0</v>
      </c>
      <c r="H84" s="61"/>
      <c r="I84" s="17"/>
      <c r="J84" s="18"/>
      <c r="K84" s="18"/>
      <c r="L84" s="18"/>
    </row>
    <row r="85" spans="1:12" ht="51" x14ac:dyDescent="0.25">
      <c r="A85" s="19" t="s">
        <v>144</v>
      </c>
      <c r="B85" s="60" t="s">
        <v>145</v>
      </c>
      <c r="C85" s="51" t="s">
        <v>146</v>
      </c>
      <c r="D85" s="20"/>
      <c r="E85" s="21">
        <f>SUM(E86:E88)</f>
        <v>0</v>
      </c>
      <c r="F85" s="21">
        <f>SUM(F86:F88)</f>
        <v>700</v>
      </c>
      <c r="G85" s="21">
        <f>SUM(G86:G88)</f>
        <v>0</v>
      </c>
      <c r="H85" s="60" t="s">
        <v>143</v>
      </c>
      <c r="I85" s="22" t="s">
        <v>18</v>
      </c>
      <c r="J85" s="23"/>
      <c r="K85" s="23">
        <v>100</v>
      </c>
      <c r="L85" s="23"/>
    </row>
    <row r="86" spans="1:12" x14ac:dyDescent="0.25">
      <c r="A86" s="15"/>
      <c r="B86" s="61"/>
      <c r="C86" s="52"/>
      <c r="D86" s="16" t="s">
        <v>27</v>
      </c>
      <c r="E86" s="4">
        <v>0</v>
      </c>
      <c r="F86" s="4">
        <v>238</v>
      </c>
      <c r="G86" s="4">
        <v>0</v>
      </c>
      <c r="H86" s="61"/>
      <c r="I86" s="17"/>
      <c r="J86" s="18"/>
      <c r="K86" s="18"/>
      <c r="L86" s="18"/>
    </row>
    <row r="87" spans="1:12" x14ac:dyDescent="0.25">
      <c r="A87" s="15"/>
      <c r="B87" s="61"/>
      <c r="C87" s="52"/>
      <c r="D87" s="16" t="s">
        <v>126</v>
      </c>
      <c r="E87" s="4">
        <v>0</v>
      </c>
      <c r="F87" s="4">
        <v>106.6</v>
      </c>
      <c r="G87" s="4">
        <v>0</v>
      </c>
      <c r="H87" s="61"/>
      <c r="I87" s="17"/>
      <c r="J87" s="18"/>
      <c r="K87" s="18"/>
      <c r="L87" s="18"/>
    </row>
    <row r="88" spans="1:12" ht="15.75" thickBot="1" x14ac:dyDescent="0.3">
      <c r="A88" s="15"/>
      <c r="B88" s="61"/>
      <c r="C88" s="52"/>
      <c r="D88" s="16" t="s">
        <v>147</v>
      </c>
      <c r="E88" s="4">
        <v>0</v>
      </c>
      <c r="F88" s="4">
        <v>355.4</v>
      </c>
      <c r="G88" s="4">
        <v>0</v>
      </c>
      <c r="H88" s="61"/>
      <c r="I88" s="17"/>
      <c r="J88" s="18"/>
      <c r="K88" s="18"/>
      <c r="L88" s="18"/>
    </row>
    <row r="89" spans="1:12" ht="51" x14ac:dyDescent="0.25">
      <c r="A89" s="19" t="s">
        <v>148</v>
      </c>
      <c r="B89" s="60" t="s">
        <v>149</v>
      </c>
      <c r="C89" s="51" t="s">
        <v>150</v>
      </c>
      <c r="D89" s="20"/>
      <c r="E89" s="21">
        <f>SUM(E90:E91)</f>
        <v>267.8</v>
      </c>
      <c r="F89" s="21">
        <f>SUM(F90:F91)</f>
        <v>0</v>
      </c>
      <c r="G89" s="21">
        <f>SUM(G90:G91)</f>
        <v>0</v>
      </c>
      <c r="H89" s="60" t="s">
        <v>143</v>
      </c>
      <c r="I89" s="22" t="s">
        <v>18</v>
      </c>
      <c r="J89" s="23">
        <v>100</v>
      </c>
      <c r="K89" s="23"/>
      <c r="L89" s="23"/>
    </row>
    <row r="90" spans="1:12" x14ac:dyDescent="0.25">
      <c r="A90" s="15"/>
      <c r="B90" s="61"/>
      <c r="C90" s="52"/>
      <c r="D90" s="16" t="s">
        <v>27</v>
      </c>
      <c r="E90" s="4">
        <v>227.1</v>
      </c>
      <c r="F90" s="4">
        <v>0</v>
      </c>
      <c r="G90" s="4">
        <v>0</v>
      </c>
      <c r="H90" s="61"/>
      <c r="I90" s="17"/>
      <c r="J90" s="18"/>
      <c r="K90" s="18"/>
      <c r="L90" s="18"/>
    </row>
    <row r="91" spans="1:12" ht="15.75" thickBot="1" x14ac:dyDescent="0.3">
      <c r="A91" s="15"/>
      <c r="B91" s="61"/>
      <c r="C91" s="52"/>
      <c r="D91" s="16" t="s">
        <v>36</v>
      </c>
      <c r="E91" s="4">
        <v>40.700000000000003</v>
      </c>
      <c r="F91" s="4">
        <v>0</v>
      </c>
      <c r="G91" s="4">
        <v>0</v>
      </c>
      <c r="H91" s="61"/>
      <c r="I91" s="17"/>
      <c r="J91" s="18"/>
      <c r="K91" s="18"/>
      <c r="L91" s="18"/>
    </row>
    <row r="92" spans="1:12" ht="51" x14ac:dyDescent="0.25">
      <c r="A92" s="19" t="s">
        <v>151</v>
      </c>
      <c r="B92" s="60" t="s">
        <v>152</v>
      </c>
      <c r="C92" s="51" t="s">
        <v>150</v>
      </c>
      <c r="D92" s="20"/>
      <c r="E92" s="21">
        <f>SUM(E93:E95)</f>
        <v>0</v>
      </c>
      <c r="F92" s="21">
        <f>SUM(F93:F95)</f>
        <v>600</v>
      </c>
      <c r="G92" s="21">
        <f>SUM(G93:G95)</f>
        <v>0</v>
      </c>
      <c r="H92" s="60" t="s">
        <v>143</v>
      </c>
      <c r="I92" s="22" t="s">
        <v>18</v>
      </c>
      <c r="J92" s="23"/>
      <c r="K92" s="23">
        <v>100</v>
      </c>
      <c r="L92" s="23"/>
    </row>
    <row r="93" spans="1:12" x14ac:dyDescent="0.25">
      <c r="A93" s="15"/>
      <c r="B93" s="61"/>
      <c r="C93" s="52"/>
      <c r="D93" s="16" t="s">
        <v>27</v>
      </c>
      <c r="E93" s="4">
        <v>0</v>
      </c>
      <c r="F93" s="4">
        <v>276.3</v>
      </c>
      <c r="G93" s="4">
        <v>0</v>
      </c>
      <c r="H93" s="61"/>
      <c r="I93" s="17"/>
      <c r="J93" s="18"/>
      <c r="K93" s="18"/>
      <c r="L93" s="18"/>
    </row>
    <row r="94" spans="1:12" x14ac:dyDescent="0.25">
      <c r="A94" s="15"/>
      <c r="B94" s="61"/>
      <c r="C94" s="52"/>
      <c r="D94" s="16" t="s">
        <v>126</v>
      </c>
      <c r="E94" s="4">
        <v>0</v>
      </c>
      <c r="F94" s="4">
        <v>74.7</v>
      </c>
      <c r="G94" s="4">
        <v>0</v>
      </c>
      <c r="H94" s="61"/>
      <c r="I94" s="17"/>
      <c r="J94" s="18"/>
      <c r="K94" s="18"/>
      <c r="L94" s="18"/>
    </row>
    <row r="95" spans="1:12" ht="15.75" thickBot="1" x14ac:dyDescent="0.3">
      <c r="A95" s="15"/>
      <c r="B95" s="61"/>
      <c r="C95" s="52"/>
      <c r="D95" s="16" t="s">
        <v>147</v>
      </c>
      <c r="E95" s="4">
        <v>0</v>
      </c>
      <c r="F95" s="4">
        <v>249</v>
      </c>
      <c r="G95" s="4">
        <v>0</v>
      </c>
      <c r="H95" s="61"/>
      <c r="I95" s="17"/>
      <c r="J95" s="18"/>
      <c r="K95" s="18"/>
      <c r="L95" s="18"/>
    </row>
    <row r="96" spans="1:12" ht="90" thickBot="1" x14ac:dyDescent="0.3">
      <c r="A96" s="19" t="s">
        <v>153</v>
      </c>
      <c r="B96" s="60" t="s">
        <v>154</v>
      </c>
      <c r="C96" s="51" t="s">
        <v>155</v>
      </c>
      <c r="D96" s="20" t="s">
        <v>36</v>
      </c>
      <c r="E96" s="24">
        <v>26.3</v>
      </c>
      <c r="F96" s="24">
        <v>0</v>
      </c>
      <c r="G96" s="24">
        <v>0</v>
      </c>
      <c r="H96" s="83" t="s">
        <v>1156</v>
      </c>
      <c r="I96" s="84" t="s">
        <v>22</v>
      </c>
      <c r="J96" s="85">
        <v>1</v>
      </c>
      <c r="K96" s="85"/>
      <c r="L96" s="85"/>
    </row>
    <row r="97" spans="1:12" ht="0.75" customHeight="1" thickBot="1" x14ac:dyDescent="0.3">
      <c r="A97" s="19" t="s">
        <v>156</v>
      </c>
      <c r="B97" s="60" t="s">
        <v>157</v>
      </c>
      <c r="C97" s="51" t="s">
        <v>158</v>
      </c>
      <c r="D97" s="20"/>
      <c r="E97" s="24">
        <v>0</v>
      </c>
      <c r="F97" s="24">
        <v>0</v>
      </c>
      <c r="G97" s="24">
        <v>0</v>
      </c>
      <c r="H97" s="60"/>
      <c r="I97" s="22"/>
      <c r="J97" s="23"/>
      <c r="K97" s="23"/>
      <c r="L97" s="23"/>
    </row>
    <row r="98" spans="1:12" ht="25.5" x14ac:dyDescent="0.25">
      <c r="A98" s="30" t="s">
        <v>159</v>
      </c>
      <c r="B98" s="99" t="s">
        <v>160</v>
      </c>
      <c r="C98" s="101"/>
      <c r="D98" s="103"/>
      <c r="E98" s="97">
        <f>E99+E100+E109</f>
        <v>325.90000000000003</v>
      </c>
      <c r="F98" s="97">
        <f>F99+F100+F109</f>
        <v>27.6</v>
      </c>
      <c r="G98" s="97">
        <f>G99+G100+G109</f>
        <v>29</v>
      </c>
      <c r="H98" s="58" t="s">
        <v>161</v>
      </c>
      <c r="I98" s="33" t="s">
        <v>22</v>
      </c>
      <c r="J98" s="34">
        <v>8</v>
      </c>
      <c r="K98" s="34">
        <v>9</v>
      </c>
      <c r="L98" s="34">
        <v>9</v>
      </c>
    </row>
    <row r="99" spans="1:12" ht="26.25" thickBot="1" x14ac:dyDescent="0.3">
      <c r="A99" s="15"/>
      <c r="B99" s="100"/>
      <c r="C99" s="102"/>
      <c r="D99" s="104"/>
      <c r="E99" s="98"/>
      <c r="F99" s="98"/>
      <c r="G99" s="98"/>
      <c r="H99" s="77" t="s">
        <v>162</v>
      </c>
      <c r="I99" s="78" t="s">
        <v>18</v>
      </c>
      <c r="J99" s="79">
        <v>3</v>
      </c>
      <c r="K99" s="79">
        <v>3</v>
      </c>
      <c r="L99" s="79">
        <v>3</v>
      </c>
    </row>
    <row r="100" spans="1:12" ht="15.75" thickBot="1" x14ac:dyDescent="0.3">
      <c r="A100" s="25" t="s">
        <v>163</v>
      </c>
      <c r="B100" s="59" t="s">
        <v>164</v>
      </c>
      <c r="C100" s="50"/>
      <c r="D100" s="26"/>
      <c r="E100" s="27">
        <f>E101+E105+E106+E107</f>
        <v>314.40000000000003</v>
      </c>
      <c r="F100" s="27">
        <f>F101+F105+F106+F107</f>
        <v>16.100000000000001</v>
      </c>
      <c r="G100" s="27">
        <f>G101+G105+G106+G107</f>
        <v>17.5</v>
      </c>
      <c r="H100" s="59"/>
      <c r="I100" s="28"/>
      <c r="J100" s="29"/>
      <c r="K100" s="29"/>
      <c r="L100" s="29"/>
    </row>
    <row r="101" spans="1:12" ht="76.5" x14ac:dyDescent="0.25">
      <c r="A101" s="19" t="s">
        <v>165</v>
      </c>
      <c r="B101" s="60" t="s">
        <v>166</v>
      </c>
      <c r="C101" s="51" t="s">
        <v>167</v>
      </c>
      <c r="D101" s="20"/>
      <c r="E101" s="21">
        <f>SUM(E102:E104)</f>
        <v>141.5</v>
      </c>
      <c r="F101" s="21">
        <f>SUM(F102:F104)</f>
        <v>0</v>
      </c>
      <c r="G101" s="21">
        <f>SUM(G102:G104)</f>
        <v>0</v>
      </c>
      <c r="H101" s="60" t="s">
        <v>168</v>
      </c>
      <c r="I101" s="22" t="s">
        <v>22</v>
      </c>
      <c r="J101" s="23">
        <v>2</v>
      </c>
      <c r="K101" s="23"/>
      <c r="L101" s="23"/>
    </row>
    <row r="102" spans="1:12" x14ac:dyDescent="0.25">
      <c r="A102" s="15"/>
      <c r="B102" s="61"/>
      <c r="C102" s="52"/>
      <c r="D102" s="16" t="s">
        <v>36</v>
      </c>
      <c r="E102" s="4">
        <v>11.7</v>
      </c>
      <c r="F102" s="4">
        <v>0</v>
      </c>
      <c r="G102" s="4">
        <v>0</v>
      </c>
      <c r="H102" s="61"/>
      <c r="I102" s="17"/>
      <c r="J102" s="18"/>
      <c r="K102" s="18"/>
      <c r="L102" s="18"/>
    </row>
    <row r="103" spans="1:12" x14ac:dyDescent="0.25">
      <c r="A103" s="15"/>
      <c r="B103" s="61"/>
      <c r="C103" s="52"/>
      <c r="D103" s="16" t="s">
        <v>27</v>
      </c>
      <c r="E103" s="4">
        <v>10.1</v>
      </c>
      <c r="F103" s="4">
        <v>0</v>
      </c>
      <c r="G103" s="4">
        <v>0</v>
      </c>
      <c r="H103" s="61"/>
      <c r="I103" s="17"/>
      <c r="J103" s="18"/>
      <c r="K103" s="18"/>
      <c r="L103" s="18"/>
    </row>
    <row r="104" spans="1:12" ht="15.75" thickBot="1" x14ac:dyDescent="0.3">
      <c r="A104" s="15"/>
      <c r="B104" s="61"/>
      <c r="C104" s="52"/>
      <c r="D104" s="16" t="s">
        <v>169</v>
      </c>
      <c r="E104" s="4">
        <v>119.7</v>
      </c>
      <c r="F104" s="4">
        <v>0</v>
      </c>
      <c r="G104" s="4">
        <v>0</v>
      </c>
      <c r="H104" s="61"/>
      <c r="I104" s="17"/>
      <c r="J104" s="18"/>
      <c r="K104" s="18"/>
      <c r="L104" s="18"/>
    </row>
    <row r="105" spans="1:12" ht="77.25" thickBot="1" x14ac:dyDescent="0.3">
      <c r="A105" s="19" t="s">
        <v>170</v>
      </c>
      <c r="B105" s="60" t="s">
        <v>171</v>
      </c>
      <c r="C105" s="51" t="s">
        <v>172</v>
      </c>
      <c r="D105" s="20" t="s">
        <v>27</v>
      </c>
      <c r="E105" s="24">
        <v>61.6</v>
      </c>
      <c r="F105" s="24">
        <v>0</v>
      </c>
      <c r="G105" s="24">
        <v>0</v>
      </c>
      <c r="H105" s="60" t="s">
        <v>173</v>
      </c>
      <c r="I105" s="22" t="s">
        <v>18</v>
      </c>
      <c r="J105" s="23">
        <v>100</v>
      </c>
      <c r="K105" s="23"/>
      <c r="L105" s="23"/>
    </row>
    <row r="106" spans="1:12" ht="77.25" thickBot="1" x14ac:dyDescent="0.3">
      <c r="A106" s="19" t="s">
        <v>174</v>
      </c>
      <c r="B106" s="60" t="s">
        <v>175</v>
      </c>
      <c r="C106" s="51" t="s">
        <v>172</v>
      </c>
      <c r="D106" s="20" t="s">
        <v>27</v>
      </c>
      <c r="E106" s="24">
        <v>85.5</v>
      </c>
      <c r="F106" s="24">
        <v>0</v>
      </c>
      <c r="G106" s="24">
        <v>0</v>
      </c>
      <c r="H106" s="60" t="s">
        <v>173</v>
      </c>
      <c r="I106" s="22" t="s">
        <v>18</v>
      </c>
      <c r="J106" s="23">
        <v>100</v>
      </c>
      <c r="K106" s="23"/>
      <c r="L106" s="23"/>
    </row>
    <row r="107" spans="1:12" ht="51" x14ac:dyDescent="0.25">
      <c r="A107" s="19" t="s">
        <v>176</v>
      </c>
      <c r="B107" s="60" t="s">
        <v>177</v>
      </c>
      <c r="C107" s="51" t="s">
        <v>178</v>
      </c>
      <c r="D107" s="20" t="s">
        <v>27</v>
      </c>
      <c r="E107" s="21">
        <f>SUM(E108:E108)+25.8</f>
        <v>25.8</v>
      </c>
      <c r="F107" s="21">
        <f>SUM(F108:F108)+16.1</f>
        <v>16.100000000000001</v>
      </c>
      <c r="G107" s="21">
        <f>SUM(G108:G108)+17.5</f>
        <v>17.5</v>
      </c>
      <c r="H107" s="60" t="s">
        <v>179</v>
      </c>
      <c r="I107" s="22" t="s">
        <v>22</v>
      </c>
      <c r="J107" s="23">
        <v>8</v>
      </c>
      <c r="K107" s="23">
        <v>9</v>
      </c>
      <c r="L107" s="23">
        <v>9</v>
      </c>
    </row>
    <row r="108" spans="1:12" ht="26.25" thickBot="1" x14ac:dyDescent="0.3">
      <c r="A108" s="15"/>
      <c r="B108" s="61"/>
      <c r="C108" s="52"/>
      <c r="D108" s="16"/>
      <c r="E108" s="4">
        <v>0</v>
      </c>
      <c r="F108" s="4">
        <v>0</v>
      </c>
      <c r="G108" s="4">
        <v>0</v>
      </c>
      <c r="H108" s="61" t="s">
        <v>180</v>
      </c>
      <c r="I108" s="17" t="s">
        <v>22</v>
      </c>
      <c r="J108" s="18">
        <v>1</v>
      </c>
      <c r="K108" s="18"/>
      <c r="L108" s="18"/>
    </row>
    <row r="109" spans="1:12" ht="26.25" thickBot="1" x14ac:dyDescent="0.3">
      <c r="A109" s="25" t="s">
        <v>181</v>
      </c>
      <c r="B109" s="59" t="s">
        <v>182</v>
      </c>
      <c r="C109" s="50" t="s">
        <v>90</v>
      </c>
      <c r="D109" s="26"/>
      <c r="E109" s="27">
        <f>SUM(E110:E111)</f>
        <v>11.5</v>
      </c>
      <c r="F109" s="27">
        <f>SUM(F110:F111)</f>
        <v>11.5</v>
      </c>
      <c r="G109" s="27">
        <f>SUM(G110:G111)</f>
        <v>11.5</v>
      </c>
      <c r="H109" s="59"/>
      <c r="I109" s="28"/>
      <c r="J109" s="29"/>
      <c r="K109" s="29"/>
      <c r="L109" s="29"/>
    </row>
    <row r="110" spans="1:12" ht="51.75" thickBot="1" x14ac:dyDescent="0.3">
      <c r="A110" s="19" t="s">
        <v>183</v>
      </c>
      <c r="B110" s="60" t="s">
        <v>184</v>
      </c>
      <c r="C110" s="51" t="s">
        <v>178</v>
      </c>
      <c r="D110" s="20" t="s">
        <v>27</v>
      </c>
      <c r="E110" s="24">
        <v>1.5</v>
      </c>
      <c r="F110" s="24">
        <v>1.5</v>
      </c>
      <c r="G110" s="24">
        <v>1.5</v>
      </c>
      <c r="H110" s="60" t="s">
        <v>185</v>
      </c>
      <c r="I110" s="22" t="s">
        <v>22</v>
      </c>
      <c r="J110" s="23">
        <v>1</v>
      </c>
      <c r="K110" s="23">
        <v>1</v>
      </c>
      <c r="L110" s="23">
        <v>1</v>
      </c>
    </row>
    <row r="111" spans="1:12" ht="51.75" thickBot="1" x14ac:dyDescent="0.3">
      <c r="A111" s="19" t="s">
        <v>186</v>
      </c>
      <c r="B111" s="60" t="s">
        <v>187</v>
      </c>
      <c r="C111" s="51" t="s">
        <v>178</v>
      </c>
      <c r="D111" s="20" t="s">
        <v>27</v>
      </c>
      <c r="E111" s="24">
        <v>10</v>
      </c>
      <c r="F111" s="24">
        <v>10</v>
      </c>
      <c r="G111" s="24">
        <v>10</v>
      </c>
      <c r="H111" s="60" t="s">
        <v>188</v>
      </c>
      <c r="I111" s="22" t="s">
        <v>22</v>
      </c>
      <c r="J111" s="23">
        <v>1</v>
      </c>
      <c r="K111" s="23">
        <v>1</v>
      </c>
      <c r="L111" s="23">
        <v>1</v>
      </c>
    </row>
    <row r="112" spans="1:12" ht="33" customHeight="1" thickBot="1" x14ac:dyDescent="0.3">
      <c r="A112" s="35" t="s">
        <v>189</v>
      </c>
      <c r="B112" s="71" t="s">
        <v>190</v>
      </c>
      <c r="C112" s="72" t="s">
        <v>191</v>
      </c>
      <c r="D112" s="73"/>
      <c r="E112" s="74">
        <f>SUM(E113:E113)</f>
        <v>5831.2</v>
      </c>
      <c r="F112" s="74">
        <f>SUM(F113:F113)</f>
        <v>5051.3</v>
      </c>
      <c r="G112" s="74">
        <f>SUM(G113:G113)</f>
        <v>4219</v>
      </c>
      <c r="H112" s="71"/>
      <c r="I112" s="38"/>
      <c r="J112" s="39"/>
      <c r="K112" s="39"/>
      <c r="L112" s="39"/>
    </row>
    <row r="113" spans="1:12" ht="39" thickBot="1" x14ac:dyDescent="0.3">
      <c r="A113" s="30" t="s">
        <v>192</v>
      </c>
      <c r="B113" s="58" t="s">
        <v>193</v>
      </c>
      <c r="C113" s="49"/>
      <c r="D113" s="31"/>
      <c r="E113" s="32">
        <f>E114+E124+E130+E151+E157</f>
        <v>5831.2</v>
      </c>
      <c r="F113" s="32">
        <f>F114+F124+F130+F151+F157</f>
        <v>5051.3</v>
      </c>
      <c r="G113" s="32">
        <f>G114+G124+G130+G151+G157</f>
        <v>4219</v>
      </c>
      <c r="H113" s="58" t="s">
        <v>194</v>
      </c>
      <c r="I113" s="33" t="s">
        <v>195</v>
      </c>
      <c r="J113" s="34">
        <v>38</v>
      </c>
      <c r="K113" s="34">
        <v>38</v>
      </c>
      <c r="L113" s="34">
        <v>38</v>
      </c>
    </row>
    <row r="114" spans="1:12" ht="26.25" thickBot="1" x14ac:dyDescent="0.3">
      <c r="A114" s="25" t="s">
        <v>196</v>
      </c>
      <c r="B114" s="59" t="s">
        <v>197</v>
      </c>
      <c r="C114" s="50"/>
      <c r="D114" s="26"/>
      <c r="E114" s="27">
        <f>E115+E116+E118+E121</f>
        <v>4366.3999999999996</v>
      </c>
      <c r="F114" s="27">
        <f>F115+F116+F118+F121</f>
        <v>3750</v>
      </c>
      <c r="G114" s="27">
        <f>G115+G116+G118+G121</f>
        <v>3800</v>
      </c>
      <c r="H114" s="59"/>
      <c r="I114" s="28"/>
      <c r="J114" s="29"/>
      <c r="K114" s="29"/>
      <c r="L114" s="29"/>
    </row>
    <row r="115" spans="1:12" ht="64.5" thickBot="1" x14ac:dyDescent="0.3">
      <c r="A115" s="19" t="s">
        <v>198</v>
      </c>
      <c r="B115" s="60" t="s">
        <v>199</v>
      </c>
      <c r="C115" s="51" t="s">
        <v>200</v>
      </c>
      <c r="D115" s="20" t="s">
        <v>27</v>
      </c>
      <c r="E115" s="24">
        <v>3690</v>
      </c>
      <c r="F115" s="24">
        <v>3740</v>
      </c>
      <c r="G115" s="24">
        <v>3790</v>
      </c>
      <c r="H115" s="60" t="s">
        <v>201</v>
      </c>
      <c r="I115" s="22" t="s">
        <v>195</v>
      </c>
      <c r="J115" s="66">
        <v>38000</v>
      </c>
      <c r="K115" s="66">
        <v>38000</v>
      </c>
      <c r="L115" s="66">
        <v>38000</v>
      </c>
    </row>
    <row r="116" spans="1:12" ht="25.5" x14ac:dyDescent="0.25">
      <c r="A116" s="19" t="s">
        <v>202</v>
      </c>
      <c r="B116" s="60" t="s">
        <v>203</v>
      </c>
      <c r="C116" s="51" t="s">
        <v>191</v>
      </c>
      <c r="D116" s="20" t="s">
        <v>204</v>
      </c>
      <c r="E116" s="21">
        <f>SUM(E117:E117)+10</f>
        <v>10</v>
      </c>
      <c r="F116" s="21">
        <f>SUM(F117:F117)+10</f>
        <v>10</v>
      </c>
      <c r="G116" s="21">
        <f>SUM(G117:G117)+10</f>
        <v>10</v>
      </c>
      <c r="H116" s="60" t="s">
        <v>205</v>
      </c>
      <c r="I116" s="22" t="s">
        <v>18</v>
      </c>
      <c r="J116" s="23">
        <v>100</v>
      </c>
      <c r="K116" s="23">
        <v>100</v>
      </c>
      <c r="L116" s="23">
        <v>100</v>
      </c>
    </row>
    <row r="117" spans="1:12" ht="15.75" thickBot="1" x14ac:dyDescent="0.3">
      <c r="A117" s="15"/>
      <c r="B117" s="61"/>
      <c r="C117" s="52"/>
      <c r="D117" s="16"/>
      <c r="E117" s="4">
        <v>0</v>
      </c>
      <c r="F117" s="4">
        <v>0</v>
      </c>
      <c r="G117" s="4">
        <v>0</v>
      </c>
      <c r="H117" s="61" t="s">
        <v>206</v>
      </c>
      <c r="I117" s="17" t="s">
        <v>195</v>
      </c>
      <c r="J117" s="18">
        <v>100</v>
      </c>
      <c r="K117" s="18">
        <v>100</v>
      </c>
      <c r="L117" s="18">
        <v>100</v>
      </c>
    </row>
    <row r="118" spans="1:12" ht="51" x14ac:dyDescent="0.25">
      <c r="A118" s="19" t="s">
        <v>207</v>
      </c>
      <c r="B118" s="60" t="s">
        <v>208</v>
      </c>
      <c r="C118" s="51" t="s">
        <v>209</v>
      </c>
      <c r="D118" s="20"/>
      <c r="E118" s="21">
        <f>SUM(E119:E120)</f>
        <v>565.4</v>
      </c>
      <c r="F118" s="21">
        <f>SUM(F119:F120)</f>
        <v>0</v>
      </c>
      <c r="G118" s="21">
        <f>SUM(G119:G120)</f>
        <v>0</v>
      </c>
      <c r="H118" s="60" t="s">
        <v>210</v>
      </c>
      <c r="I118" s="22" t="s">
        <v>22</v>
      </c>
      <c r="J118" s="23">
        <v>11</v>
      </c>
      <c r="K118" s="23"/>
      <c r="L118" s="23"/>
    </row>
    <row r="119" spans="1:12" ht="38.25" x14ac:dyDescent="0.25">
      <c r="A119" s="15"/>
      <c r="B119" s="61"/>
      <c r="C119" s="52"/>
      <c r="D119" s="16" t="s">
        <v>36</v>
      </c>
      <c r="E119" s="4">
        <v>321.2</v>
      </c>
      <c r="F119" s="4">
        <v>0</v>
      </c>
      <c r="G119" s="4">
        <v>0</v>
      </c>
      <c r="H119" s="61" t="s">
        <v>211</v>
      </c>
      <c r="I119" s="17" t="s">
        <v>22</v>
      </c>
      <c r="J119" s="18">
        <v>1</v>
      </c>
      <c r="K119" s="18"/>
      <c r="L119" s="18"/>
    </row>
    <row r="120" spans="1:12" ht="15.75" thickBot="1" x14ac:dyDescent="0.3">
      <c r="A120" s="15"/>
      <c r="B120" s="61"/>
      <c r="C120" s="52"/>
      <c r="D120" s="16" t="s">
        <v>27</v>
      </c>
      <c r="E120" s="4">
        <v>244.2</v>
      </c>
      <c r="F120" s="4"/>
      <c r="G120" s="4"/>
      <c r="H120" s="61"/>
      <c r="I120" s="17"/>
      <c r="J120" s="18"/>
      <c r="K120" s="18"/>
      <c r="L120" s="18"/>
    </row>
    <row r="121" spans="1:12" ht="38.25" x14ac:dyDescent="0.25">
      <c r="A121" s="19" t="s">
        <v>212</v>
      </c>
      <c r="B121" s="60" t="s">
        <v>213</v>
      </c>
      <c r="C121" s="51" t="s">
        <v>139</v>
      </c>
      <c r="D121" s="20"/>
      <c r="E121" s="21">
        <f>SUM(E122:E123)</f>
        <v>101</v>
      </c>
      <c r="F121" s="21">
        <f>SUM(F122:F123)</f>
        <v>0</v>
      </c>
      <c r="G121" s="21">
        <f>SUM(G122:G123)</f>
        <v>0</v>
      </c>
      <c r="H121" s="60" t="s">
        <v>214</v>
      </c>
      <c r="I121" s="22" t="s">
        <v>22</v>
      </c>
      <c r="J121" s="23">
        <v>1</v>
      </c>
      <c r="K121" s="23"/>
      <c r="L121" s="23"/>
    </row>
    <row r="122" spans="1:12" x14ac:dyDescent="0.25">
      <c r="A122" s="15"/>
      <c r="B122" s="61"/>
      <c r="C122" s="52"/>
      <c r="D122" s="16" t="s">
        <v>36</v>
      </c>
      <c r="E122" s="4">
        <v>60.6</v>
      </c>
      <c r="F122" s="4">
        <v>0</v>
      </c>
      <c r="G122" s="4">
        <v>0</v>
      </c>
      <c r="H122" s="61" t="s">
        <v>215</v>
      </c>
      <c r="I122" s="17" t="s">
        <v>22</v>
      </c>
      <c r="J122" s="18">
        <v>4</v>
      </c>
      <c r="K122" s="18"/>
      <c r="L122" s="18"/>
    </row>
    <row r="123" spans="1:12" ht="15.75" thickBot="1" x14ac:dyDescent="0.3">
      <c r="A123" s="15"/>
      <c r="B123" s="61"/>
      <c r="C123" s="52"/>
      <c r="D123" s="16" t="s">
        <v>27</v>
      </c>
      <c r="E123" s="4">
        <v>40.4</v>
      </c>
      <c r="F123" s="4">
        <v>0</v>
      </c>
      <c r="G123" s="4">
        <v>0</v>
      </c>
      <c r="H123" s="61" t="s">
        <v>216</v>
      </c>
      <c r="I123" s="17" t="s">
        <v>22</v>
      </c>
      <c r="J123" s="18">
        <v>1</v>
      </c>
      <c r="K123" s="18"/>
      <c r="L123" s="18"/>
    </row>
    <row r="124" spans="1:12" ht="26.25" thickBot="1" x14ac:dyDescent="0.3">
      <c r="A124" s="25" t="s">
        <v>217</v>
      </c>
      <c r="B124" s="59" t="s">
        <v>218</v>
      </c>
      <c r="C124" s="50"/>
      <c r="D124" s="26"/>
      <c r="E124" s="27">
        <f>E125+E127</f>
        <v>449</v>
      </c>
      <c r="F124" s="27">
        <f>F125+F127</f>
        <v>165</v>
      </c>
      <c r="G124" s="27">
        <f>G125+G127</f>
        <v>171</v>
      </c>
      <c r="H124" s="59"/>
      <c r="I124" s="28"/>
      <c r="J124" s="29"/>
      <c r="K124" s="29"/>
      <c r="L124" s="29"/>
    </row>
    <row r="125" spans="1:12" ht="25.5" x14ac:dyDescent="0.25">
      <c r="A125" s="19" t="s">
        <v>219</v>
      </c>
      <c r="B125" s="60" t="s">
        <v>220</v>
      </c>
      <c r="C125" s="51" t="s">
        <v>191</v>
      </c>
      <c r="D125" s="20" t="s">
        <v>204</v>
      </c>
      <c r="E125" s="21">
        <f>SUM(E126:E126)+50</f>
        <v>50</v>
      </c>
      <c r="F125" s="21">
        <f>SUM(F126:F126)+50</f>
        <v>50</v>
      </c>
      <c r="G125" s="21">
        <f>SUM(G126:G126)+50</f>
        <v>50</v>
      </c>
      <c r="H125" s="60" t="s">
        <v>221</v>
      </c>
      <c r="I125" s="22" t="s">
        <v>22</v>
      </c>
      <c r="J125" s="23">
        <v>1</v>
      </c>
      <c r="K125" s="23">
        <v>1</v>
      </c>
      <c r="L125" s="23">
        <v>1</v>
      </c>
    </row>
    <row r="126" spans="1:12" ht="15.75" thickBot="1" x14ac:dyDescent="0.3">
      <c r="A126" s="15"/>
      <c r="B126" s="61"/>
      <c r="C126" s="52"/>
      <c r="D126" s="16"/>
      <c r="E126" s="4">
        <v>0</v>
      </c>
      <c r="F126" s="4">
        <v>0</v>
      </c>
      <c r="G126" s="4">
        <v>0</v>
      </c>
      <c r="H126" s="61" t="s">
        <v>222</v>
      </c>
      <c r="I126" s="17" t="s">
        <v>22</v>
      </c>
      <c r="J126" s="18">
        <v>3</v>
      </c>
      <c r="K126" s="18">
        <v>3</v>
      </c>
      <c r="L126" s="18">
        <v>3</v>
      </c>
    </row>
    <row r="127" spans="1:12" ht="51" x14ac:dyDescent="0.25">
      <c r="A127" s="19" t="s">
        <v>223</v>
      </c>
      <c r="B127" s="60" t="s">
        <v>224</v>
      </c>
      <c r="C127" s="51" t="s">
        <v>191</v>
      </c>
      <c r="D127" s="20"/>
      <c r="E127" s="21">
        <f>SUM(E128:E129)</f>
        <v>399</v>
      </c>
      <c r="F127" s="21">
        <f>SUM(F128:F129)</f>
        <v>115</v>
      </c>
      <c r="G127" s="21">
        <f>SUM(G128:G129)</f>
        <v>121</v>
      </c>
      <c r="H127" s="60" t="s">
        <v>225</v>
      </c>
      <c r="I127" s="22" t="s">
        <v>18</v>
      </c>
      <c r="J127" s="23">
        <v>100</v>
      </c>
      <c r="K127" s="23">
        <v>100</v>
      </c>
      <c r="L127" s="23">
        <v>100</v>
      </c>
    </row>
    <row r="128" spans="1:12" x14ac:dyDescent="0.25">
      <c r="A128" s="15"/>
      <c r="B128" s="61"/>
      <c r="C128" s="52"/>
      <c r="D128" s="16" t="s">
        <v>226</v>
      </c>
      <c r="E128" s="4">
        <v>288</v>
      </c>
      <c r="F128" s="4">
        <v>0</v>
      </c>
      <c r="G128" s="4">
        <v>0</v>
      </c>
      <c r="H128" s="61" t="s">
        <v>227</v>
      </c>
      <c r="I128" s="17" t="s">
        <v>228</v>
      </c>
      <c r="J128" s="63">
        <v>11069</v>
      </c>
      <c r="K128" s="63">
        <v>9596</v>
      </c>
      <c r="L128" s="63">
        <v>7000</v>
      </c>
    </row>
    <row r="129" spans="1:12" ht="15.75" thickBot="1" x14ac:dyDescent="0.3">
      <c r="A129" s="15"/>
      <c r="B129" s="61"/>
      <c r="C129" s="52"/>
      <c r="D129" s="16" t="s">
        <v>204</v>
      </c>
      <c r="E129" s="4">
        <v>111</v>
      </c>
      <c r="F129" s="4">
        <v>115</v>
      </c>
      <c r="G129" s="4">
        <v>121</v>
      </c>
      <c r="H129" s="61" t="s">
        <v>229</v>
      </c>
      <c r="I129" s="17" t="s">
        <v>22</v>
      </c>
      <c r="J129" s="18">
        <v>100</v>
      </c>
      <c r="K129" s="18">
        <v>100</v>
      </c>
      <c r="L129" s="18">
        <v>100</v>
      </c>
    </row>
    <row r="130" spans="1:12" ht="26.25" thickBot="1" x14ac:dyDescent="0.3">
      <c r="A130" s="25" t="s">
        <v>230</v>
      </c>
      <c r="B130" s="59" t="s">
        <v>231</v>
      </c>
      <c r="C130" s="50"/>
      <c r="D130" s="26"/>
      <c r="E130" s="27">
        <f>E131+E135+E138+E139+E143+E144+E148+E149+E150</f>
        <v>978.80000000000007</v>
      </c>
      <c r="F130" s="27">
        <f>F131+F135+F138+F139+F143+F144+F148+F149+F150</f>
        <v>1123.3</v>
      </c>
      <c r="G130" s="27">
        <f>G131+G135+G138+G139+G143+G144+G148+G149+G150</f>
        <v>235</v>
      </c>
      <c r="H130" s="59"/>
      <c r="I130" s="28"/>
      <c r="J130" s="29"/>
      <c r="K130" s="29"/>
      <c r="L130" s="29"/>
    </row>
    <row r="131" spans="1:12" ht="51" x14ac:dyDescent="0.25">
      <c r="A131" s="19" t="s">
        <v>232</v>
      </c>
      <c r="B131" s="60" t="s">
        <v>233</v>
      </c>
      <c r="C131" s="51" t="s">
        <v>209</v>
      </c>
      <c r="D131" s="20"/>
      <c r="E131" s="21">
        <f>SUM(E132:E134)</f>
        <v>141</v>
      </c>
      <c r="F131" s="21">
        <f>SUM(F132:F134)</f>
        <v>160</v>
      </c>
      <c r="G131" s="21">
        <f>SUM(G132:G134)</f>
        <v>80</v>
      </c>
      <c r="H131" s="60" t="s">
        <v>234</v>
      </c>
      <c r="I131" s="22" t="s">
        <v>22</v>
      </c>
      <c r="J131" s="23">
        <v>70</v>
      </c>
      <c r="K131" s="23">
        <v>70</v>
      </c>
      <c r="L131" s="23">
        <v>70</v>
      </c>
    </row>
    <row r="132" spans="1:12" ht="25.5" x14ac:dyDescent="0.25">
      <c r="A132" s="15"/>
      <c r="B132" s="61"/>
      <c r="C132" s="52"/>
      <c r="D132" s="16" t="s">
        <v>27</v>
      </c>
      <c r="E132" s="4">
        <v>41</v>
      </c>
      <c r="F132" s="4">
        <v>130</v>
      </c>
      <c r="G132" s="4">
        <v>50</v>
      </c>
      <c r="H132" s="61" t="s">
        <v>235</v>
      </c>
      <c r="I132" s="17" t="s">
        <v>236</v>
      </c>
      <c r="J132" s="80">
        <v>0</v>
      </c>
      <c r="K132" s="80">
        <v>0</v>
      </c>
      <c r="L132" s="80">
        <v>0</v>
      </c>
    </row>
    <row r="133" spans="1:12" x14ac:dyDescent="0.25">
      <c r="A133" s="15"/>
      <c r="B133" s="61"/>
      <c r="C133" s="52"/>
      <c r="D133" s="16" t="s">
        <v>204</v>
      </c>
      <c r="E133" s="4">
        <v>30</v>
      </c>
      <c r="F133" s="4">
        <v>30</v>
      </c>
      <c r="G133" s="4">
        <v>30</v>
      </c>
      <c r="H133" s="61"/>
      <c r="I133" s="17"/>
      <c r="J133" s="18"/>
      <c r="K133" s="18"/>
      <c r="L133" s="18"/>
    </row>
    <row r="134" spans="1:12" ht="15.75" thickBot="1" x14ac:dyDescent="0.3">
      <c r="A134" s="15"/>
      <c r="B134" s="61"/>
      <c r="C134" s="52"/>
      <c r="D134" s="16" t="s">
        <v>36</v>
      </c>
      <c r="E134" s="4">
        <v>70</v>
      </c>
      <c r="F134" s="4"/>
      <c r="G134" s="4"/>
      <c r="H134" s="61"/>
      <c r="I134" s="17"/>
      <c r="J134" s="18"/>
      <c r="K134" s="18"/>
      <c r="L134" s="18"/>
    </row>
    <row r="135" spans="1:12" ht="51" x14ac:dyDescent="0.25">
      <c r="A135" s="19" t="s">
        <v>237</v>
      </c>
      <c r="B135" s="60" t="s">
        <v>238</v>
      </c>
      <c r="C135" s="51" t="s">
        <v>191</v>
      </c>
      <c r="D135" s="20"/>
      <c r="E135" s="21">
        <f>SUM(E136:E137)</f>
        <v>61</v>
      </c>
      <c r="F135" s="21">
        <f>SUM(F136:F137)</f>
        <v>0</v>
      </c>
      <c r="G135" s="21">
        <f>SUM(G136:G137)</f>
        <v>0</v>
      </c>
      <c r="H135" s="60" t="s">
        <v>239</v>
      </c>
      <c r="I135" s="22" t="s">
        <v>240</v>
      </c>
      <c r="J135" s="23">
        <v>140</v>
      </c>
      <c r="K135" s="23"/>
      <c r="L135" s="23"/>
    </row>
    <row r="136" spans="1:12" x14ac:dyDescent="0.25">
      <c r="A136" s="15"/>
      <c r="B136" s="61"/>
      <c r="C136" s="52"/>
      <c r="D136" s="16" t="s">
        <v>27</v>
      </c>
      <c r="E136" s="4">
        <v>18.600000000000001</v>
      </c>
      <c r="F136" s="4">
        <v>0</v>
      </c>
      <c r="G136" s="4">
        <v>0</v>
      </c>
      <c r="H136" s="61"/>
      <c r="I136" s="17"/>
      <c r="J136" s="18"/>
      <c r="K136" s="18"/>
      <c r="L136" s="18"/>
    </row>
    <row r="137" spans="1:12" ht="15.75" thickBot="1" x14ac:dyDescent="0.3">
      <c r="A137" s="15"/>
      <c r="B137" s="61"/>
      <c r="C137" s="52"/>
      <c r="D137" s="16" t="s">
        <v>36</v>
      </c>
      <c r="E137" s="4">
        <v>42.4</v>
      </c>
      <c r="F137" s="4">
        <v>0</v>
      </c>
      <c r="G137" s="4">
        <v>0</v>
      </c>
      <c r="H137" s="61"/>
      <c r="I137" s="17"/>
      <c r="J137" s="18"/>
      <c r="K137" s="18"/>
      <c r="L137" s="18"/>
    </row>
    <row r="138" spans="1:12" ht="26.25" thickBot="1" x14ac:dyDescent="0.3">
      <c r="A138" s="19" t="s">
        <v>241</v>
      </c>
      <c r="B138" s="60" t="s">
        <v>242</v>
      </c>
      <c r="C138" s="51"/>
      <c r="D138" s="20" t="s">
        <v>36</v>
      </c>
      <c r="E138" s="24">
        <v>6.3</v>
      </c>
      <c r="F138" s="24">
        <v>0</v>
      </c>
      <c r="G138" s="24">
        <v>0</v>
      </c>
      <c r="H138" s="60" t="s">
        <v>243</v>
      </c>
      <c r="I138" s="22" t="s">
        <v>22</v>
      </c>
      <c r="J138" s="23">
        <v>1</v>
      </c>
      <c r="K138" s="23"/>
      <c r="L138" s="23"/>
    </row>
    <row r="139" spans="1:12" ht="76.5" x14ac:dyDescent="0.25">
      <c r="A139" s="19" t="s">
        <v>244</v>
      </c>
      <c r="B139" s="60" t="s">
        <v>245</v>
      </c>
      <c r="C139" s="51" t="s">
        <v>246</v>
      </c>
      <c r="D139" s="20"/>
      <c r="E139" s="21">
        <f>SUM(E140:E142)</f>
        <v>164.79999999999998</v>
      </c>
      <c r="F139" s="21">
        <f>SUM(F140:F142)</f>
        <v>99.9</v>
      </c>
      <c r="G139" s="21">
        <f>SUM(G140:G142)</f>
        <v>102</v>
      </c>
      <c r="H139" s="60" t="s">
        <v>247</v>
      </c>
      <c r="I139" s="22" t="s">
        <v>22</v>
      </c>
      <c r="J139" s="23">
        <v>1</v>
      </c>
      <c r="K139" s="23">
        <v>1</v>
      </c>
      <c r="L139" s="23">
        <v>1</v>
      </c>
    </row>
    <row r="140" spans="1:12" ht="38.25" x14ac:dyDescent="0.25">
      <c r="A140" s="15"/>
      <c r="B140" s="61"/>
      <c r="C140" s="52"/>
      <c r="D140" s="16" t="s">
        <v>36</v>
      </c>
      <c r="E140" s="4">
        <v>1.6</v>
      </c>
      <c r="F140" s="4">
        <v>0</v>
      </c>
      <c r="G140" s="4">
        <v>0</v>
      </c>
      <c r="H140" s="61" t="s">
        <v>248</v>
      </c>
      <c r="I140" s="17" t="s">
        <v>22</v>
      </c>
      <c r="J140" s="18">
        <v>1</v>
      </c>
      <c r="K140" s="18">
        <v>1</v>
      </c>
      <c r="L140" s="18">
        <v>1</v>
      </c>
    </row>
    <row r="141" spans="1:12" x14ac:dyDescent="0.25">
      <c r="A141" s="15"/>
      <c r="B141" s="61"/>
      <c r="C141" s="52"/>
      <c r="D141" s="16" t="s">
        <v>27</v>
      </c>
      <c r="E141" s="4">
        <v>160.19999999999999</v>
      </c>
      <c r="F141" s="4">
        <v>96.9</v>
      </c>
      <c r="G141" s="4">
        <v>99</v>
      </c>
      <c r="H141" s="61"/>
      <c r="I141" s="17"/>
      <c r="J141" s="18"/>
      <c r="K141" s="18"/>
      <c r="L141" s="18"/>
    </row>
    <row r="142" spans="1:12" ht="15.75" thickBot="1" x14ac:dyDescent="0.3">
      <c r="A142" s="15"/>
      <c r="B142" s="61"/>
      <c r="C142" s="52"/>
      <c r="D142" s="16" t="s">
        <v>123</v>
      </c>
      <c r="E142" s="4">
        <v>3</v>
      </c>
      <c r="F142" s="4">
        <v>3</v>
      </c>
      <c r="G142" s="4">
        <v>3</v>
      </c>
      <c r="H142" s="61"/>
      <c r="I142" s="17"/>
      <c r="J142" s="18"/>
      <c r="K142" s="18"/>
      <c r="L142" s="18"/>
    </row>
    <row r="143" spans="1:12" ht="39" thickBot="1" x14ac:dyDescent="0.3">
      <c r="A143" s="19" t="s">
        <v>249</v>
      </c>
      <c r="B143" s="60" t="s">
        <v>250</v>
      </c>
      <c r="C143" s="51" t="s">
        <v>191</v>
      </c>
      <c r="D143" s="20" t="s">
        <v>204</v>
      </c>
      <c r="E143" s="24">
        <v>33</v>
      </c>
      <c r="F143" s="24">
        <v>33</v>
      </c>
      <c r="G143" s="24">
        <v>33</v>
      </c>
      <c r="H143" s="60" t="s">
        <v>251</v>
      </c>
      <c r="I143" s="22" t="s">
        <v>195</v>
      </c>
      <c r="J143" s="23">
        <v>420</v>
      </c>
      <c r="K143" s="23">
        <v>420</v>
      </c>
      <c r="L143" s="23">
        <v>420</v>
      </c>
    </row>
    <row r="144" spans="1:12" ht="51" x14ac:dyDescent="0.25">
      <c r="A144" s="19" t="s">
        <v>252</v>
      </c>
      <c r="B144" s="60" t="s">
        <v>253</v>
      </c>
      <c r="C144" s="51" t="s">
        <v>209</v>
      </c>
      <c r="D144" s="20"/>
      <c r="E144" s="21">
        <f>SUM(E145:E147)</f>
        <v>552.70000000000005</v>
      </c>
      <c r="F144" s="21">
        <f>SUM(F145:F147)</f>
        <v>810.4</v>
      </c>
      <c r="G144" s="21">
        <f>SUM(G145:G147)</f>
        <v>0</v>
      </c>
      <c r="H144" s="60" t="s">
        <v>254</v>
      </c>
      <c r="I144" s="22" t="s">
        <v>255</v>
      </c>
      <c r="J144" s="23">
        <v>10</v>
      </c>
      <c r="K144" s="23">
        <v>13</v>
      </c>
      <c r="L144" s="23"/>
    </row>
    <row r="145" spans="1:12" x14ac:dyDescent="0.25">
      <c r="A145" s="15"/>
      <c r="B145" s="61"/>
      <c r="C145" s="52"/>
      <c r="D145" s="16" t="s">
        <v>36</v>
      </c>
      <c r="E145" s="4">
        <v>235.3</v>
      </c>
      <c r="F145" s="4">
        <v>0</v>
      </c>
      <c r="G145" s="4">
        <v>0</v>
      </c>
      <c r="H145" s="61" t="s">
        <v>173</v>
      </c>
      <c r="I145" s="17" t="s">
        <v>18</v>
      </c>
      <c r="J145" s="18">
        <v>60</v>
      </c>
      <c r="K145" s="18">
        <v>100</v>
      </c>
      <c r="L145" s="18"/>
    </row>
    <row r="146" spans="1:12" x14ac:dyDescent="0.25">
      <c r="A146" s="15"/>
      <c r="B146" s="61"/>
      <c r="C146" s="52"/>
      <c r="D146" s="16" t="s">
        <v>27</v>
      </c>
      <c r="E146" s="4">
        <v>30</v>
      </c>
      <c r="F146" s="4">
        <v>40.299999999999997</v>
      </c>
      <c r="G146" s="4"/>
      <c r="H146" s="61"/>
      <c r="I146" s="17"/>
      <c r="J146" s="18"/>
      <c r="K146" s="18"/>
      <c r="L146" s="18"/>
    </row>
    <row r="147" spans="1:12" ht="15.75" thickBot="1" x14ac:dyDescent="0.3">
      <c r="A147" s="15"/>
      <c r="B147" s="61"/>
      <c r="C147" s="52"/>
      <c r="D147" s="16" t="s">
        <v>169</v>
      </c>
      <c r="E147" s="4">
        <v>287.39999999999998</v>
      </c>
      <c r="F147" s="4">
        <v>770.1</v>
      </c>
      <c r="G147" s="4"/>
      <c r="H147" s="61"/>
      <c r="I147" s="17"/>
      <c r="J147" s="18"/>
      <c r="K147" s="18"/>
      <c r="L147" s="18"/>
    </row>
    <row r="148" spans="1:12" ht="38.25" customHeight="1" thickBot="1" x14ac:dyDescent="0.3">
      <c r="A148" s="19" t="s">
        <v>256</v>
      </c>
      <c r="B148" s="60" t="s">
        <v>257</v>
      </c>
      <c r="C148" s="51" t="s">
        <v>258</v>
      </c>
      <c r="D148" s="20" t="s">
        <v>204</v>
      </c>
      <c r="E148" s="24">
        <v>5</v>
      </c>
      <c r="F148" s="24">
        <v>5</v>
      </c>
      <c r="G148" s="24">
        <v>5</v>
      </c>
      <c r="H148" s="60" t="s">
        <v>259</v>
      </c>
      <c r="I148" s="22" t="s">
        <v>18</v>
      </c>
      <c r="J148" s="23">
        <v>100</v>
      </c>
      <c r="K148" s="23">
        <v>100</v>
      </c>
      <c r="L148" s="23">
        <v>100</v>
      </c>
    </row>
    <row r="149" spans="1:12" ht="26.25" hidden="1" thickBot="1" x14ac:dyDescent="0.3">
      <c r="A149" s="19" t="s">
        <v>260</v>
      </c>
      <c r="B149" s="60" t="s">
        <v>261</v>
      </c>
      <c r="C149" s="51" t="s">
        <v>191</v>
      </c>
      <c r="D149" s="20" t="s">
        <v>204</v>
      </c>
      <c r="E149" s="24">
        <v>0</v>
      </c>
      <c r="F149" s="24">
        <v>0</v>
      </c>
      <c r="G149" s="24">
        <v>0</v>
      </c>
      <c r="H149" s="60"/>
      <c r="I149" s="22"/>
      <c r="J149" s="23"/>
      <c r="K149" s="23"/>
      <c r="L149" s="23"/>
    </row>
    <row r="150" spans="1:12" ht="64.5" thickBot="1" x14ac:dyDescent="0.3">
      <c r="A150" s="19" t="s">
        <v>262</v>
      </c>
      <c r="B150" s="60" t="s">
        <v>263</v>
      </c>
      <c r="C150" s="51" t="s">
        <v>258</v>
      </c>
      <c r="D150" s="20" t="s">
        <v>27</v>
      </c>
      <c r="E150" s="24">
        <v>15</v>
      </c>
      <c r="F150" s="24">
        <v>15</v>
      </c>
      <c r="G150" s="24">
        <v>15</v>
      </c>
      <c r="H150" s="60" t="s">
        <v>264</v>
      </c>
      <c r="I150" s="22" t="s">
        <v>265</v>
      </c>
      <c r="J150" s="23">
        <v>16</v>
      </c>
      <c r="K150" s="23">
        <v>16</v>
      </c>
      <c r="L150" s="23">
        <v>16</v>
      </c>
    </row>
    <row r="151" spans="1:12" ht="26.25" thickBot="1" x14ac:dyDescent="0.3">
      <c r="A151" s="25" t="s">
        <v>266</v>
      </c>
      <c r="B151" s="59" t="s">
        <v>267</v>
      </c>
      <c r="C151" s="50"/>
      <c r="D151" s="26"/>
      <c r="E151" s="27">
        <f>SUM(E152:E153)</f>
        <v>13</v>
      </c>
      <c r="F151" s="27">
        <f>SUM(F152:F153)</f>
        <v>13</v>
      </c>
      <c r="G151" s="27">
        <f>SUM(G152:G153)</f>
        <v>13</v>
      </c>
      <c r="H151" s="59"/>
      <c r="I151" s="28"/>
      <c r="J151" s="29"/>
      <c r="K151" s="29"/>
      <c r="L151" s="29"/>
    </row>
    <row r="152" spans="1:12" ht="39" thickBot="1" x14ac:dyDescent="0.3">
      <c r="A152" s="19" t="s">
        <v>268</v>
      </c>
      <c r="B152" s="60" t="s">
        <v>269</v>
      </c>
      <c r="C152" s="51" t="s">
        <v>191</v>
      </c>
      <c r="D152" s="20" t="s">
        <v>204</v>
      </c>
      <c r="E152" s="24">
        <v>10</v>
      </c>
      <c r="F152" s="24">
        <v>10</v>
      </c>
      <c r="G152" s="24">
        <v>10</v>
      </c>
      <c r="H152" s="60" t="s">
        <v>270</v>
      </c>
      <c r="I152" s="22" t="s">
        <v>22</v>
      </c>
      <c r="J152" s="23">
        <v>5</v>
      </c>
      <c r="K152" s="23">
        <v>5</v>
      </c>
      <c r="L152" s="23">
        <v>5</v>
      </c>
    </row>
    <row r="153" spans="1:12" ht="51" x14ac:dyDescent="0.25">
      <c r="A153" s="19" t="s">
        <v>271</v>
      </c>
      <c r="B153" s="60" t="s">
        <v>272</v>
      </c>
      <c r="C153" s="51" t="s">
        <v>191</v>
      </c>
      <c r="D153" s="20" t="s">
        <v>204</v>
      </c>
      <c r="E153" s="21">
        <f>SUM(E154:E156)+3</f>
        <v>3</v>
      </c>
      <c r="F153" s="21">
        <f>SUM(F154:F156)+3</f>
        <v>3</v>
      </c>
      <c r="G153" s="21">
        <f>SUM(G154:G156)+3</f>
        <v>3</v>
      </c>
      <c r="H153" s="60" t="s">
        <v>273</v>
      </c>
      <c r="I153" s="22" t="s">
        <v>22</v>
      </c>
      <c r="J153" s="23">
        <v>40</v>
      </c>
      <c r="K153" s="23">
        <v>40</v>
      </c>
      <c r="L153" s="23">
        <v>40</v>
      </c>
    </row>
    <row r="154" spans="1:12" ht="25.5" x14ac:dyDescent="0.25">
      <c r="A154" s="15"/>
      <c r="B154" s="61"/>
      <c r="C154" s="52"/>
      <c r="D154" s="16"/>
      <c r="E154" s="4">
        <v>0</v>
      </c>
      <c r="F154" s="4">
        <v>0</v>
      </c>
      <c r="G154" s="4">
        <v>0</v>
      </c>
      <c r="H154" s="61" t="s">
        <v>274</v>
      </c>
      <c r="I154" s="17" t="s">
        <v>22</v>
      </c>
      <c r="J154" s="18">
        <v>2</v>
      </c>
      <c r="K154" s="18">
        <v>2</v>
      </c>
      <c r="L154" s="18">
        <v>2</v>
      </c>
    </row>
    <row r="155" spans="1:12" ht="25.5" x14ac:dyDescent="0.25">
      <c r="A155" s="15"/>
      <c r="B155" s="61"/>
      <c r="C155" s="52"/>
      <c r="D155" s="16"/>
      <c r="E155" s="4">
        <v>0</v>
      </c>
      <c r="F155" s="4">
        <v>0</v>
      </c>
      <c r="G155" s="4">
        <v>0</v>
      </c>
      <c r="H155" s="61" t="s">
        <v>275</v>
      </c>
      <c r="I155" s="17" t="s">
        <v>22</v>
      </c>
      <c r="J155" s="18">
        <v>2</v>
      </c>
      <c r="K155" s="18">
        <v>2</v>
      </c>
      <c r="L155" s="18">
        <v>2</v>
      </c>
    </row>
    <row r="156" spans="1:12" ht="15.75" thickBot="1" x14ac:dyDescent="0.3">
      <c r="A156" s="15"/>
      <c r="B156" s="61"/>
      <c r="C156" s="52"/>
      <c r="D156" s="16"/>
      <c r="E156" s="4">
        <v>0</v>
      </c>
      <c r="F156" s="4">
        <v>0</v>
      </c>
      <c r="G156" s="4">
        <v>0</v>
      </c>
      <c r="H156" s="61" t="s">
        <v>276</v>
      </c>
      <c r="I156" s="17" t="s">
        <v>22</v>
      </c>
      <c r="J156" s="18">
        <v>1</v>
      </c>
      <c r="K156" s="18">
        <v>1</v>
      </c>
      <c r="L156" s="18">
        <v>1</v>
      </c>
    </row>
    <row r="157" spans="1:12" ht="26.25" thickBot="1" x14ac:dyDescent="0.3">
      <c r="A157" s="25" t="s">
        <v>277</v>
      </c>
      <c r="B157" s="59" t="s">
        <v>278</v>
      </c>
      <c r="C157" s="50"/>
      <c r="D157" s="26"/>
      <c r="E157" s="27">
        <f>SUM(E158:E158)</f>
        <v>24</v>
      </c>
      <c r="F157" s="27">
        <f>SUM(F158:F158)</f>
        <v>0</v>
      </c>
      <c r="G157" s="27">
        <f>SUM(G158:G158)</f>
        <v>0</v>
      </c>
      <c r="H157" s="59"/>
      <c r="I157" s="28"/>
      <c r="J157" s="29"/>
      <c r="K157" s="29"/>
      <c r="L157" s="29"/>
    </row>
    <row r="158" spans="1:12" ht="26.25" thickBot="1" x14ac:dyDescent="0.3">
      <c r="A158" s="19" t="s">
        <v>279</v>
      </c>
      <c r="B158" s="60" t="s">
        <v>280</v>
      </c>
      <c r="C158" s="51" t="s">
        <v>191</v>
      </c>
      <c r="D158" s="20" t="s">
        <v>36</v>
      </c>
      <c r="E158" s="24">
        <v>24</v>
      </c>
      <c r="F158" s="24">
        <v>0</v>
      </c>
      <c r="G158" s="24">
        <v>0</v>
      </c>
      <c r="H158" s="60" t="s">
        <v>281</v>
      </c>
      <c r="I158" s="22" t="s">
        <v>22</v>
      </c>
      <c r="J158" s="23">
        <v>1</v>
      </c>
      <c r="K158" s="23">
        <v>0</v>
      </c>
      <c r="L158" s="23">
        <v>0</v>
      </c>
    </row>
    <row r="159" spans="1:12" ht="36.75" customHeight="1" thickBot="1" x14ac:dyDescent="0.3">
      <c r="A159" s="35" t="s">
        <v>282</v>
      </c>
      <c r="B159" s="71" t="s">
        <v>283</v>
      </c>
      <c r="C159" s="72" t="s">
        <v>191</v>
      </c>
      <c r="D159" s="73"/>
      <c r="E159" s="74">
        <f>E160+E214</f>
        <v>30716.399999999998</v>
      </c>
      <c r="F159" s="74">
        <f>F160+F214</f>
        <v>19448.2</v>
      </c>
      <c r="G159" s="74">
        <f>G160+G214</f>
        <v>18028.8</v>
      </c>
      <c r="H159" s="57"/>
      <c r="I159" s="38"/>
      <c r="J159" s="39"/>
      <c r="K159" s="39"/>
      <c r="L159" s="39"/>
    </row>
    <row r="160" spans="1:12" ht="39" thickBot="1" x14ac:dyDescent="0.3">
      <c r="A160" s="30" t="s">
        <v>284</v>
      </c>
      <c r="B160" s="58" t="s">
        <v>285</v>
      </c>
      <c r="C160" s="49"/>
      <c r="D160" s="31"/>
      <c r="E160" s="32">
        <f>E161+E168+E179</f>
        <v>14287.2</v>
      </c>
      <c r="F160" s="32">
        <f>F161+F168+F179</f>
        <v>7518.7000000000007</v>
      </c>
      <c r="G160" s="32">
        <f>G161+G168+G179</f>
        <v>6624</v>
      </c>
      <c r="H160" s="58" t="s">
        <v>286</v>
      </c>
      <c r="I160" s="33" t="s">
        <v>18</v>
      </c>
      <c r="J160" s="34">
        <v>100</v>
      </c>
      <c r="K160" s="34">
        <v>100</v>
      </c>
      <c r="L160" s="34">
        <v>100</v>
      </c>
    </row>
    <row r="161" spans="1:12" ht="26.25" thickBot="1" x14ac:dyDescent="0.3">
      <c r="A161" s="25" t="s">
        <v>287</v>
      </c>
      <c r="B161" s="59" t="s">
        <v>288</v>
      </c>
      <c r="C161" s="50"/>
      <c r="D161" s="26"/>
      <c r="E161" s="27">
        <f>E162+E167</f>
        <v>7380</v>
      </c>
      <c r="F161" s="27">
        <f>F162+F167</f>
        <v>6148.6</v>
      </c>
      <c r="G161" s="27">
        <f>G162+G167</f>
        <v>6149</v>
      </c>
      <c r="H161" s="59"/>
      <c r="I161" s="28"/>
      <c r="J161" s="29"/>
      <c r="K161" s="29"/>
      <c r="L161" s="29"/>
    </row>
    <row r="162" spans="1:12" ht="76.5" x14ac:dyDescent="0.25">
      <c r="A162" s="19" t="s">
        <v>289</v>
      </c>
      <c r="B162" s="60" t="s">
        <v>290</v>
      </c>
      <c r="C162" s="51" t="s">
        <v>291</v>
      </c>
      <c r="D162" s="20"/>
      <c r="E162" s="21">
        <f>SUM(E163:E166)</f>
        <v>6880</v>
      </c>
      <c r="F162" s="21">
        <f>SUM(F163:F166)</f>
        <v>5648.6</v>
      </c>
      <c r="G162" s="21">
        <f>SUM(G163:G166)</f>
        <v>5649</v>
      </c>
      <c r="H162" s="60" t="s">
        <v>292</v>
      </c>
      <c r="I162" s="22" t="s">
        <v>18</v>
      </c>
      <c r="J162" s="23">
        <v>100</v>
      </c>
      <c r="K162" s="23">
        <v>100</v>
      </c>
      <c r="L162" s="23">
        <v>100</v>
      </c>
    </row>
    <row r="163" spans="1:12" ht="51" x14ac:dyDescent="0.25">
      <c r="A163" s="15"/>
      <c r="B163" s="61"/>
      <c r="C163" s="52"/>
      <c r="D163" s="16" t="s">
        <v>27</v>
      </c>
      <c r="E163" s="4">
        <v>5419.2</v>
      </c>
      <c r="F163" s="4">
        <v>5288.6</v>
      </c>
      <c r="G163" s="4">
        <v>5289</v>
      </c>
      <c r="H163" s="61" t="s">
        <v>293</v>
      </c>
      <c r="I163" s="17" t="s">
        <v>18</v>
      </c>
      <c r="J163" s="18">
        <v>100</v>
      </c>
      <c r="K163" s="18">
        <v>100</v>
      </c>
      <c r="L163" s="18">
        <v>100</v>
      </c>
    </row>
    <row r="164" spans="1:12" x14ac:dyDescent="0.25">
      <c r="A164" s="15"/>
      <c r="B164" s="61"/>
      <c r="C164" s="52"/>
      <c r="D164" s="16" t="s">
        <v>36</v>
      </c>
      <c r="E164" s="4">
        <v>1000.8</v>
      </c>
      <c r="F164" s="4">
        <v>0</v>
      </c>
      <c r="G164" s="4">
        <v>0</v>
      </c>
      <c r="H164" s="61" t="s">
        <v>294</v>
      </c>
      <c r="I164" s="17" t="s">
        <v>22</v>
      </c>
      <c r="J164" s="18">
        <v>22</v>
      </c>
      <c r="K164" s="18">
        <v>12</v>
      </c>
      <c r="L164" s="18">
        <v>12</v>
      </c>
    </row>
    <row r="165" spans="1:12" x14ac:dyDescent="0.25">
      <c r="A165" s="15"/>
      <c r="B165" s="61"/>
      <c r="C165" s="52"/>
      <c r="D165" s="16" t="s">
        <v>295</v>
      </c>
      <c r="E165" s="4">
        <v>460</v>
      </c>
      <c r="F165" s="4">
        <v>360</v>
      </c>
      <c r="G165" s="4">
        <v>360</v>
      </c>
      <c r="H165" s="61" t="s">
        <v>296</v>
      </c>
      <c r="I165" s="17" t="s">
        <v>255</v>
      </c>
      <c r="J165" s="18">
        <v>1</v>
      </c>
      <c r="K165" s="18">
        <v>0</v>
      </c>
      <c r="L165" s="18">
        <v>0</v>
      </c>
    </row>
    <row r="166" spans="1:12" ht="15.75" thickBot="1" x14ac:dyDescent="0.3">
      <c r="A166" s="15"/>
      <c r="B166" s="61"/>
      <c r="C166" s="52"/>
      <c r="D166" s="16"/>
      <c r="E166" s="4">
        <v>0</v>
      </c>
      <c r="F166" s="4">
        <v>0</v>
      </c>
      <c r="G166" s="4">
        <v>0</v>
      </c>
      <c r="H166" s="61" t="s">
        <v>297</v>
      </c>
      <c r="I166" s="17" t="s">
        <v>22</v>
      </c>
      <c r="J166" s="18">
        <v>120</v>
      </c>
      <c r="K166" s="18">
        <v>0</v>
      </c>
      <c r="L166" s="18">
        <v>0</v>
      </c>
    </row>
    <row r="167" spans="1:12" ht="26.25" thickBot="1" x14ac:dyDescent="0.3">
      <c r="A167" s="19" t="s">
        <v>298</v>
      </c>
      <c r="B167" s="60" t="s">
        <v>299</v>
      </c>
      <c r="C167" s="51" t="s">
        <v>191</v>
      </c>
      <c r="D167" s="20" t="s">
        <v>27</v>
      </c>
      <c r="E167" s="24">
        <v>500</v>
      </c>
      <c r="F167" s="24">
        <v>500</v>
      </c>
      <c r="G167" s="24">
        <v>500</v>
      </c>
      <c r="H167" s="60" t="s">
        <v>300</v>
      </c>
      <c r="I167" s="22" t="s">
        <v>22</v>
      </c>
      <c r="J167" s="23">
        <v>100</v>
      </c>
      <c r="K167" s="23">
        <v>100</v>
      </c>
      <c r="L167" s="23">
        <v>100</v>
      </c>
    </row>
    <row r="168" spans="1:12" ht="26.25" thickBot="1" x14ac:dyDescent="0.3">
      <c r="A168" s="25" t="s">
        <v>301</v>
      </c>
      <c r="B168" s="59" t="s">
        <v>302</v>
      </c>
      <c r="C168" s="50"/>
      <c r="D168" s="26"/>
      <c r="E168" s="27">
        <f>E169+E172+E176</f>
        <v>1244.5999999999999</v>
      </c>
      <c r="F168" s="27">
        <f>F169+F172+F176</f>
        <v>397.5</v>
      </c>
      <c r="G168" s="27">
        <f>G169+G172+G176</f>
        <v>275</v>
      </c>
      <c r="H168" s="59"/>
      <c r="I168" s="28"/>
      <c r="J168" s="29"/>
      <c r="K168" s="29"/>
      <c r="L168" s="29"/>
    </row>
    <row r="169" spans="1:12" ht="25.5" x14ac:dyDescent="0.25">
      <c r="A169" s="19" t="s">
        <v>303</v>
      </c>
      <c r="B169" s="60" t="s">
        <v>304</v>
      </c>
      <c r="C169" s="51" t="s">
        <v>191</v>
      </c>
      <c r="D169" s="20" t="s">
        <v>27</v>
      </c>
      <c r="E169" s="21">
        <f>SUM(E170:E171)+280</f>
        <v>280</v>
      </c>
      <c r="F169" s="21">
        <f>SUM(F170:F171)+270</f>
        <v>270</v>
      </c>
      <c r="G169" s="21">
        <f>SUM(G170:G171)+270</f>
        <v>270</v>
      </c>
      <c r="H169" s="60" t="s">
        <v>305</v>
      </c>
      <c r="I169" s="22" t="s">
        <v>22</v>
      </c>
      <c r="J169" s="23">
        <v>1</v>
      </c>
      <c r="K169" s="23">
        <v>1</v>
      </c>
      <c r="L169" s="23">
        <v>1</v>
      </c>
    </row>
    <row r="170" spans="1:12" x14ac:dyDescent="0.25">
      <c r="A170" s="15"/>
      <c r="B170" s="61"/>
      <c r="C170" s="52"/>
      <c r="D170" s="16"/>
      <c r="E170" s="4">
        <v>0</v>
      </c>
      <c r="F170" s="4">
        <v>0</v>
      </c>
      <c r="G170" s="4">
        <v>0</v>
      </c>
      <c r="H170" s="61" t="s">
        <v>306</v>
      </c>
      <c r="I170" s="17" t="s">
        <v>307</v>
      </c>
      <c r="J170" s="18">
        <v>0.5</v>
      </c>
      <c r="K170" s="18">
        <v>0.5</v>
      </c>
      <c r="L170" s="18">
        <v>0.5</v>
      </c>
    </row>
    <row r="171" spans="1:12" ht="26.25" thickBot="1" x14ac:dyDescent="0.3">
      <c r="A171" s="15"/>
      <c r="B171" s="61"/>
      <c r="C171" s="52"/>
      <c r="D171" s="16"/>
      <c r="E171" s="4">
        <v>0</v>
      </c>
      <c r="F171" s="4">
        <v>0</v>
      </c>
      <c r="G171" s="4">
        <v>0</v>
      </c>
      <c r="H171" s="61" t="s">
        <v>308</v>
      </c>
      <c r="I171" s="17" t="s">
        <v>18</v>
      </c>
      <c r="J171" s="18">
        <v>100</v>
      </c>
      <c r="K171" s="18">
        <v>100</v>
      </c>
      <c r="L171" s="18">
        <v>100</v>
      </c>
    </row>
    <row r="172" spans="1:12" ht="63.75" x14ac:dyDescent="0.25">
      <c r="A172" s="19" t="s">
        <v>309</v>
      </c>
      <c r="B172" s="60" t="s">
        <v>310</v>
      </c>
      <c r="C172" s="51" t="s">
        <v>311</v>
      </c>
      <c r="D172" s="20"/>
      <c r="E172" s="21">
        <f>SUM(E173:E175)</f>
        <v>174.6</v>
      </c>
      <c r="F172" s="21">
        <f>SUM(F173:F175)</f>
        <v>127.5</v>
      </c>
      <c r="G172" s="21">
        <f>SUM(G173:G175)</f>
        <v>5</v>
      </c>
      <c r="H172" s="60" t="s">
        <v>312</v>
      </c>
      <c r="I172" s="22" t="s">
        <v>18</v>
      </c>
      <c r="J172" s="23">
        <v>40</v>
      </c>
      <c r="K172" s="23">
        <v>100</v>
      </c>
      <c r="L172" s="23"/>
    </row>
    <row r="173" spans="1:12" ht="25.5" x14ac:dyDescent="0.25">
      <c r="A173" s="15"/>
      <c r="B173" s="61"/>
      <c r="C173" s="52"/>
      <c r="D173" s="16" t="s">
        <v>36</v>
      </c>
      <c r="E173" s="4">
        <v>92.1</v>
      </c>
      <c r="F173" s="4">
        <v>0</v>
      </c>
      <c r="G173" s="4">
        <v>0</v>
      </c>
      <c r="H173" s="61" t="s">
        <v>313</v>
      </c>
      <c r="I173" s="17" t="s">
        <v>18</v>
      </c>
      <c r="J173" s="18">
        <v>100</v>
      </c>
      <c r="K173" s="18">
        <v>100</v>
      </c>
      <c r="L173" s="18">
        <v>100</v>
      </c>
    </row>
    <row r="174" spans="1:12" x14ac:dyDescent="0.25">
      <c r="A174" s="15"/>
      <c r="B174" s="61"/>
      <c r="C174" s="52"/>
      <c r="D174" s="16" t="s">
        <v>123</v>
      </c>
      <c r="E174" s="4">
        <v>10</v>
      </c>
      <c r="F174" s="4"/>
      <c r="G174" s="4"/>
      <c r="H174" s="61"/>
      <c r="I174" s="17"/>
      <c r="J174" s="18"/>
      <c r="K174" s="18"/>
      <c r="L174" s="18"/>
    </row>
    <row r="175" spans="1:12" ht="15.75" thickBot="1" x14ac:dyDescent="0.3">
      <c r="A175" s="15"/>
      <c r="B175" s="61"/>
      <c r="C175" s="52"/>
      <c r="D175" s="16" t="s">
        <v>27</v>
      </c>
      <c r="E175" s="4">
        <v>72.5</v>
      </c>
      <c r="F175" s="4">
        <v>127.5</v>
      </c>
      <c r="G175" s="4">
        <v>5</v>
      </c>
      <c r="H175" s="61"/>
      <c r="I175" s="17"/>
      <c r="J175" s="18"/>
      <c r="K175" s="18"/>
      <c r="L175" s="18"/>
    </row>
    <row r="176" spans="1:12" ht="51" x14ac:dyDescent="0.25">
      <c r="A176" s="19" t="s">
        <v>314</v>
      </c>
      <c r="B176" s="60" t="s">
        <v>315</v>
      </c>
      <c r="C176" s="51" t="s">
        <v>316</v>
      </c>
      <c r="D176" s="20"/>
      <c r="E176" s="21">
        <f>SUM(E177:E178)</f>
        <v>790</v>
      </c>
      <c r="F176" s="21">
        <f>SUM(F177:F178)</f>
        <v>0</v>
      </c>
      <c r="G176" s="21">
        <f>SUM(G177:G178)</f>
        <v>0</v>
      </c>
      <c r="H176" s="60" t="s">
        <v>317</v>
      </c>
      <c r="I176" s="22" t="s">
        <v>18</v>
      </c>
      <c r="J176" s="23">
        <v>100</v>
      </c>
      <c r="K176" s="23"/>
      <c r="L176" s="23"/>
    </row>
    <row r="177" spans="1:12" x14ac:dyDescent="0.25">
      <c r="A177" s="15"/>
      <c r="B177" s="61"/>
      <c r="C177" s="52"/>
      <c r="D177" s="16" t="s">
        <v>147</v>
      </c>
      <c r="E177" s="4">
        <v>681</v>
      </c>
      <c r="F177" s="4">
        <v>0</v>
      </c>
      <c r="G177" s="4">
        <v>0</v>
      </c>
      <c r="H177" s="61"/>
      <c r="I177" s="17"/>
      <c r="J177" s="18"/>
      <c r="K177" s="18"/>
      <c r="L177" s="18"/>
    </row>
    <row r="178" spans="1:12" ht="15.75" thickBot="1" x14ac:dyDescent="0.3">
      <c r="A178" s="15"/>
      <c r="B178" s="61"/>
      <c r="C178" s="52"/>
      <c r="D178" s="16" t="s">
        <v>27</v>
      </c>
      <c r="E178" s="4">
        <v>109</v>
      </c>
      <c r="F178" s="4">
        <v>0</v>
      </c>
      <c r="G178" s="4">
        <v>0</v>
      </c>
      <c r="H178" s="61"/>
      <c r="I178" s="17"/>
      <c r="J178" s="18"/>
      <c r="K178" s="18"/>
      <c r="L178" s="18"/>
    </row>
    <row r="179" spans="1:12" ht="15.75" thickBot="1" x14ac:dyDescent="0.3">
      <c r="A179" s="25" t="s">
        <v>318</v>
      </c>
      <c r="B179" s="59" t="s">
        <v>319</v>
      </c>
      <c r="C179" s="50"/>
      <c r="D179" s="26"/>
      <c r="E179" s="27">
        <f>E180+E181+E186+E190+E195+E199+E205+E209</f>
        <v>5662.5999999999995</v>
      </c>
      <c r="F179" s="27">
        <f>F180+F181+F186+F190+F195+F199+F205+F209</f>
        <v>972.59999999999991</v>
      </c>
      <c r="G179" s="27">
        <f>G180+G181+G186+G190+G195+G199+G205+G209</f>
        <v>200</v>
      </c>
      <c r="H179" s="59"/>
      <c r="I179" s="28"/>
      <c r="J179" s="29"/>
      <c r="K179" s="29"/>
      <c r="L179" s="29"/>
    </row>
    <row r="180" spans="1:12" ht="26.25" thickBot="1" x14ac:dyDescent="0.3">
      <c r="A180" s="19" t="s">
        <v>320</v>
      </c>
      <c r="B180" s="60" t="s">
        <v>321</v>
      </c>
      <c r="C180" s="51" t="s">
        <v>139</v>
      </c>
      <c r="D180" s="20"/>
      <c r="E180" s="24">
        <v>0</v>
      </c>
      <c r="F180" s="24">
        <v>0</v>
      </c>
      <c r="G180" s="24">
        <v>0</v>
      </c>
      <c r="H180" s="60"/>
      <c r="I180" s="22"/>
      <c r="J180" s="23"/>
      <c r="K180" s="23"/>
      <c r="L180" s="23"/>
    </row>
    <row r="181" spans="1:12" ht="25.5" x14ac:dyDescent="0.25">
      <c r="A181" s="19" t="s">
        <v>322</v>
      </c>
      <c r="B181" s="60" t="s">
        <v>323</v>
      </c>
      <c r="C181" s="51" t="s">
        <v>139</v>
      </c>
      <c r="D181" s="20"/>
      <c r="E181" s="21">
        <f>SUM(E182:E185)</f>
        <v>1839.2</v>
      </c>
      <c r="F181" s="21">
        <f>SUM(F182:F185)</f>
        <v>0</v>
      </c>
      <c r="G181" s="21">
        <f>SUM(G182:G185)</f>
        <v>0</v>
      </c>
      <c r="H181" s="60" t="s">
        <v>324</v>
      </c>
      <c r="I181" s="22" t="s">
        <v>18</v>
      </c>
      <c r="J181" s="23">
        <v>100</v>
      </c>
      <c r="K181" s="23"/>
      <c r="L181" s="23"/>
    </row>
    <row r="182" spans="1:12" ht="25.5" x14ac:dyDescent="0.25">
      <c r="A182" s="15"/>
      <c r="B182" s="61"/>
      <c r="C182" s="52"/>
      <c r="D182" s="16" t="s">
        <v>36</v>
      </c>
      <c r="E182" s="4">
        <v>1068.3</v>
      </c>
      <c r="F182" s="4">
        <v>0</v>
      </c>
      <c r="G182" s="4">
        <v>0</v>
      </c>
      <c r="H182" s="61" t="s">
        <v>243</v>
      </c>
      <c r="I182" s="17" t="s">
        <v>22</v>
      </c>
      <c r="J182" s="18">
        <v>1</v>
      </c>
      <c r="K182" s="18"/>
      <c r="L182" s="18"/>
    </row>
    <row r="183" spans="1:12" x14ac:dyDescent="0.25">
      <c r="A183" s="15"/>
      <c r="B183" s="61"/>
      <c r="C183" s="52"/>
      <c r="D183" s="16" t="s">
        <v>169</v>
      </c>
      <c r="E183" s="4">
        <v>432.7</v>
      </c>
      <c r="F183" s="4"/>
      <c r="G183" s="4"/>
      <c r="H183" s="61"/>
      <c r="I183" s="17"/>
      <c r="J183" s="18"/>
      <c r="K183" s="18"/>
      <c r="L183" s="18"/>
    </row>
    <row r="184" spans="1:12" x14ac:dyDescent="0.25">
      <c r="A184" s="15"/>
      <c r="B184" s="61"/>
      <c r="C184" s="52"/>
      <c r="D184" s="16" t="s">
        <v>126</v>
      </c>
      <c r="E184" s="4">
        <v>38.200000000000003</v>
      </c>
      <c r="F184" s="4"/>
      <c r="G184" s="4"/>
      <c r="H184" s="61"/>
      <c r="I184" s="17"/>
      <c r="J184" s="18"/>
      <c r="K184" s="18"/>
      <c r="L184" s="18"/>
    </row>
    <row r="185" spans="1:12" ht="15.75" thickBot="1" x14ac:dyDescent="0.3">
      <c r="A185" s="15"/>
      <c r="B185" s="61"/>
      <c r="C185" s="52"/>
      <c r="D185" s="16" t="s">
        <v>147</v>
      </c>
      <c r="E185" s="4">
        <v>300</v>
      </c>
      <c r="F185" s="4"/>
      <c r="G185" s="4"/>
      <c r="H185" s="61"/>
      <c r="I185" s="17"/>
      <c r="J185" s="18"/>
      <c r="K185" s="18"/>
      <c r="L185" s="18"/>
    </row>
    <row r="186" spans="1:12" ht="89.25" x14ac:dyDescent="0.25">
      <c r="A186" s="19" t="s">
        <v>325</v>
      </c>
      <c r="B186" s="60" t="s">
        <v>326</v>
      </c>
      <c r="C186" s="51" t="s">
        <v>327</v>
      </c>
      <c r="D186" s="20"/>
      <c r="E186" s="21">
        <f>SUM(E187:E189)</f>
        <v>262.3</v>
      </c>
      <c r="F186" s="21">
        <f>SUM(F187:F189)</f>
        <v>0</v>
      </c>
      <c r="G186" s="21">
        <f>SUM(G187:G189)</f>
        <v>0</v>
      </c>
      <c r="H186" s="60" t="s">
        <v>328</v>
      </c>
      <c r="I186" s="22" t="s">
        <v>228</v>
      </c>
      <c r="J186" s="66">
        <v>99432</v>
      </c>
      <c r="K186" s="23"/>
      <c r="L186" s="23"/>
    </row>
    <row r="187" spans="1:12" x14ac:dyDescent="0.25">
      <c r="A187" s="15"/>
      <c r="B187" s="61"/>
      <c r="C187" s="52"/>
      <c r="D187" s="16" t="s">
        <v>36</v>
      </c>
      <c r="E187" s="4">
        <v>189.5</v>
      </c>
      <c r="F187" s="4">
        <v>0</v>
      </c>
      <c r="G187" s="4">
        <v>0</v>
      </c>
      <c r="H187" s="61" t="s">
        <v>324</v>
      </c>
      <c r="I187" s="17" t="s">
        <v>18</v>
      </c>
      <c r="J187" s="18">
        <v>100</v>
      </c>
      <c r="K187" s="18"/>
      <c r="L187" s="18"/>
    </row>
    <row r="188" spans="1:12" x14ac:dyDescent="0.25">
      <c r="A188" s="15"/>
      <c r="B188" s="61"/>
      <c r="C188" s="52"/>
      <c r="D188" s="16" t="s">
        <v>126</v>
      </c>
      <c r="E188" s="4">
        <v>6</v>
      </c>
      <c r="F188" s="4"/>
      <c r="G188" s="4"/>
      <c r="H188" s="61"/>
      <c r="I188" s="17"/>
      <c r="J188" s="18"/>
      <c r="K188" s="18"/>
      <c r="L188" s="18"/>
    </row>
    <row r="189" spans="1:12" ht="15.75" thickBot="1" x14ac:dyDescent="0.3">
      <c r="A189" s="15"/>
      <c r="B189" s="61"/>
      <c r="C189" s="52"/>
      <c r="D189" s="16" t="s">
        <v>169</v>
      </c>
      <c r="E189" s="4">
        <v>66.8</v>
      </c>
      <c r="F189" s="4"/>
      <c r="G189" s="4"/>
      <c r="H189" s="61"/>
      <c r="I189" s="17"/>
      <c r="J189" s="18"/>
      <c r="K189" s="18"/>
      <c r="L189" s="18"/>
    </row>
    <row r="190" spans="1:12" ht="89.25" x14ac:dyDescent="0.25">
      <c r="A190" s="19" t="s">
        <v>329</v>
      </c>
      <c r="B190" s="60" t="s">
        <v>330</v>
      </c>
      <c r="C190" s="51" t="s">
        <v>327</v>
      </c>
      <c r="D190" s="20"/>
      <c r="E190" s="21">
        <f>SUM(E191:E194)</f>
        <v>1580</v>
      </c>
      <c r="F190" s="21">
        <f>SUM(F191:F194)</f>
        <v>0</v>
      </c>
      <c r="G190" s="21">
        <f>SUM(G191:G194)</f>
        <v>0</v>
      </c>
      <c r="H190" s="60" t="s">
        <v>243</v>
      </c>
      <c r="I190" s="22" t="s">
        <v>22</v>
      </c>
      <c r="J190" s="23">
        <v>1</v>
      </c>
      <c r="K190" s="23"/>
      <c r="L190" s="23"/>
    </row>
    <row r="191" spans="1:12" x14ac:dyDescent="0.25">
      <c r="A191" s="15"/>
      <c r="B191" s="61"/>
      <c r="C191" s="52"/>
      <c r="D191" s="16" t="s">
        <v>36</v>
      </c>
      <c r="E191" s="4">
        <v>405</v>
      </c>
      <c r="F191" s="4">
        <v>0</v>
      </c>
      <c r="G191" s="4">
        <v>0</v>
      </c>
      <c r="H191" s="61"/>
      <c r="I191" s="17"/>
      <c r="J191" s="18"/>
      <c r="K191" s="18"/>
      <c r="L191" s="18"/>
    </row>
    <row r="192" spans="1:12" x14ac:dyDescent="0.25">
      <c r="A192" s="15"/>
      <c r="B192" s="61"/>
      <c r="C192" s="52"/>
      <c r="D192" s="16" t="s">
        <v>27</v>
      </c>
      <c r="E192" s="4">
        <v>100</v>
      </c>
      <c r="F192" s="4">
        <v>0</v>
      </c>
      <c r="G192" s="4">
        <v>0</v>
      </c>
      <c r="H192" s="61"/>
      <c r="I192" s="17"/>
      <c r="J192" s="18"/>
      <c r="K192" s="18"/>
      <c r="L192" s="18"/>
    </row>
    <row r="193" spans="1:12" x14ac:dyDescent="0.25">
      <c r="A193" s="15"/>
      <c r="B193" s="61"/>
      <c r="C193" s="52"/>
      <c r="D193" s="16" t="s">
        <v>126</v>
      </c>
      <c r="E193" s="4">
        <v>87.2</v>
      </c>
      <c r="F193" s="4">
        <v>0</v>
      </c>
      <c r="G193" s="4">
        <v>0</v>
      </c>
      <c r="H193" s="61"/>
      <c r="I193" s="17"/>
      <c r="J193" s="18"/>
      <c r="K193" s="18"/>
      <c r="L193" s="18"/>
    </row>
    <row r="194" spans="1:12" ht="15.75" thickBot="1" x14ac:dyDescent="0.3">
      <c r="A194" s="15"/>
      <c r="B194" s="61"/>
      <c r="C194" s="52"/>
      <c r="D194" s="16" t="s">
        <v>169</v>
      </c>
      <c r="E194" s="4">
        <v>987.8</v>
      </c>
      <c r="F194" s="4">
        <v>0</v>
      </c>
      <c r="G194" s="4">
        <v>0</v>
      </c>
      <c r="H194" s="61"/>
      <c r="I194" s="17"/>
      <c r="J194" s="18"/>
      <c r="K194" s="18"/>
      <c r="L194" s="18"/>
    </row>
    <row r="195" spans="1:12" ht="63.75" x14ac:dyDescent="0.25">
      <c r="A195" s="19" t="s">
        <v>331</v>
      </c>
      <c r="B195" s="60" t="s">
        <v>332</v>
      </c>
      <c r="C195" s="51" t="s">
        <v>333</v>
      </c>
      <c r="D195" s="20"/>
      <c r="E195" s="21">
        <f>SUM(E196:E198)</f>
        <v>167</v>
      </c>
      <c r="F195" s="21">
        <f>SUM(F196:F198)</f>
        <v>0</v>
      </c>
      <c r="G195" s="21">
        <f>SUM(G196:G198)</f>
        <v>0</v>
      </c>
      <c r="H195" s="60" t="s">
        <v>243</v>
      </c>
      <c r="I195" s="22" t="s">
        <v>22</v>
      </c>
      <c r="J195" s="23">
        <v>1</v>
      </c>
      <c r="K195" s="23"/>
      <c r="L195" s="23"/>
    </row>
    <row r="196" spans="1:12" x14ac:dyDescent="0.25">
      <c r="A196" s="15"/>
      <c r="B196" s="61"/>
      <c r="C196" s="52"/>
      <c r="D196" s="16" t="s">
        <v>36</v>
      </c>
      <c r="E196" s="4">
        <v>160.5</v>
      </c>
      <c r="F196" s="4">
        <v>0</v>
      </c>
      <c r="G196" s="4">
        <v>0</v>
      </c>
      <c r="H196" s="61"/>
      <c r="I196" s="17"/>
      <c r="J196" s="18"/>
      <c r="K196" s="18"/>
      <c r="L196" s="18"/>
    </row>
    <row r="197" spans="1:12" x14ac:dyDescent="0.25">
      <c r="A197" s="15"/>
      <c r="B197" s="61"/>
      <c r="C197" s="52"/>
      <c r="D197" s="16" t="s">
        <v>126</v>
      </c>
      <c r="E197" s="4">
        <v>0.6</v>
      </c>
      <c r="F197" s="4">
        <v>0</v>
      </c>
      <c r="G197" s="4">
        <v>0</v>
      </c>
      <c r="H197" s="61"/>
      <c r="I197" s="17"/>
      <c r="J197" s="18"/>
      <c r="K197" s="18"/>
      <c r="L197" s="18"/>
    </row>
    <row r="198" spans="1:12" ht="15.75" thickBot="1" x14ac:dyDescent="0.3">
      <c r="A198" s="15"/>
      <c r="B198" s="61"/>
      <c r="C198" s="52"/>
      <c r="D198" s="16" t="s">
        <v>169</v>
      </c>
      <c r="E198" s="4">
        <v>5.9</v>
      </c>
      <c r="F198" s="4">
        <v>0</v>
      </c>
      <c r="G198" s="4">
        <v>0</v>
      </c>
      <c r="H198" s="61"/>
      <c r="I198" s="17"/>
      <c r="J198" s="18"/>
      <c r="K198" s="18"/>
      <c r="L198" s="18"/>
    </row>
    <row r="199" spans="1:12" ht="89.25" x14ac:dyDescent="0.25">
      <c r="A199" s="19" t="s">
        <v>334</v>
      </c>
      <c r="B199" s="60" t="s">
        <v>335</v>
      </c>
      <c r="C199" s="51" t="s">
        <v>336</v>
      </c>
      <c r="D199" s="20"/>
      <c r="E199" s="21">
        <f>SUM(E200:E204)</f>
        <v>1335.9</v>
      </c>
      <c r="F199" s="21">
        <f>SUM(F200:F204)</f>
        <v>772.59999999999991</v>
      </c>
      <c r="G199" s="21">
        <f>SUM(G200:G204)</f>
        <v>0</v>
      </c>
      <c r="H199" s="60" t="s">
        <v>324</v>
      </c>
      <c r="I199" s="22" t="s">
        <v>18</v>
      </c>
      <c r="J199" s="23">
        <v>96</v>
      </c>
      <c r="K199" s="23">
        <v>100</v>
      </c>
      <c r="L199" s="23"/>
    </row>
    <row r="200" spans="1:12" x14ac:dyDescent="0.25">
      <c r="A200" s="15"/>
      <c r="B200" s="61"/>
      <c r="C200" s="52"/>
      <c r="D200" s="16" t="s">
        <v>36</v>
      </c>
      <c r="E200" s="4">
        <v>613.4</v>
      </c>
      <c r="F200" s="4">
        <v>0</v>
      </c>
      <c r="G200" s="4">
        <v>0</v>
      </c>
      <c r="H200" s="61" t="s">
        <v>328</v>
      </c>
      <c r="I200" s="17" t="s">
        <v>228</v>
      </c>
      <c r="J200" s="18"/>
      <c r="K200" s="63">
        <v>197965</v>
      </c>
      <c r="L200" s="18"/>
    </row>
    <row r="201" spans="1:12" x14ac:dyDescent="0.25">
      <c r="A201" s="15"/>
      <c r="B201" s="61"/>
      <c r="C201" s="52"/>
      <c r="D201" s="16" t="s">
        <v>27</v>
      </c>
      <c r="E201" s="4">
        <v>125</v>
      </c>
      <c r="F201" s="4">
        <v>475</v>
      </c>
      <c r="G201" s="4"/>
      <c r="H201" s="61"/>
      <c r="I201" s="17"/>
      <c r="J201" s="18"/>
      <c r="K201" s="18"/>
      <c r="L201" s="18"/>
    </row>
    <row r="202" spans="1:12" x14ac:dyDescent="0.25">
      <c r="A202" s="15"/>
      <c r="B202" s="61"/>
      <c r="C202" s="52"/>
      <c r="D202" s="16" t="s">
        <v>126</v>
      </c>
      <c r="E202" s="4">
        <v>24.1</v>
      </c>
      <c r="F202" s="4">
        <v>24.2</v>
      </c>
      <c r="G202" s="4"/>
      <c r="H202" s="61"/>
      <c r="I202" s="17"/>
      <c r="J202" s="18"/>
      <c r="K202" s="18"/>
      <c r="L202" s="18"/>
    </row>
    <row r="203" spans="1:12" x14ac:dyDescent="0.25">
      <c r="A203" s="15"/>
      <c r="B203" s="61"/>
      <c r="C203" s="52"/>
      <c r="D203" s="16" t="s">
        <v>169</v>
      </c>
      <c r="E203" s="4">
        <v>273.39999999999998</v>
      </c>
      <c r="F203" s="4">
        <v>273.39999999999998</v>
      </c>
      <c r="G203" s="4"/>
      <c r="H203" s="61"/>
      <c r="I203" s="17"/>
      <c r="J203" s="18"/>
      <c r="K203" s="18"/>
      <c r="L203" s="18"/>
    </row>
    <row r="204" spans="1:12" ht="15.75" thickBot="1" x14ac:dyDescent="0.3">
      <c r="A204" s="15"/>
      <c r="B204" s="61"/>
      <c r="C204" s="52"/>
      <c r="D204" s="16" t="s">
        <v>147</v>
      </c>
      <c r="E204" s="4">
        <v>300</v>
      </c>
      <c r="F204" s="4"/>
      <c r="G204" s="4"/>
      <c r="H204" s="61"/>
      <c r="I204" s="17"/>
      <c r="J204" s="18"/>
      <c r="K204" s="18"/>
      <c r="L204" s="18"/>
    </row>
    <row r="205" spans="1:12" ht="51" x14ac:dyDescent="0.25">
      <c r="A205" s="19" t="s">
        <v>337</v>
      </c>
      <c r="B205" s="60" t="s">
        <v>338</v>
      </c>
      <c r="C205" s="51" t="s">
        <v>209</v>
      </c>
      <c r="D205" s="20"/>
      <c r="E205" s="21">
        <f>SUM(E206:E208)</f>
        <v>153.4</v>
      </c>
      <c r="F205" s="21">
        <f>SUM(F206:F208)</f>
        <v>0</v>
      </c>
      <c r="G205" s="21">
        <f>SUM(G206:G208)</f>
        <v>0</v>
      </c>
      <c r="H205" s="60" t="s">
        <v>243</v>
      </c>
      <c r="I205" s="22" t="s">
        <v>22</v>
      </c>
      <c r="J205" s="23">
        <v>1</v>
      </c>
      <c r="K205" s="23"/>
      <c r="L205" s="23"/>
    </row>
    <row r="206" spans="1:12" x14ac:dyDescent="0.25">
      <c r="A206" s="15"/>
      <c r="B206" s="61"/>
      <c r="C206" s="52"/>
      <c r="D206" s="16" t="s">
        <v>36</v>
      </c>
      <c r="E206" s="4">
        <v>142</v>
      </c>
      <c r="F206" s="4">
        <v>0</v>
      </c>
      <c r="G206" s="4">
        <v>0</v>
      </c>
      <c r="H206" s="61"/>
      <c r="I206" s="17"/>
      <c r="J206" s="18"/>
      <c r="K206" s="18"/>
      <c r="L206" s="18"/>
    </row>
    <row r="207" spans="1:12" x14ac:dyDescent="0.25">
      <c r="A207" s="15"/>
      <c r="B207" s="61"/>
      <c r="C207" s="52"/>
      <c r="D207" s="16" t="s">
        <v>169</v>
      </c>
      <c r="E207" s="4">
        <v>10.3</v>
      </c>
      <c r="F207" s="4">
        <v>0</v>
      </c>
      <c r="G207" s="4">
        <v>0</v>
      </c>
      <c r="H207" s="61"/>
      <c r="I207" s="17"/>
      <c r="J207" s="18"/>
      <c r="K207" s="18"/>
      <c r="L207" s="18"/>
    </row>
    <row r="208" spans="1:12" ht="15.75" thickBot="1" x14ac:dyDescent="0.3">
      <c r="A208" s="15"/>
      <c r="B208" s="61"/>
      <c r="C208" s="52"/>
      <c r="D208" s="16" t="s">
        <v>126</v>
      </c>
      <c r="E208" s="4">
        <v>1.1000000000000001</v>
      </c>
      <c r="F208" s="4">
        <v>0</v>
      </c>
      <c r="G208" s="4">
        <v>0</v>
      </c>
      <c r="H208" s="61"/>
      <c r="I208" s="17"/>
      <c r="J208" s="18"/>
      <c r="K208" s="18"/>
      <c r="L208" s="18"/>
    </row>
    <row r="209" spans="1:12" ht="38.25" x14ac:dyDescent="0.25">
      <c r="A209" s="19" t="s">
        <v>339</v>
      </c>
      <c r="B209" s="60" t="s">
        <v>340</v>
      </c>
      <c r="C209" s="51" t="s">
        <v>341</v>
      </c>
      <c r="D209" s="20"/>
      <c r="E209" s="21">
        <f>SUM(E210:E213)</f>
        <v>324.8</v>
      </c>
      <c r="F209" s="21">
        <f>SUM(F210:F213)</f>
        <v>200</v>
      </c>
      <c r="G209" s="21">
        <f>SUM(G210:G213)</f>
        <v>200</v>
      </c>
      <c r="H209" s="60" t="s">
        <v>342</v>
      </c>
      <c r="I209" s="22" t="s">
        <v>265</v>
      </c>
      <c r="J209" s="23">
        <v>7</v>
      </c>
      <c r="K209" s="23">
        <v>5</v>
      </c>
      <c r="L209" s="23">
        <v>4</v>
      </c>
    </row>
    <row r="210" spans="1:12" ht="51" x14ac:dyDescent="0.25">
      <c r="A210" s="15"/>
      <c r="B210" s="61"/>
      <c r="C210" s="52"/>
      <c r="D210" s="16" t="s">
        <v>27</v>
      </c>
      <c r="E210" s="4">
        <v>307.5</v>
      </c>
      <c r="F210" s="4">
        <v>200</v>
      </c>
      <c r="G210" s="4">
        <v>200</v>
      </c>
      <c r="H210" s="61" t="s">
        <v>343</v>
      </c>
      <c r="I210" s="17" t="s">
        <v>265</v>
      </c>
      <c r="J210" s="18">
        <v>3</v>
      </c>
      <c r="K210" s="18">
        <v>3</v>
      </c>
      <c r="L210" s="18"/>
    </row>
    <row r="211" spans="1:12" ht="25.5" x14ac:dyDescent="0.25">
      <c r="A211" s="15"/>
      <c r="B211" s="61"/>
      <c r="C211" s="52"/>
      <c r="D211" s="16" t="s">
        <v>36</v>
      </c>
      <c r="E211" s="4">
        <v>17.3</v>
      </c>
      <c r="F211" s="4">
        <v>0</v>
      </c>
      <c r="G211" s="4">
        <v>0</v>
      </c>
      <c r="H211" s="61" t="s">
        <v>344</v>
      </c>
      <c r="I211" s="17" t="s">
        <v>265</v>
      </c>
      <c r="J211" s="18">
        <v>55</v>
      </c>
      <c r="K211" s="18">
        <v>10</v>
      </c>
      <c r="L211" s="18">
        <v>7</v>
      </c>
    </row>
    <row r="212" spans="1:12" ht="25.5" x14ac:dyDescent="0.25">
      <c r="A212" s="15"/>
      <c r="B212" s="61"/>
      <c r="C212" s="52"/>
      <c r="D212" s="16"/>
      <c r="E212" s="4">
        <v>0</v>
      </c>
      <c r="F212" s="4">
        <v>0</v>
      </c>
      <c r="G212" s="4">
        <v>0</v>
      </c>
      <c r="H212" s="61" t="s">
        <v>345</v>
      </c>
      <c r="I212" s="17" t="s">
        <v>265</v>
      </c>
      <c r="J212" s="18">
        <v>3</v>
      </c>
      <c r="K212" s="18">
        <v>1</v>
      </c>
      <c r="L212" s="18">
        <v>1</v>
      </c>
    </row>
    <row r="213" spans="1:12" ht="15.75" thickBot="1" x14ac:dyDescent="0.3">
      <c r="A213" s="15"/>
      <c r="B213" s="61"/>
      <c r="C213" s="52"/>
      <c r="D213" s="16"/>
      <c r="E213" s="4">
        <v>0</v>
      </c>
      <c r="F213" s="4">
        <v>0</v>
      </c>
      <c r="G213" s="4">
        <v>0</v>
      </c>
      <c r="H213" s="61" t="s">
        <v>346</v>
      </c>
      <c r="I213" s="17" t="s">
        <v>265</v>
      </c>
      <c r="J213" s="18">
        <v>2</v>
      </c>
      <c r="K213" s="18">
        <v>1</v>
      </c>
      <c r="L213" s="18">
        <v>1</v>
      </c>
    </row>
    <row r="214" spans="1:12" ht="26.25" thickBot="1" x14ac:dyDescent="0.3">
      <c r="A214" s="30" t="s">
        <v>347</v>
      </c>
      <c r="B214" s="58" t="s">
        <v>348</v>
      </c>
      <c r="C214" s="49"/>
      <c r="D214" s="31"/>
      <c r="E214" s="32">
        <f>E215+E243</f>
        <v>16429.199999999997</v>
      </c>
      <c r="F214" s="32">
        <f>F215+F243</f>
        <v>11929.5</v>
      </c>
      <c r="G214" s="32">
        <f>G215+G243</f>
        <v>11404.8</v>
      </c>
      <c r="H214" s="58" t="s">
        <v>349</v>
      </c>
      <c r="I214" s="33" t="s">
        <v>307</v>
      </c>
      <c r="J214" s="34">
        <v>2.5</v>
      </c>
      <c r="K214" s="34">
        <v>3</v>
      </c>
      <c r="L214" s="34">
        <v>3</v>
      </c>
    </row>
    <row r="215" spans="1:12" ht="15.75" thickBot="1" x14ac:dyDescent="0.3">
      <c r="A215" s="25" t="s">
        <v>350</v>
      </c>
      <c r="B215" s="59" t="s">
        <v>351</v>
      </c>
      <c r="C215" s="50"/>
      <c r="D215" s="26"/>
      <c r="E215" s="27">
        <f>E216+E221+E228+E231+E232+E234+E235+E239+E240+E241+E242</f>
        <v>14268.299999999997</v>
      </c>
      <c r="F215" s="27">
        <f>F216+F221+F228+F231+F232+F234+F235+F239+F240+F241+F242</f>
        <v>9579.5</v>
      </c>
      <c r="G215" s="27">
        <f>G216+G221+G228+G231+G232+G234+G235+G239+G240+G241+G242</f>
        <v>9034.7999999999993</v>
      </c>
      <c r="H215" s="59"/>
      <c r="I215" s="28"/>
      <c r="J215" s="29"/>
      <c r="K215" s="29"/>
      <c r="L215" s="29"/>
    </row>
    <row r="216" spans="1:12" ht="89.25" x14ac:dyDescent="0.25">
      <c r="A216" s="19" t="s">
        <v>352</v>
      </c>
      <c r="B216" s="60" t="s">
        <v>353</v>
      </c>
      <c r="C216" s="51" t="s">
        <v>354</v>
      </c>
      <c r="D216" s="20"/>
      <c r="E216" s="21">
        <f>SUM(E217:E220)</f>
        <v>7613.2999999999993</v>
      </c>
      <c r="F216" s="21">
        <f>SUM(F217:F220)</f>
        <v>6960</v>
      </c>
      <c r="G216" s="21">
        <f>SUM(G217:G220)</f>
        <v>6960</v>
      </c>
      <c r="H216" s="60" t="s">
        <v>355</v>
      </c>
      <c r="I216" s="22" t="s">
        <v>18</v>
      </c>
      <c r="J216" s="23">
        <v>100</v>
      </c>
      <c r="K216" s="23">
        <v>100</v>
      </c>
      <c r="L216" s="23">
        <v>100</v>
      </c>
    </row>
    <row r="217" spans="1:12" x14ac:dyDescent="0.25">
      <c r="A217" s="15"/>
      <c r="B217" s="61"/>
      <c r="C217" s="52"/>
      <c r="D217" s="16" t="s">
        <v>27</v>
      </c>
      <c r="E217" s="4">
        <v>3625</v>
      </c>
      <c r="F217" s="4">
        <v>2700</v>
      </c>
      <c r="G217" s="4">
        <v>2700</v>
      </c>
      <c r="H217" s="61" t="s">
        <v>356</v>
      </c>
      <c r="I217" s="17" t="s">
        <v>18</v>
      </c>
      <c r="J217" s="18">
        <v>100</v>
      </c>
      <c r="K217" s="18">
        <v>100</v>
      </c>
      <c r="L217" s="18">
        <v>100</v>
      </c>
    </row>
    <row r="218" spans="1:12" ht="25.5" x14ac:dyDescent="0.25">
      <c r="A218" s="15"/>
      <c r="B218" s="61"/>
      <c r="C218" s="52"/>
      <c r="D218" s="16" t="s">
        <v>36</v>
      </c>
      <c r="E218" s="4">
        <v>1253.2</v>
      </c>
      <c r="F218" s="4">
        <v>0</v>
      </c>
      <c r="G218" s="4">
        <v>0</v>
      </c>
      <c r="H218" s="61" t="s">
        <v>357</v>
      </c>
      <c r="I218" s="17" t="s">
        <v>240</v>
      </c>
      <c r="J218" s="63">
        <v>1465</v>
      </c>
      <c r="K218" s="18">
        <v>281</v>
      </c>
      <c r="L218" s="18"/>
    </row>
    <row r="219" spans="1:12" x14ac:dyDescent="0.25">
      <c r="A219" s="15"/>
      <c r="B219" s="61"/>
      <c r="C219" s="52"/>
      <c r="D219" s="16" t="s">
        <v>295</v>
      </c>
      <c r="E219" s="4">
        <v>2135.1</v>
      </c>
      <c r="F219" s="4">
        <v>4260</v>
      </c>
      <c r="G219" s="4">
        <v>4260</v>
      </c>
      <c r="H219" s="61"/>
      <c r="I219" s="17"/>
      <c r="J219" s="18"/>
      <c r="K219" s="18"/>
      <c r="L219" s="18"/>
    </row>
    <row r="220" spans="1:12" ht="15.75" thickBot="1" x14ac:dyDescent="0.3">
      <c r="A220" s="15"/>
      <c r="B220" s="61"/>
      <c r="C220" s="52"/>
      <c r="D220" s="16" t="s">
        <v>147</v>
      </c>
      <c r="E220" s="4">
        <v>600</v>
      </c>
      <c r="F220" s="4"/>
      <c r="G220" s="4"/>
      <c r="H220" s="61"/>
      <c r="I220" s="17"/>
      <c r="J220" s="18"/>
      <c r="K220" s="18"/>
      <c r="L220" s="18"/>
    </row>
    <row r="221" spans="1:12" ht="51" x14ac:dyDescent="0.25">
      <c r="A221" s="19" t="s">
        <v>358</v>
      </c>
      <c r="B221" s="60" t="s">
        <v>359</v>
      </c>
      <c r="C221" s="51" t="s">
        <v>360</v>
      </c>
      <c r="D221" s="20"/>
      <c r="E221" s="21">
        <f>SUM(E222:E227)</f>
        <v>4521.8</v>
      </c>
      <c r="F221" s="21">
        <f>SUM(F222:F227)</f>
        <v>944.7</v>
      </c>
      <c r="G221" s="21">
        <f>SUM(G222:G227)</f>
        <v>0</v>
      </c>
      <c r="H221" s="60" t="s">
        <v>361</v>
      </c>
      <c r="I221" s="22" t="s">
        <v>18</v>
      </c>
      <c r="J221" s="23">
        <v>74</v>
      </c>
      <c r="K221" s="23">
        <v>100</v>
      </c>
      <c r="L221" s="23"/>
    </row>
    <row r="222" spans="1:12" x14ac:dyDescent="0.25">
      <c r="A222" s="15"/>
      <c r="B222" s="61"/>
      <c r="C222" s="52"/>
      <c r="D222" s="16" t="s">
        <v>295</v>
      </c>
      <c r="E222" s="4">
        <v>1445</v>
      </c>
      <c r="F222" s="4">
        <v>0</v>
      </c>
      <c r="G222" s="4">
        <v>0</v>
      </c>
      <c r="H222" s="61" t="s">
        <v>362</v>
      </c>
      <c r="I222" s="17" t="s">
        <v>22</v>
      </c>
      <c r="J222" s="18">
        <v>0</v>
      </c>
      <c r="K222" s="18">
        <v>1</v>
      </c>
      <c r="L222" s="18"/>
    </row>
    <row r="223" spans="1:12" x14ac:dyDescent="0.25">
      <c r="A223" s="15"/>
      <c r="B223" s="61"/>
      <c r="C223" s="52"/>
      <c r="D223" s="16" t="s">
        <v>36</v>
      </c>
      <c r="E223" s="4">
        <v>0.4</v>
      </c>
      <c r="F223" s="4"/>
      <c r="G223" s="4"/>
      <c r="H223" s="61"/>
      <c r="I223" s="17"/>
      <c r="J223" s="18"/>
      <c r="K223" s="18"/>
      <c r="L223" s="18"/>
    </row>
    <row r="224" spans="1:12" x14ac:dyDescent="0.25">
      <c r="A224" s="15"/>
      <c r="B224" s="61"/>
      <c r="C224" s="52"/>
      <c r="D224" s="16" t="s">
        <v>27</v>
      </c>
      <c r="E224" s="4">
        <v>412.7</v>
      </c>
      <c r="F224" s="4">
        <v>130</v>
      </c>
      <c r="G224" s="4"/>
      <c r="H224" s="61"/>
      <c r="I224" s="17"/>
      <c r="J224" s="18"/>
      <c r="K224" s="18"/>
      <c r="L224" s="18"/>
    </row>
    <row r="225" spans="1:12" x14ac:dyDescent="0.25">
      <c r="A225" s="15"/>
      <c r="B225" s="61"/>
      <c r="C225" s="52"/>
      <c r="D225" s="16" t="s">
        <v>126</v>
      </c>
      <c r="E225" s="4">
        <v>425.7</v>
      </c>
      <c r="F225" s="4">
        <v>66.099999999999994</v>
      </c>
      <c r="G225" s="4"/>
      <c r="H225" s="61"/>
      <c r="I225" s="17"/>
      <c r="J225" s="18"/>
      <c r="K225" s="18"/>
      <c r="L225" s="18"/>
    </row>
    <row r="226" spans="1:12" x14ac:dyDescent="0.25">
      <c r="A226" s="15"/>
      <c r="B226" s="61"/>
      <c r="C226" s="52"/>
      <c r="D226" s="16" t="s">
        <v>169</v>
      </c>
      <c r="E226" s="4">
        <v>2038</v>
      </c>
      <c r="F226" s="4">
        <v>748.6</v>
      </c>
      <c r="G226" s="4"/>
      <c r="H226" s="61"/>
      <c r="I226" s="17"/>
      <c r="J226" s="18"/>
      <c r="K226" s="18"/>
      <c r="L226" s="18"/>
    </row>
    <row r="227" spans="1:12" ht="15.75" thickBot="1" x14ac:dyDescent="0.3">
      <c r="A227" s="15"/>
      <c r="B227" s="61"/>
      <c r="C227" s="52"/>
      <c r="D227" s="16" t="s">
        <v>147</v>
      </c>
      <c r="E227" s="4">
        <v>200</v>
      </c>
      <c r="F227" s="4"/>
      <c r="G227" s="4"/>
      <c r="H227" s="61"/>
      <c r="I227" s="17"/>
      <c r="J227" s="18"/>
      <c r="K227" s="18"/>
      <c r="L227" s="18"/>
    </row>
    <row r="228" spans="1:12" ht="51" x14ac:dyDescent="0.25">
      <c r="A228" s="19" t="s">
        <v>363</v>
      </c>
      <c r="B228" s="60" t="s">
        <v>364</v>
      </c>
      <c r="C228" s="51" t="s">
        <v>17</v>
      </c>
      <c r="D228" s="20"/>
      <c r="E228" s="21">
        <f>SUM(E229:E230)</f>
        <v>15</v>
      </c>
      <c r="F228" s="21">
        <f>SUM(F229:F230)</f>
        <v>0</v>
      </c>
      <c r="G228" s="21">
        <f>SUM(G229:G230)</f>
        <v>0</v>
      </c>
      <c r="H228" s="60" t="s">
        <v>365</v>
      </c>
      <c r="I228" s="22" t="s">
        <v>18</v>
      </c>
      <c r="J228" s="23">
        <v>100</v>
      </c>
      <c r="K228" s="23"/>
      <c r="L228" s="23"/>
    </row>
    <row r="229" spans="1:12" x14ac:dyDescent="0.25">
      <c r="A229" s="15"/>
      <c r="B229" s="61"/>
      <c r="C229" s="52"/>
      <c r="D229" s="16" t="s">
        <v>27</v>
      </c>
      <c r="E229" s="4">
        <v>10</v>
      </c>
      <c r="F229" s="4">
        <v>0</v>
      </c>
      <c r="G229" s="4">
        <v>0</v>
      </c>
      <c r="H229" s="61"/>
      <c r="I229" s="17"/>
      <c r="J229" s="18"/>
      <c r="K229" s="18"/>
      <c r="L229" s="18"/>
    </row>
    <row r="230" spans="1:12" ht="15.75" thickBot="1" x14ac:dyDescent="0.3">
      <c r="A230" s="15"/>
      <c r="B230" s="61"/>
      <c r="C230" s="52"/>
      <c r="D230" s="16" t="s">
        <v>36</v>
      </c>
      <c r="E230" s="4">
        <v>5</v>
      </c>
      <c r="F230" s="4">
        <v>0</v>
      </c>
      <c r="G230" s="4">
        <v>0</v>
      </c>
      <c r="H230" s="61"/>
      <c r="I230" s="17"/>
      <c r="J230" s="18"/>
      <c r="K230" s="18"/>
      <c r="L230" s="18"/>
    </row>
    <row r="231" spans="1:12" ht="26.25" thickBot="1" x14ac:dyDescent="0.3">
      <c r="A231" s="19" t="s">
        <v>366</v>
      </c>
      <c r="B231" s="60" t="s">
        <v>367</v>
      </c>
      <c r="C231" s="51" t="s">
        <v>191</v>
      </c>
      <c r="D231" s="20"/>
      <c r="E231" s="24">
        <v>0</v>
      </c>
      <c r="F231" s="24">
        <v>0</v>
      </c>
      <c r="G231" s="24">
        <v>0</v>
      </c>
      <c r="H231" s="60"/>
      <c r="I231" s="22"/>
      <c r="J231" s="23"/>
      <c r="K231" s="23"/>
      <c r="L231" s="23"/>
    </row>
    <row r="232" spans="1:12" ht="51" x14ac:dyDescent="0.25">
      <c r="A232" s="19" t="s">
        <v>368</v>
      </c>
      <c r="B232" s="60" t="s">
        <v>369</v>
      </c>
      <c r="C232" s="51" t="s">
        <v>209</v>
      </c>
      <c r="D232" s="20"/>
      <c r="E232" s="21">
        <f>SUM(E233:E233)</f>
        <v>81.400000000000006</v>
      </c>
      <c r="F232" s="21">
        <f>SUM(F233:F233)</f>
        <v>0</v>
      </c>
      <c r="G232" s="21">
        <f>SUM(G233:G233)</f>
        <v>0</v>
      </c>
      <c r="H232" s="60" t="s">
        <v>243</v>
      </c>
      <c r="I232" s="22" t="s">
        <v>22</v>
      </c>
      <c r="J232" s="23">
        <v>1</v>
      </c>
      <c r="K232" s="23"/>
      <c r="L232" s="23"/>
    </row>
    <row r="233" spans="1:12" ht="15.75" thickBot="1" x14ac:dyDescent="0.3">
      <c r="A233" s="15"/>
      <c r="B233" s="61"/>
      <c r="C233" s="52"/>
      <c r="D233" s="16" t="s">
        <v>169</v>
      </c>
      <c r="E233" s="4">
        <v>81.400000000000006</v>
      </c>
      <c r="F233" s="4">
        <v>0</v>
      </c>
      <c r="G233" s="4">
        <v>0</v>
      </c>
      <c r="H233" s="61"/>
      <c r="I233" s="17"/>
      <c r="J233" s="18"/>
      <c r="K233" s="18"/>
      <c r="L233" s="18"/>
    </row>
    <row r="234" spans="1:12" ht="51.75" thickBot="1" x14ac:dyDescent="0.3">
      <c r="A234" s="19" t="s">
        <v>370</v>
      </c>
      <c r="B234" s="60" t="s">
        <v>371</v>
      </c>
      <c r="C234" s="51" t="s">
        <v>209</v>
      </c>
      <c r="D234" s="20"/>
      <c r="E234" s="24">
        <v>0</v>
      </c>
      <c r="F234" s="24">
        <v>0</v>
      </c>
      <c r="G234" s="24">
        <v>0</v>
      </c>
      <c r="H234" s="60"/>
      <c r="I234" s="22"/>
      <c r="J234" s="23"/>
      <c r="K234" s="23"/>
      <c r="L234" s="23"/>
    </row>
    <row r="235" spans="1:12" ht="25.5" x14ac:dyDescent="0.25">
      <c r="A235" s="19" t="s">
        <v>372</v>
      </c>
      <c r="B235" s="60" t="s">
        <v>373</v>
      </c>
      <c r="C235" s="51" t="s">
        <v>139</v>
      </c>
      <c r="D235" s="20"/>
      <c r="E235" s="21">
        <f>SUM(E236:E238)</f>
        <v>1192.5999999999999</v>
      </c>
      <c r="F235" s="21">
        <f>SUM(F236:F238)</f>
        <v>1100</v>
      </c>
      <c r="G235" s="21">
        <f>SUM(G236:G238)</f>
        <v>1500</v>
      </c>
      <c r="H235" s="60" t="s">
        <v>374</v>
      </c>
      <c r="I235" s="22" t="s">
        <v>22</v>
      </c>
      <c r="J235" s="23">
        <v>4</v>
      </c>
      <c r="K235" s="23">
        <v>4</v>
      </c>
      <c r="L235" s="23">
        <v>4</v>
      </c>
    </row>
    <row r="236" spans="1:12" x14ac:dyDescent="0.25">
      <c r="A236" s="15"/>
      <c r="B236" s="61"/>
      <c r="C236" s="52"/>
      <c r="D236" s="16" t="s">
        <v>27</v>
      </c>
      <c r="E236" s="4">
        <v>720</v>
      </c>
      <c r="F236" s="4">
        <v>1100</v>
      </c>
      <c r="G236" s="4">
        <v>1500</v>
      </c>
      <c r="H236" s="61" t="s">
        <v>324</v>
      </c>
      <c r="I236" s="17" t="s">
        <v>18</v>
      </c>
      <c r="J236" s="18">
        <v>100</v>
      </c>
      <c r="K236" s="18"/>
      <c r="L236" s="18"/>
    </row>
    <row r="237" spans="1:12" x14ac:dyDescent="0.25">
      <c r="A237" s="15"/>
      <c r="B237" s="61"/>
      <c r="C237" s="52"/>
      <c r="D237" s="16" t="s">
        <v>36</v>
      </c>
      <c r="E237" s="4">
        <v>292.60000000000002</v>
      </c>
      <c r="F237" s="4"/>
      <c r="G237" s="4"/>
      <c r="H237" s="61"/>
      <c r="I237" s="17"/>
      <c r="J237" s="18"/>
      <c r="K237" s="18"/>
      <c r="L237" s="18"/>
    </row>
    <row r="238" spans="1:12" ht="15.75" thickBot="1" x14ac:dyDescent="0.3">
      <c r="A238" s="15"/>
      <c r="B238" s="61"/>
      <c r="C238" s="52"/>
      <c r="D238" s="16" t="s">
        <v>295</v>
      </c>
      <c r="E238" s="4">
        <v>180</v>
      </c>
      <c r="F238" s="4"/>
      <c r="G238" s="4"/>
      <c r="H238" s="61"/>
      <c r="I238" s="17"/>
      <c r="J238" s="18"/>
      <c r="K238" s="18"/>
      <c r="L238" s="18"/>
    </row>
    <row r="239" spans="1:12" ht="51.75" thickBot="1" x14ac:dyDescent="0.3">
      <c r="A239" s="19" t="s">
        <v>375</v>
      </c>
      <c r="B239" s="60" t="s">
        <v>376</v>
      </c>
      <c r="C239" s="51" t="s">
        <v>209</v>
      </c>
      <c r="D239" s="20" t="s">
        <v>169</v>
      </c>
      <c r="E239" s="24">
        <v>269.39999999999998</v>
      </c>
      <c r="F239" s="24">
        <v>0</v>
      </c>
      <c r="G239" s="24">
        <v>0</v>
      </c>
      <c r="H239" s="60" t="s">
        <v>243</v>
      </c>
      <c r="I239" s="22" t="s">
        <v>22</v>
      </c>
      <c r="J239" s="23">
        <v>1</v>
      </c>
      <c r="K239" s="23"/>
      <c r="L239" s="23"/>
    </row>
    <row r="240" spans="1:12" ht="51.75" thickBot="1" x14ac:dyDescent="0.3">
      <c r="A240" s="19" t="s">
        <v>377</v>
      </c>
      <c r="B240" s="60" t="s">
        <v>378</v>
      </c>
      <c r="C240" s="51" t="s">
        <v>209</v>
      </c>
      <c r="D240" s="20"/>
      <c r="E240" s="24">
        <v>0</v>
      </c>
      <c r="F240" s="24">
        <v>0</v>
      </c>
      <c r="G240" s="24">
        <v>0</v>
      </c>
      <c r="H240" s="60"/>
      <c r="I240" s="22"/>
      <c r="J240" s="23"/>
      <c r="K240" s="23"/>
      <c r="L240" s="23"/>
    </row>
    <row r="241" spans="1:12" ht="26.25" thickBot="1" x14ac:dyDescent="0.3">
      <c r="A241" s="19" t="s">
        <v>379</v>
      </c>
      <c r="B241" s="60" t="s">
        <v>380</v>
      </c>
      <c r="C241" s="51" t="s">
        <v>191</v>
      </c>
      <c r="D241" s="20"/>
      <c r="E241" s="24">
        <v>0</v>
      </c>
      <c r="F241" s="24">
        <v>0</v>
      </c>
      <c r="G241" s="24">
        <v>0</v>
      </c>
      <c r="H241" s="60"/>
      <c r="I241" s="22"/>
      <c r="J241" s="23"/>
      <c r="K241" s="23"/>
      <c r="L241" s="23"/>
    </row>
    <row r="242" spans="1:12" ht="39" thickBot="1" x14ac:dyDescent="0.3">
      <c r="A242" s="19" t="s">
        <v>381</v>
      </c>
      <c r="B242" s="60" t="s">
        <v>382</v>
      </c>
      <c r="C242" s="51" t="s">
        <v>191</v>
      </c>
      <c r="D242" s="20" t="s">
        <v>27</v>
      </c>
      <c r="E242" s="24">
        <v>574.79999999999995</v>
      </c>
      <c r="F242" s="24">
        <v>574.79999999999995</v>
      </c>
      <c r="G242" s="24">
        <v>574.79999999999995</v>
      </c>
      <c r="H242" s="60" t="s">
        <v>383</v>
      </c>
      <c r="I242" s="22" t="s">
        <v>307</v>
      </c>
      <c r="J242" s="23">
        <v>600</v>
      </c>
      <c r="K242" s="23">
        <v>600</v>
      </c>
      <c r="L242" s="23">
        <v>600</v>
      </c>
    </row>
    <row r="243" spans="1:12" ht="15.75" thickBot="1" x14ac:dyDescent="0.3">
      <c r="A243" s="25" t="s">
        <v>384</v>
      </c>
      <c r="B243" s="59" t="s">
        <v>385</v>
      </c>
      <c r="C243" s="50"/>
      <c r="D243" s="26"/>
      <c r="E243" s="27">
        <f>E244+E248</f>
        <v>2160.9</v>
      </c>
      <c r="F243" s="27">
        <f>F244+F248</f>
        <v>2350</v>
      </c>
      <c r="G243" s="27">
        <f>G244+G248</f>
        <v>2370</v>
      </c>
      <c r="H243" s="59"/>
      <c r="I243" s="28"/>
      <c r="J243" s="29"/>
      <c r="K243" s="29"/>
      <c r="L243" s="29"/>
    </row>
    <row r="244" spans="1:12" ht="25.5" x14ac:dyDescent="0.25">
      <c r="A244" s="19" t="s">
        <v>386</v>
      </c>
      <c r="B244" s="60" t="s">
        <v>387</v>
      </c>
      <c r="C244" s="51" t="s">
        <v>191</v>
      </c>
      <c r="D244" s="20"/>
      <c r="E244" s="21">
        <f>SUM(E245:E247)</f>
        <v>1800</v>
      </c>
      <c r="F244" s="21">
        <f>SUM(F245:F247)</f>
        <v>2000</v>
      </c>
      <c r="G244" s="21">
        <f>SUM(G245:G247)</f>
        <v>2000</v>
      </c>
      <c r="H244" s="60" t="s">
        <v>388</v>
      </c>
      <c r="I244" s="22" t="s">
        <v>22</v>
      </c>
      <c r="J244" s="23">
        <v>5</v>
      </c>
      <c r="K244" s="23">
        <v>6</v>
      </c>
      <c r="L244" s="23">
        <v>7</v>
      </c>
    </row>
    <row r="245" spans="1:12" x14ac:dyDescent="0.25">
      <c r="A245" s="15"/>
      <c r="B245" s="61"/>
      <c r="C245" s="52"/>
      <c r="D245" s="16" t="s">
        <v>295</v>
      </c>
      <c r="E245" s="4">
        <v>800</v>
      </c>
      <c r="F245" s="4">
        <v>400</v>
      </c>
      <c r="G245" s="4">
        <v>400</v>
      </c>
      <c r="H245" s="61"/>
      <c r="I245" s="17"/>
      <c r="J245" s="18"/>
      <c r="K245" s="18"/>
      <c r="L245" s="18"/>
    </row>
    <row r="246" spans="1:12" x14ac:dyDescent="0.25">
      <c r="A246" s="15"/>
      <c r="B246" s="61"/>
      <c r="C246" s="52"/>
      <c r="D246" s="16" t="s">
        <v>27</v>
      </c>
      <c r="E246" s="4">
        <v>600</v>
      </c>
      <c r="F246" s="4">
        <v>1600</v>
      </c>
      <c r="G246" s="4">
        <v>1600</v>
      </c>
      <c r="H246" s="61"/>
      <c r="I246" s="17"/>
      <c r="J246" s="18"/>
      <c r="K246" s="18"/>
      <c r="L246" s="18"/>
    </row>
    <row r="247" spans="1:12" ht="15.75" thickBot="1" x14ac:dyDescent="0.3">
      <c r="A247" s="15"/>
      <c r="B247" s="61"/>
      <c r="C247" s="52"/>
      <c r="D247" s="16" t="s">
        <v>36</v>
      </c>
      <c r="E247" s="4">
        <v>400</v>
      </c>
      <c r="F247" s="4">
        <v>0</v>
      </c>
      <c r="G247" s="4">
        <v>0</v>
      </c>
      <c r="H247" s="61"/>
      <c r="I247" s="17"/>
      <c r="J247" s="18"/>
      <c r="K247" s="18"/>
      <c r="L247" s="18"/>
    </row>
    <row r="248" spans="1:12" ht="25.5" x14ac:dyDescent="0.25">
      <c r="A248" s="19" t="s">
        <v>389</v>
      </c>
      <c r="B248" s="60" t="s">
        <v>390</v>
      </c>
      <c r="C248" s="51" t="s">
        <v>191</v>
      </c>
      <c r="D248" s="20"/>
      <c r="E248" s="21">
        <f>SUM(E249:E250)</f>
        <v>360.9</v>
      </c>
      <c r="F248" s="21">
        <f>SUM(F249:F250)</f>
        <v>350</v>
      </c>
      <c r="G248" s="21">
        <f>SUM(G249:G250)</f>
        <v>370</v>
      </c>
      <c r="H248" s="60" t="s">
        <v>391</v>
      </c>
      <c r="I248" s="22" t="s">
        <v>22</v>
      </c>
      <c r="J248" s="23">
        <v>5</v>
      </c>
      <c r="K248" s="23">
        <v>9</v>
      </c>
      <c r="L248" s="23">
        <v>15</v>
      </c>
    </row>
    <row r="249" spans="1:12" x14ac:dyDescent="0.25">
      <c r="A249" s="15"/>
      <c r="B249" s="61"/>
      <c r="C249" s="52"/>
      <c r="D249" s="16" t="s">
        <v>36</v>
      </c>
      <c r="E249" s="4">
        <v>110.9</v>
      </c>
      <c r="F249" s="4">
        <v>0</v>
      </c>
      <c r="G249" s="4">
        <v>0</v>
      </c>
      <c r="H249" s="61"/>
      <c r="I249" s="17"/>
      <c r="J249" s="18"/>
      <c r="K249" s="18"/>
      <c r="L249" s="18"/>
    </row>
    <row r="250" spans="1:12" ht="15.75" thickBot="1" x14ac:dyDescent="0.3">
      <c r="A250" s="15"/>
      <c r="B250" s="61"/>
      <c r="C250" s="52"/>
      <c r="D250" s="16" t="s">
        <v>27</v>
      </c>
      <c r="E250" s="4">
        <v>250</v>
      </c>
      <c r="F250" s="4">
        <v>350</v>
      </c>
      <c r="G250" s="4">
        <v>370</v>
      </c>
      <c r="H250" s="61"/>
      <c r="I250" s="17"/>
      <c r="J250" s="18"/>
      <c r="K250" s="18"/>
      <c r="L250" s="18"/>
    </row>
    <row r="251" spans="1:12" ht="26.25" thickBot="1" x14ac:dyDescent="0.3">
      <c r="A251" s="35" t="s">
        <v>392</v>
      </c>
      <c r="B251" s="57" t="s">
        <v>393</v>
      </c>
      <c r="C251" s="48" t="s">
        <v>394</v>
      </c>
      <c r="D251" s="36"/>
      <c r="E251" s="37">
        <f>SUM(E252:E252)</f>
        <v>4407.2000000000007</v>
      </c>
      <c r="F251" s="37">
        <f>SUM(F252:F252)</f>
        <v>6876.1</v>
      </c>
      <c r="G251" s="37">
        <f>SUM(G252:G252)</f>
        <v>439.7</v>
      </c>
      <c r="H251" s="57"/>
      <c r="I251" s="38"/>
      <c r="J251" s="39"/>
      <c r="K251" s="39"/>
      <c r="L251" s="39"/>
    </row>
    <row r="252" spans="1:12" ht="25.5" x14ac:dyDescent="0.25">
      <c r="A252" s="30" t="s">
        <v>395</v>
      </c>
      <c r="B252" s="58" t="s">
        <v>396</v>
      </c>
      <c r="C252" s="49"/>
      <c r="D252" s="31"/>
      <c r="E252" s="32">
        <f>E253+E254+E255+E256+E263</f>
        <v>4407.2000000000007</v>
      </c>
      <c r="F252" s="32">
        <f>F253+F254+F255+F256+F263</f>
        <v>6876.1</v>
      </c>
      <c r="G252" s="32">
        <f>G253+G254+G255+G256+G263</f>
        <v>439.7</v>
      </c>
      <c r="H252" s="58" t="s">
        <v>397</v>
      </c>
      <c r="I252" s="33" t="s">
        <v>18</v>
      </c>
      <c r="J252" s="34">
        <v>1.5</v>
      </c>
      <c r="K252" s="34">
        <v>2</v>
      </c>
      <c r="L252" s="34">
        <v>2.5</v>
      </c>
    </row>
    <row r="253" spans="1:12" x14ac:dyDescent="0.25">
      <c r="A253" s="15"/>
      <c r="B253" s="61"/>
      <c r="C253" s="52"/>
      <c r="D253" s="16"/>
      <c r="E253" s="4">
        <v>0</v>
      </c>
      <c r="F253" s="4">
        <v>0</v>
      </c>
      <c r="G253" s="4">
        <v>0</v>
      </c>
      <c r="H253" s="61" t="s">
        <v>398</v>
      </c>
      <c r="I253" s="17" t="s">
        <v>22</v>
      </c>
      <c r="J253" s="18">
        <v>12</v>
      </c>
      <c r="K253" s="18">
        <v>12</v>
      </c>
      <c r="L253" s="18">
        <v>12</v>
      </c>
    </row>
    <row r="254" spans="1:12" x14ac:dyDescent="0.25">
      <c r="A254" s="15"/>
      <c r="B254" s="61"/>
      <c r="C254" s="52"/>
      <c r="D254" s="16"/>
      <c r="E254" s="4">
        <v>0</v>
      </c>
      <c r="F254" s="4">
        <v>0</v>
      </c>
      <c r="G254" s="4">
        <v>0</v>
      </c>
      <c r="H254" s="61" t="s">
        <v>399</v>
      </c>
      <c r="I254" s="17" t="s">
        <v>18</v>
      </c>
      <c r="J254" s="18">
        <v>4</v>
      </c>
      <c r="K254" s="18">
        <v>4.2</v>
      </c>
      <c r="L254" s="18">
        <v>4.5</v>
      </c>
    </row>
    <row r="255" spans="1:12" ht="15.75" thickBot="1" x14ac:dyDescent="0.3">
      <c r="A255" s="15"/>
      <c r="B255" s="61"/>
      <c r="C255" s="52"/>
      <c r="D255" s="16"/>
      <c r="E255" s="4">
        <v>0</v>
      </c>
      <c r="F255" s="4">
        <v>0</v>
      </c>
      <c r="G255" s="4">
        <v>0</v>
      </c>
      <c r="H255" s="61" t="s">
        <v>400</v>
      </c>
      <c r="I255" s="17" t="s">
        <v>18</v>
      </c>
      <c r="J255" s="18">
        <v>5</v>
      </c>
      <c r="K255" s="18">
        <v>10</v>
      </c>
      <c r="L255" s="18">
        <v>15</v>
      </c>
    </row>
    <row r="256" spans="1:12" ht="15.75" thickBot="1" x14ac:dyDescent="0.3">
      <c r="A256" s="25" t="s">
        <v>401</v>
      </c>
      <c r="B256" s="59" t="s">
        <v>402</v>
      </c>
      <c r="C256" s="50"/>
      <c r="D256" s="26"/>
      <c r="E256" s="27">
        <f>E257+E258+E261</f>
        <v>113.3</v>
      </c>
      <c r="F256" s="27">
        <f>F257+F258+F261</f>
        <v>115.4</v>
      </c>
      <c r="G256" s="27">
        <f>G257+G258+G261</f>
        <v>118</v>
      </c>
      <c r="H256" s="59"/>
      <c r="I256" s="28"/>
      <c r="J256" s="29"/>
      <c r="K256" s="29"/>
      <c r="L256" s="29"/>
    </row>
    <row r="257" spans="1:12" ht="26.25" thickBot="1" x14ac:dyDescent="0.3">
      <c r="A257" s="19" t="s">
        <v>403</v>
      </c>
      <c r="B257" s="60" t="s">
        <v>404</v>
      </c>
      <c r="C257" s="51" t="s">
        <v>394</v>
      </c>
      <c r="D257" s="20" t="s">
        <v>27</v>
      </c>
      <c r="E257" s="24">
        <v>47.8</v>
      </c>
      <c r="F257" s="24">
        <v>48.7</v>
      </c>
      <c r="G257" s="24">
        <v>49.7</v>
      </c>
      <c r="H257" s="60" t="s">
        <v>405</v>
      </c>
      <c r="I257" s="22" t="s">
        <v>22</v>
      </c>
      <c r="J257" s="23">
        <v>7</v>
      </c>
      <c r="K257" s="23">
        <v>7</v>
      </c>
      <c r="L257" s="23">
        <v>7</v>
      </c>
    </row>
    <row r="258" spans="1:12" ht="51" x14ac:dyDescent="0.25">
      <c r="A258" s="19" t="s">
        <v>406</v>
      </c>
      <c r="B258" s="60" t="s">
        <v>407</v>
      </c>
      <c r="C258" s="51" t="s">
        <v>408</v>
      </c>
      <c r="D258" s="20" t="s">
        <v>27</v>
      </c>
      <c r="E258" s="21">
        <f>SUM(E259:E260)+21.8</f>
        <v>21.8</v>
      </c>
      <c r="F258" s="21">
        <f>SUM(F259:F260)+22.2</f>
        <v>22.2</v>
      </c>
      <c r="G258" s="21">
        <f>SUM(G259:G260)+22.8</f>
        <v>22.8</v>
      </c>
      <c r="H258" s="60" t="s">
        <v>409</v>
      </c>
      <c r="I258" s="22" t="s">
        <v>22</v>
      </c>
      <c r="J258" s="23">
        <v>5</v>
      </c>
      <c r="K258" s="23">
        <v>5</v>
      </c>
      <c r="L258" s="23">
        <v>5</v>
      </c>
    </row>
    <row r="259" spans="1:12" x14ac:dyDescent="0.25">
      <c r="A259" s="15"/>
      <c r="B259" s="61"/>
      <c r="C259" s="52"/>
      <c r="D259" s="16"/>
      <c r="E259" s="4">
        <v>0</v>
      </c>
      <c r="F259" s="4">
        <v>0</v>
      </c>
      <c r="G259" s="4">
        <v>0</v>
      </c>
      <c r="H259" s="61" t="s">
        <v>410</v>
      </c>
      <c r="I259" s="17" t="s">
        <v>22</v>
      </c>
      <c r="J259" s="18">
        <v>6</v>
      </c>
      <c r="K259" s="18">
        <v>6</v>
      </c>
      <c r="L259" s="18">
        <v>6</v>
      </c>
    </row>
    <row r="260" spans="1:12" ht="15.75" thickBot="1" x14ac:dyDescent="0.3">
      <c r="A260" s="15"/>
      <c r="B260" s="61"/>
      <c r="C260" s="52"/>
      <c r="D260" s="16"/>
      <c r="E260" s="4">
        <v>0</v>
      </c>
      <c r="F260" s="4">
        <v>0</v>
      </c>
      <c r="G260" s="4">
        <v>0</v>
      </c>
      <c r="H260" s="61" t="s">
        <v>411</v>
      </c>
      <c r="I260" s="17" t="s">
        <v>412</v>
      </c>
      <c r="J260" s="18">
        <v>280</v>
      </c>
      <c r="K260" s="18">
        <v>280</v>
      </c>
      <c r="L260" s="18">
        <v>280</v>
      </c>
    </row>
    <row r="261" spans="1:12" ht="51" x14ac:dyDescent="0.25">
      <c r="A261" s="19" t="s">
        <v>413</v>
      </c>
      <c r="B261" s="60" t="s">
        <v>414</v>
      </c>
      <c r="C261" s="51" t="s">
        <v>408</v>
      </c>
      <c r="D261" s="20" t="s">
        <v>27</v>
      </c>
      <c r="E261" s="21">
        <f>SUM(E262:E262)+43.7</f>
        <v>43.7</v>
      </c>
      <c r="F261" s="21">
        <f>SUM(F262:F262)+44.5</f>
        <v>44.5</v>
      </c>
      <c r="G261" s="21">
        <f>SUM(G262:G262)+45.5</f>
        <v>45.5</v>
      </c>
      <c r="H261" s="60" t="s">
        <v>415</v>
      </c>
      <c r="I261" s="22" t="s">
        <v>416</v>
      </c>
      <c r="J261" s="23">
        <v>35</v>
      </c>
      <c r="K261" s="23">
        <v>35</v>
      </c>
      <c r="L261" s="23">
        <v>35</v>
      </c>
    </row>
    <row r="262" spans="1:12" ht="26.25" thickBot="1" x14ac:dyDescent="0.3">
      <c r="A262" s="15"/>
      <c r="B262" s="61"/>
      <c r="C262" s="52"/>
      <c r="D262" s="16"/>
      <c r="E262" s="4">
        <v>0</v>
      </c>
      <c r="F262" s="4">
        <v>0</v>
      </c>
      <c r="G262" s="4">
        <v>0</v>
      </c>
      <c r="H262" s="61" t="s">
        <v>417</v>
      </c>
      <c r="I262" s="17" t="s">
        <v>22</v>
      </c>
      <c r="J262" s="18">
        <v>15</v>
      </c>
      <c r="K262" s="18">
        <v>15</v>
      </c>
      <c r="L262" s="18">
        <v>15</v>
      </c>
    </row>
    <row r="263" spans="1:12" ht="15.75" thickBot="1" x14ac:dyDescent="0.3">
      <c r="A263" s="25" t="s">
        <v>418</v>
      </c>
      <c r="B263" s="59" t="s">
        <v>419</v>
      </c>
      <c r="C263" s="50"/>
      <c r="D263" s="26"/>
      <c r="E263" s="27">
        <f>E264+E267+E273+E276+E277+E282</f>
        <v>4293.9000000000005</v>
      </c>
      <c r="F263" s="27">
        <f>F264+F267+F273+F276+F277+F282</f>
        <v>6760.7000000000007</v>
      </c>
      <c r="G263" s="27">
        <f>G264+G267+G273+G276+G277+G282</f>
        <v>321.7</v>
      </c>
      <c r="H263" s="59"/>
      <c r="I263" s="28"/>
      <c r="J263" s="29"/>
      <c r="K263" s="29"/>
      <c r="L263" s="29"/>
    </row>
    <row r="264" spans="1:12" ht="25.5" x14ac:dyDescent="0.25">
      <c r="A264" s="19" t="s">
        <v>420</v>
      </c>
      <c r="B264" s="60" t="s">
        <v>421</v>
      </c>
      <c r="C264" s="51" t="s">
        <v>139</v>
      </c>
      <c r="D264" s="20"/>
      <c r="E264" s="21">
        <f>SUM(E265:E266)</f>
        <v>121.8</v>
      </c>
      <c r="F264" s="21">
        <f>SUM(F265:F266)</f>
        <v>50</v>
      </c>
      <c r="G264" s="21">
        <f>SUM(G265:G266)</f>
        <v>50</v>
      </c>
      <c r="H264" s="60" t="s">
        <v>422</v>
      </c>
      <c r="I264" s="22" t="s">
        <v>22</v>
      </c>
      <c r="J264" s="23">
        <v>10</v>
      </c>
      <c r="K264" s="23">
        <v>10</v>
      </c>
      <c r="L264" s="23">
        <v>10</v>
      </c>
    </row>
    <row r="265" spans="1:12" x14ac:dyDescent="0.25">
      <c r="A265" s="15"/>
      <c r="B265" s="61"/>
      <c r="C265" s="52"/>
      <c r="D265" s="16" t="s">
        <v>36</v>
      </c>
      <c r="E265" s="4">
        <v>21.8</v>
      </c>
      <c r="F265" s="4">
        <v>0</v>
      </c>
      <c r="G265" s="4">
        <v>0</v>
      </c>
      <c r="H265" s="61"/>
      <c r="I265" s="17"/>
      <c r="J265" s="18"/>
      <c r="K265" s="18"/>
      <c r="L265" s="18"/>
    </row>
    <row r="266" spans="1:12" ht="15.75" thickBot="1" x14ac:dyDescent="0.3">
      <c r="A266" s="15"/>
      <c r="B266" s="61"/>
      <c r="C266" s="52"/>
      <c r="D266" s="16" t="s">
        <v>27</v>
      </c>
      <c r="E266" s="4">
        <v>100</v>
      </c>
      <c r="F266" s="4">
        <v>50</v>
      </c>
      <c r="G266" s="4">
        <v>50</v>
      </c>
      <c r="H266" s="61"/>
      <c r="I266" s="17"/>
      <c r="J266" s="18"/>
      <c r="K266" s="18"/>
      <c r="L266" s="18"/>
    </row>
    <row r="267" spans="1:12" ht="76.5" x14ac:dyDescent="0.25">
      <c r="A267" s="19" t="s">
        <v>423</v>
      </c>
      <c r="B267" s="60" t="s">
        <v>424</v>
      </c>
      <c r="C267" s="51" t="s">
        <v>425</v>
      </c>
      <c r="D267" s="20"/>
      <c r="E267" s="21">
        <f>SUM(E268:E272)</f>
        <v>3604.1000000000004</v>
      </c>
      <c r="F267" s="21">
        <f>SUM(F268:F272)</f>
        <v>6444.8</v>
      </c>
      <c r="G267" s="21">
        <f>SUM(G268:G272)</f>
        <v>0</v>
      </c>
      <c r="H267" s="60" t="s">
        <v>426</v>
      </c>
      <c r="I267" s="22" t="s">
        <v>307</v>
      </c>
      <c r="J267" s="23">
        <v>0.9</v>
      </c>
      <c r="K267" s="23"/>
      <c r="L267" s="23"/>
    </row>
    <row r="268" spans="1:12" x14ac:dyDescent="0.25">
      <c r="A268" s="15"/>
      <c r="B268" s="61"/>
      <c r="C268" s="52"/>
      <c r="D268" s="16" t="s">
        <v>27</v>
      </c>
      <c r="E268" s="4">
        <v>696.2</v>
      </c>
      <c r="F268" s="4">
        <v>3559.7</v>
      </c>
      <c r="G268" s="4">
        <v>0</v>
      </c>
      <c r="H268" s="61" t="s">
        <v>427</v>
      </c>
      <c r="I268" s="17" t="s">
        <v>22</v>
      </c>
      <c r="J268" s="18">
        <v>1</v>
      </c>
      <c r="K268" s="18"/>
      <c r="L268" s="18"/>
    </row>
    <row r="269" spans="1:12" x14ac:dyDescent="0.25">
      <c r="A269" s="15"/>
      <c r="B269" s="61"/>
      <c r="C269" s="52"/>
      <c r="D269" s="16" t="s">
        <v>36</v>
      </c>
      <c r="E269" s="4">
        <v>863.7</v>
      </c>
      <c r="F269" s="4">
        <v>0</v>
      </c>
      <c r="G269" s="4">
        <v>0</v>
      </c>
      <c r="H269" s="61" t="s">
        <v>428</v>
      </c>
      <c r="I269" s="17" t="s">
        <v>22</v>
      </c>
      <c r="J269" s="18">
        <v>3</v>
      </c>
      <c r="K269" s="18"/>
      <c r="L269" s="18"/>
    </row>
    <row r="270" spans="1:12" x14ac:dyDescent="0.25">
      <c r="A270" s="15"/>
      <c r="B270" s="61"/>
      <c r="C270" s="52"/>
      <c r="D270" s="16" t="s">
        <v>147</v>
      </c>
      <c r="E270" s="4">
        <v>296.10000000000002</v>
      </c>
      <c r="F270" s="4">
        <v>0</v>
      </c>
      <c r="G270" s="4">
        <v>0</v>
      </c>
      <c r="H270" s="61" t="s">
        <v>429</v>
      </c>
      <c r="I270" s="17" t="s">
        <v>307</v>
      </c>
      <c r="J270" s="18"/>
      <c r="K270" s="18">
        <v>2.2000000000000002</v>
      </c>
      <c r="L270" s="18"/>
    </row>
    <row r="271" spans="1:12" x14ac:dyDescent="0.25">
      <c r="A271" s="15"/>
      <c r="B271" s="61"/>
      <c r="C271" s="52"/>
      <c r="D271" s="16" t="s">
        <v>126</v>
      </c>
      <c r="E271" s="4">
        <v>239.8</v>
      </c>
      <c r="F271" s="4">
        <v>432.8</v>
      </c>
      <c r="G271" s="4">
        <v>0</v>
      </c>
      <c r="H271" s="61" t="s">
        <v>430</v>
      </c>
      <c r="I271" s="17" t="s">
        <v>22</v>
      </c>
      <c r="J271" s="18"/>
      <c r="K271" s="18">
        <v>1</v>
      </c>
      <c r="L271" s="18"/>
    </row>
    <row r="272" spans="1:12" ht="15.75" thickBot="1" x14ac:dyDescent="0.3">
      <c r="A272" s="15"/>
      <c r="B272" s="61"/>
      <c r="C272" s="52"/>
      <c r="D272" s="16" t="s">
        <v>169</v>
      </c>
      <c r="E272" s="4">
        <v>1508.3</v>
      </c>
      <c r="F272" s="4">
        <v>2452.3000000000002</v>
      </c>
      <c r="G272" s="4"/>
      <c r="H272" s="61"/>
      <c r="I272" s="17"/>
      <c r="J272" s="18"/>
      <c r="K272" s="18"/>
      <c r="L272" s="18"/>
    </row>
    <row r="273" spans="1:12" ht="51" x14ac:dyDescent="0.25">
      <c r="A273" s="19" t="s">
        <v>431</v>
      </c>
      <c r="B273" s="60" t="s">
        <v>432</v>
      </c>
      <c r="C273" s="51" t="s">
        <v>433</v>
      </c>
      <c r="D273" s="20"/>
      <c r="E273" s="21">
        <f>SUM(E274:E275)</f>
        <v>399.6</v>
      </c>
      <c r="F273" s="21">
        <f>SUM(F274:F275)</f>
        <v>213.8</v>
      </c>
      <c r="G273" s="21">
        <f>SUM(G274:G275)</f>
        <v>218.5</v>
      </c>
      <c r="H273" s="60" t="s">
        <v>434</v>
      </c>
      <c r="I273" s="22" t="s">
        <v>18</v>
      </c>
      <c r="J273" s="23">
        <v>100</v>
      </c>
      <c r="K273" s="23">
        <v>100</v>
      </c>
      <c r="L273" s="23">
        <v>100</v>
      </c>
    </row>
    <row r="274" spans="1:12" x14ac:dyDescent="0.25">
      <c r="A274" s="15"/>
      <c r="B274" s="61"/>
      <c r="C274" s="52"/>
      <c r="D274" s="16" t="s">
        <v>27</v>
      </c>
      <c r="E274" s="4">
        <v>210</v>
      </c>
      <c r="F274" s="4">
        <v>213.8</v>
      </c>
      <c r="G274" s="4">
        <v>218.5</v>
      </c>
      <c r="H274" s="61"/>
      <c r="I274" s="17"/>
      <c r="J274" s="18"/>
      <c r="K274" s="18"/>
      <c r="L274" s="18"/>
    </row>
    <row r="275" spans="1:12" ht="15.75" thickBot="1" x14ac:dyDescent="0.3">
      <c r="A275" s="15"/>
      <c r="B275" s="61"/>
      <c r="C275" s="52"/>
      <c r="D275" s="16" t="s">
        <v>36</v>
      </c>
      <c r="E275" s="4">
        <v>189.6</v>
      </c>
      <c r="F275" s="4">
        <v>0</v>
      </c>
      <c r="G275" s="4">
        <v>0</v>
      </c>
      <c r="H275" s="61"/>
      <c r="I275" s="17"/>
      <c r="J275" s="18"/>
      <c r="K275" s="18"/>
      <c r="L275" s="18"/>
    </row>
    <row r="276" spans="1:12" ht="26.25" thickBot="1" x14ac:dyDescent="0.3">
      <c r="A276" s="19" t="s">
        <v>435</v>
      </c>
      <c r="B276" s="60" t="s">
        <v>436</v>
      </c>
      <c r="C276" s="51"/>
      <c r="D276" s="20" t="s">
        <v>36</v>
      </c>
      <c r="E276" s="24">
        <v>100</v>
      </c>
      <c r="F276" s="24">
        <v>0</v>
      </c>
      <c r="G276" s="24">
        <v>0</v>
      </c>
      <c r="H276" s="60" t="s">
        <v>437</v>
      </c>
      <c r="I276" s="22" t="s">
        <v>22</v>
      </c>
      <c r="J276" s="23">
        <v>1</v>
      </c>
      <c r="K276" s="23"/>
      <c r="L276" s="23"/>
    </row>
    <row r="277" spans="1:12" ht="25.5" x14ac:dyDescent="0.25">
      <c r="A277" s="19" t="s">
        <v>438</v>
      </c>
      <c r="B277" s="60" t="s">
        <v>439</v>
      </c>
      <c r="C277" s="51" t="s">
        <v>394</v>
      </c>
      <c r="D277" s="20" t="s">
        <v>27</v>
      </c>
      <c r="E277" s="21">
        <f>SUM(E278:E281)+32.4</f>
        <v>32.4</v>
      </c>
      <c r="F277" s="21">
        <f>SUM(F278:F281)+20.6</f>
        <v>20.6</v>
      </c>
      <c r="G277" s="21">
        <f>SUM(G278:G281)+21</f>
        <v>21</v>
      </c>
      <c r="H277" s="60" t="s">
        <v>440</v>
      </c>
      <c r="I277" s="22" t="s">
        <v>22</v>
      </c>
      <c r="J277" s="23">
        <v>3</v>
      </c>
      <c r="K277" s="23">
        <v>3</v>
      </c>
      <c r="L277" s="23">
        <v>3</v>
      </c>
    </row>
    <row r="278" spans="1:12" x14ac:dyDescent="0.25">
      <c r="A278" s="15"/>
      <c r="B278" s="61"/>
      <c r="C278" s="52"/>
      <c r="D278" s="16"/>
      <c r="E278" s="4">
        <v>0</v>
      </c>
      <c r="F278" s="4">
        <v>0</v>
      </c>
      <c r="G278" s="4">
        <v>0</v>
      </c>
      <c r="H278" s="61" t="s">
        <v>441</v>
      </c>
      <c r="I278" s="17" t="s">
        <v>22</v>
      </c>
      <c r="J278" s="18">
        <v>1</v>
      </c>
      <c r="K278" s="18">
        <v>1</v>
      </c>
      <c r="L278" s="18">
        <v>1</v>
      </c>
    </row>
    <row r="279" spans="1:12" x14ac:dyDescent="0.25">
      <c r="A279" s="15"/>
      <c r="B279" s="61"/>
      <c r="C279" s="52"/>
      <c r="D279" s="16"/>
      <c r="E279" s="4">
        <v>0</v>
      </c>
      <c r="F279" s="4">
        <v>0</v>
      </c>
      <c r="G279" s="4">
        <v>0</v>
      </c>
      <c r="H279" s="61" t="s">
        <v>442</v>
      </c>
      <c r="I279" s="17" t="s">
        <v>22</v>
      </c>
      <c r="J279" s="18">
        <v>1</v>
      </c>
      <c r="K279" s="18">
        <v>1</v>
      </c>
      <c r="L279" s="18">
        <v>1</v>
      </c>
    </row>
    <row r="280" spans="1:12" x14ac:dyDescent="0.25">
      <c r="A280" s="15"/>
      <c r="B280" s="61"/>
      <c r="C280" s="52"/>
      <c r="D280" s="16"/>
      <c r="E280" s="4">
        <v>0</v>
      </c>
      <c r="F280" s="4">
        <v>0</v>
      </c>
      <c r="G280" s="4">
        <v>0</v>
      </c>
      <c r="H280" s="61" t="s">
        <v>443</v>
      </c>
      <c r="I280" s="17" t="s">
        <v>22</v>
      </c>
      <c r="J280" s="18">
        <v>6</v>
      </c>
      <c r="K280" s="18">
        <v>6</v>
      </c>
      <c r="L280" s="18">
        <v>6</v>
      </c>
    </row>
    <row r="281" spans="1:12" ht="15.75" thickBot="1" x14ac:dyDescent="0.3">
      <c r="A281" s="15"/>
      <c r="B281" s="61"/>
      <c r="C281" s="52"/>
      <c r="D281" s="16"/>
      <c r="E281" s="4">
        <v>0</v>
      </c>
      <c r="F281" s="4">
        <v>0</v>
      </c>
      <c r="G281" s="4">
        <v>0</v>
      </c>
      <c r="H281" s="61" t="s">
        <v>444</v>
      </c>
      <c r="I281" s="17" t="s">
        <v>22</v>
      </c>
      <c r="J281" s="18">
        <v>1</v>
      </c>
      <c r="K281" s="18">
        <v>1</v>
      </c>
      <c r="L281" s="18">
        <v>1</v>
      </c>
    </row>
    <row r="282" spans="1:12" ht="25.5" x14ac:dyDescent="0.25">
      <c r="A282" s="19" t="s">
        <v>445</v>
      </c>
      <c r="B282" s="60" t="s">
        <v>446</v>
      </c>
      <c r="C282" s="51" t="s">
        <v>394</v>
      </c>
      <c r="D282" s="20"/>
      <c r="E282" s="21">
        <f>SUM(E283:E284)</f>
        <v>36</v>
      </c>
      <c r="F282" s="21">
        <f>SUM(F283:F284)</f>
        <v>31.5</v>
      </c>
      <c r="G282" s="21">
        <f>SUM(G283:G284)</f>
        <v>32.200000000000003</v>
      </c>
      <c r="H282" s="60" t="s">
        <v>447</v>
      </c>
      <c r="I282" s="22" t="s">
        <v>22</v>
      </c>
      <c r="J282" s="23">
        <v>6</v>
      </c>
      <c r="K282" s="23">
        <v>5</v>
      </c>
      <c r="L282" s="23">
        <v>5</v>
      </c>
    </row>
    <row r="283" spans="1:12" x14ac:dyDescent="0.25">
      <c r="A283" s="15"/>
      <c r="B283" s="61"/>
      <c r="C283" s="52"/>
      <c r="D283" s="16" t="s">
        <v>27</v>
      </c>
      <c r="E283" s="4">
        <v>31</v>
      </c>
      <c r="F283" s="4">
        <v>31.5</v>
      </c>
      <c r="G283" s="4">
        <v>32.200000000000003</v>
      </c>
      <c r="H283" s="61"/>
      <c r="I283" s="17"/>
      <c r="J283" s="18"/>
      <c r="K283" s="18"/>
      <c r="L283" s="18"/>
    </row>
    <row r="284" spans="1:12" ht="15.75" thickBot="1" x14ac:dyDescent="0.3">
      <c r="A284" s="15"/>
      <c r="B284" s="61"/>
      <c r="C284" s="52"/>
      <c r="D284" s="16" t="s">
        <v>130</v>
      </c>
      <c r="E284" s="4">
        <v>5</v>
      </c>
      <c r="F284" s="4">
        <v>0</v>
      </c>
      <c r="G284" s="4">
        <v>0</v>
      </c>
      <c r="H284" s="61"/>
      <c r="I284" s="17"/>
      <c r="J284" s="18"/>
      <c r="K284" s="18"/>
      <c r="L284" s="18"/>
    </row>
    <row r="285" spans="1:12" ht="26.25" thickBot="1" x14ac:dyDescent="0.3">
      <c r="A285" s="35" t="s">
        <v>448</v>
      </c>
      <c r="B285" s="71" t="s">
        <v>449</v>
      </c>
      <c r="C285" s="72" t="s">
        <v>450</v>
      </c>
      <c r="D285" s="73"/>
      <c r="E285" s="74">
        <f>SUM(E286:E286)</f>
        <v>2009.8</v>
      </c>
      <c r="F285" s="74">
        <f>SUM(F286:F286)</f>
        <v>593.5</v>
      </c>
      <c r="G285" s="74">
        <f>SUM(G286:G286)</f>
        <v>620</v>
      </c>
      <c r="H285" s="57"/>
      <c r="I285" s="38"/>
      <c r="J285" s="39"/>
      <c r="K285" s="39"/>
      <c r="L285" s="39"/>
    </row>
    <row r="286" spans="1:12" ht="26.25" thickBot="1" x14ac:dyDescent="0.3">
      <c r="A286" s="30" t="s">
        <v>451</v>
      </c>
      <c r="B286" s="58" t="s">
        <v>452</v>
      </c>
      <c r="C286" s="49"/>
      <c r="D286" s="31"/>
      <c r="E286" s="32">
        <f>E287+E293+E302</f>
        <v>2009.8</v>
      </c>
      <c r="F286" s="32">
        <f>F287+F293+F302</f>
        <v>593.5</v>
      </c>
      <c r="G286" s="32">
        <f>G287+G293+G302</f>
        <v>620</v>
      </c>
      <c r="H286" s="58" t="s">
        <v>453</v>
      </c>
      <c r="I286" s="33" t="s">
        <v>18</v>
      </c>
      <c r="J286" s="34">
        <v>70</v>
      </c>
      <c r="K286" s="34">
        <v>85</v>
      </c>
      <c r="L286" s="34">
        <v>90</v>
      </c>
    </row>
    <row r="287" spans="1:12" ht="39" thickBot="1" x14ac:dyDescent="0.3">
      <c r="A287" s="25" t="s">
        <v>454</v>
      </c>
      <c r="B287" s="59" t="s">
        <v>455</v>
      </c>
      <c r="C287" s="50"/>
      <c r="D287" s="26"/>
      <c r="E287" s="27">
        <f>E288+E291+E292</f>
        <v>110.30000000000001</v>
      </c>
      <c r="F287" s="27">
        <f>F288+F291+F292</f>
        <v>110</v>
      </c>
      <c r="G287" s="27">
        <f>G288+G291+G292</f>
        <v>110</v>
      </c>
      <c r="H287" s="59"/>
      <c r="I287" s="28"/>
      <c r="J287" s="29"/>
      <c r="K287" s="29"/>
      <c r="L287" s="29"/>
    </row>
    <row r="288" spans="1:12" ht="38.25" x14ac:dyDescent="0.25">
      <c r="A288" s="19" t="s">
        <v>456</v>
      </c>
      <c r="B288" s="60" t="s">
        <v>457</v>
      </c>
      <c r="C288" s="51" t="s">
        <v>450</v>
      </c>
      <c r="D288" s="20"/>
      <c r="E288" s="21">
        <f>SUM(E289:E290)</f>
        <v>63.4</v>
      </c>
      <c r="F288" s="21">
        <f>SUM(F289:F290)</f>
        <v>60</v>
      </c>
      <c r="G288" s="21">
        <f>SUM(G289:G290)</f>
        <v>60</v>
      </c>
      <c r="H288" s="60" t="s">
        <v>458</v>
      </c>
      <c r="I288" s="22" t="s">
        <v>22</v>
      </c>
      <c r="J288" s="23">
        <v>100</v>
      </c>
      <c r="K288" s="23">
        <v>100</v>
      </c>
      <c r="L288" s="23">
        <v>100</v>
      </c>
    </row>
    <row r="289" spans="1:12" x14ac:dyDescent="0.25">
      <c r="A289" s="15"/>
      <c r="B289" s="61"/>
      <c r="C289" s="52"/>
      <c r="D289" s="16" t="s">
        <v>27</v>
      </c>
      <c r="E289" s="4">
        <v>60</v>
      </c>
      <c r="F289" s="4">
        <v>60</v>
      </c>
      <c r="G289" s="4">
        <v>60</v>
      </c>
      <c r="H289" s="61"/>
      <c r="I289" s="17"/>
      <c r="J289" s="18"/>
      <c r="K289" s="18"/>
      <c r="L289" s="18"/>
    </row>
    <row r="290" spans="1:12" ht="15.75" thickBot="1" x14ac:dyDescent="0.3">
      <c r="A290" s="15"/>
      <c r="B290" s="61"/>
      <c r="C290" s="52"/>
      <c r="D290" s="16" t="s">
        <v>36</v>
      </c>
      <c r="E290" s="4">
        <v>3.4</v>
      </c>
      <c r="F290" s="4">
        <v>0</v>
      </c>
      <c r="G290" s="4">
        <v>0</v>
      </c>
      <c r="H290" s="61"/>
      <c r="I290" s="17"/>
      <c r="J290" s="18"/>
      <c r="K290" s="18"/>
      <c r="L290" s="18"/>
    </row>
    <row r="291" spans="1:12" ht="26.25" thickBot="1" x14ac:dyDescent="0.3">
      <c r="A291" s="19" t="s">
        <v>459</v>
      </c>
      <c r="B291" s="60" t="s">
        <v>460</v>
      </c>
      <c r="C291" s="51" t="s">
        <v>450</v>
      </c>
      <c r="D291" s="20" t="s">
        <v>27</v>
      </c>
      <c r="E291" s="24">
        <v>20</v>
      </c>
      <c r="F291" s="24">
        <v>20</v>
      </c>
      <c r="G291" s="24">
        <v>20</v>
      </c>
      <c r="H291" s="60" t="s">
        <v>461</v>
      </c>
      <c r="I291" s="22" t="s">
        <v>18</v>
      </c>
      <c r="J291" s="23">
        <v>100</v>
      </c>
      <c r="K291" s="23">
        <v>100</v>
      </c>
      <c r="L291" s="23">
        <v>100</v>
      </c>
    </row>
    <row r="292" spans="1:12" ht="51.75" thickBot="1" x14ac:dyDescent="0.3">
      <c r="A292" s="19" t="s">
        <v>462</v>
      </c>
      <c r="B292" s="60" t="s">
        <v>463</v>
      </c>
      <c r="C292" s="51"/>
      <c r="D292" s="20" t="s">
        <v>27</v>
      </c>
      <c r="E292" s="24">
        <v>26.9</v>
      </c>
      <c r="F292" s="24">
        <v>30</v>
      </c>
      <c r="G292" s="24">
        <v>30</v>
      </c>
      <c r="H292" s="60" t="s">
        <v>464</v>
      </c>
      <c r="I292" s="22" t="s">
        <v>22</v>
      </c>
      <c r="J292" s="23">
        <v>5</v>
      </c>
      <c r="K292" s="23">
        <v>5</v>
      </c>
      <c r="L292" s="23">
        <v>5</v>
      </c>
    </row>
    <row r="293" spans="1:12" ht="39" thickBot="1" x14ac:dyDescent="0.3">
      <c r="A293" s="25" t="s">
        <v>465</v>
      </c>
      <c r="B293" s="59" t="s">
        <v>466</v>
      </c>
      <c r="C293" s="50"/>
      <c r="D293" s="26"/>
      <c r="E293" s="27">
        <f>E294+E296+E297+E298+E300+E301</f>
        <v>673.9</v>
      </c>
      <c r="F293" s="27">
        <f>F294+F296+F297+F298+F300+F301</f>
        <v>419.5</v>
      </c>
      <c r="G293" s="27">
        <f>G294+G296+G297+G298+G300+G301</f>
        <v>446</v>
      </c>
      <c r="H293" s="59"/>
      <c r="I293" s="28"/>
      <c r="J293" s="29"/>
      <c r="K293" s="29"/>
      <c r="L293" s="29"/>
    </row>
    <row r="294" spans="1:12" ht="51" x14ac:dyDescent="0.25">
      <c r="A294" s="19" t="s">
        <v>467</v>
      </c>
      <c r="B294" s="60" t="s">
        <v>468</v>
      </c>
      <c r="C294" s="51" t="s">
        <v>469</v>
      </c>
      <c r="D294" s="20" t="s">
        <v>27</v>
      </c>
      <c r="E294" s="21">
        <f>SUM(E295:E295)+220.4</f>
        <v>220.4</v>
      </c>
      <c r="F294" s="21">
        <f>SUM(F295:F295)+101</f>
        <v>101</v>
      </c>
      <c r="G294" s="21">
        <f>SUM(G295:G295)+111</f>
        <v>111</v>
      </c>
      <c r="H294" s="60" t="s">
        <v>470</v>
      </c>
      <c r="I294" s="22" t="s">
        <v>18</v>
      </c>
      <c r="J294" s="23">
        <v>100</v>
      </c>
      <c r="K294" s="23">
        <v>100</v>
      </c>
      <c r="L294" s="23">
        <v>100</v>
      </c>
    </row>
    <row r="295" spans="1:12" ht="15.75" thickBot="1" x14ac:dyDescent="0.3">
      <c r="A295" s="15"/>
      <c r="B295" s="61"/>
      <c r="C295" s="52"/>
      <c r="D295" s="16"/>
      <c r="E295" s="4">
        <v>0</v>
      </c>
      <c r="F295" s="4">
        <v>0</v>
      </c>
      <c r="G295" s="4">
        <v>0</v>
      </c>
      <c r="H295" s="61" t="s">
        <v>471</v>
      </c>
      <c r="I295" s="17" t="s">
        <v>22</v>
      </c>
      <c r="J295" s="18">
        <v>3</v>
      </c>
      <c r="K295" s="18">
        <v>3</v>
      </c>
      <c r="L295" s="18">
        <v>3</v>
      </c>
    </row>
    <row r="296" spans="1:12" ht="39" thickBot="1" x14ac:dyDescent="0.3">
      <c r="A296" s="19" t="s">
        <v>472</v>
      </c>
      <c r="B296" s="60" t="s">
        <v>473</v>
      </c>
      <c r="C296" s="51" t="s">
        <v>450</v>
      </c>
      <c r="D296" s="20" t="s">
        <v>27</v>
      </c>
      <c r="E296" s="24">
        <v>9.5</v>
      </c>
      <c r="F296" s="24">
        <v>11.5</v>
      </c>
      <c r="G296" s="24">
        <v>12.5</v>
      </c>
      <c r="H296" s="60" t="s">
        <v>474</v>
      </c>
      <c r="I296" s="22" t="s">
        <v>18</v>
      </c>
      <c r="J296" s="23">
        <v>100</v>
      </c>
      <c r="K296" s="23">
        <v>100</v>
      </c>
      <c r="L296" s="23">
        <v>100</v>
      </c>
    </row>
    <row r="297" spans="1:12" ht="39" thickBot="1" x14ac:dyDescent="0.3">
      <c r="A297" s="19" t="s">
        <v>475</v>
      </c>
      <c r="B297" s="60" t="s">
        <v>476</v>
      </c>
      <c r="C297" s="51" t="s">
        <v>450</v>
      </c>
      <c r="D297" s="20" t="s">
        <v>27</v>
      </c>
      <c r="E297" s="24">
        <v>2</v>
      </c>
      <c r="F297" s="24">
        <v>2</v>
      </c>
      <c r="G297" s="24">
        <v>2</v>
      </c>
      <c r="H297" s="60" t="s">
        <v>477</v>
      </c>
      <c r="I297" s="22" t="s">
        <v>22</v>
      </c>
      <c r="J297" s="23">
        <v>5</v>
      </c>
      <c r="K297" s="23">
        <v>5</v>
      </c>
      <c r="L297" s="23">
        <v>5</v>
      </c>
    </row>
    <row r="298" spans="1:12" ht="38.25" x14ac:dyDescent="0.25">
      <c r="A298" s="19" t="s">
        <v>478</v>
      </c>
      <c r="B298" s="60" t="s">
        <v>479</v>
      </c>
      <c r="C298" s="51" t="s">
        <v>450</v>
      </c>
      <c r="D298" s="20" t="s">
        <v>27</v>
      </c>
      <c r="E298" s="21">
        <f>SUM(E299:E299)+170</f>
        <v>170</v>
      </c>
      <c r="F298" s="21">
        <f>SUM(F299:F299)</f>
        <v>0</v>
      </c>
      <c r="G298" s="21">
        <f>SUM(G299:G299)</f>
        <v>0</v>
      </c>
      <c r="H298" s="60" t="s">
        <v>480</v>
      </c>
      <c r="I298" s="22" t="s">
        <v>22</v>
      </c>
      <c r="J298" s="23">
        <v>1</v>
      </c>
      <c r="K298" s="23"/>
      <c r="L298" s="23"/>
    </row>
    <row r="299" spans="1:12" ht="15.75" thickBot="1" x14ac:dyDescent="0.3">
      <c r="A299" s="15"/>
      <c r="B299" s="61"/>
      <c r="C299" s="52"/>
      <c r="D299" s="16"/>
      <c r="E299" s="4">
        <v>0</v>
      </c>
      <c r="F299" s="4">
        <v>0</v>
      </c>
      <c r="G299" s="4">
        <v>0</v>
      </c>
      <c r="H299" s="61" t="s">
        <v>481</v>
      </c>
      <c r="I299" s="17" t="s">
        <v>18</v>
      </c>
      <c r="J299" s="18">
        <v>100</v>
      </c>
      <c r="K299" s="18"/>
      <c r="L299" s="18"/>
    </row>
    <row r="300" spans="1:12" ht="64.5" thickBot="1" x14ac:dyDescent="0.3">
      <c r="A300" s="19" t="s">
        <v>482</v>
      </c>
      <c r="B300" s="60" t="s">
        <v>483</v>
      </c>
      <c r="C300" s="51" t="s">
        <v>450</v>
      </c>
      <c r="D300" s="20" t="s">
        <v>27</v>
      </c>
      <c r="E300" s="24">
        <v>270</v>
      </c>
      <c r="F300" s="24">
        <v>303</v>
      </c>
      <c r="G300" s="24">
        <v>318.5</v>
      </c>
      <c r="H300" s="60" t="s">
        <v>484</v>
      </c>
      <c r="I300" s="22" t="s">
        <v>18</v>
      </c>
      <c r="J300" s="23">
        <v>100</v>
      </c>
      <c r="K300" s="23">
        <v>100</v>
      </c>
      <c r="L300" s="23">
        <v>100</v>
      </c>
    </row>
    <row r="301" spans="1:12" ht="26.25" thickBot="1" x14ac:dyDescent="0.3">
      <c r="A301" s="19" t="s">
        <v>485</v>
      </c>
      <c r="B301" s="60" t="s">
        <v>486</v>
      </c>
      <c r="C301" s="51" t="s">
        <v>450</v>
      </c>
      <c r="D301" s="20" t="s">
        <v>27</v>
      </c>
      <c r="E301" s="24">
        <v>2</v>
      </c>
      <c r="F301" s="24">
        <v>2</v>
      </c>
      <c r="G301" s="24">
        <v>2</v>
      </c>
      <c r="H301" s="60" t="s">
        <v>487</v>
      </c>
      <c r="I301" s="22" t="s">
        <v>18</v>
      </c>
      <c r="J301" s="23">
        <v>100</v>
      </c>
      <c r="K301" s="23">
        <v>100</v>
      </c>
      <c r="L301" s="23">
        <v>100</v>
      </c>
    </row>
    <row r="302" spans="1:12" ht="26.25" thickBot="1" x14ac:dyDescent="0.3">
      <c r="A302" s="25" t="s">
        <v>488</v>
      </c>
      <c r="B302" s="59" t="s">
        <v>489</v>
      </c>
      <c r="C302" s="50"/>
      <c r="D302" s="26"/>
      <c r="E302" s="27">
        <f>E303+E304+E308+E309+E310+0.1</f>
        <v>1225.5999999999999</v>
      </c>
      <c r="F302" s="27">
        <f>F303+F304+F308+F309+F310</f>
        <v>64</v>
      </c>
      <c r="G302" s="27">
        <f>G303+G304+G308+G309+G310</f>
        <v>64</v>
      </c>
      <c r="H302" s="59"/>
      <c r="I302" s="28"/>
      <c r="J302" s="29"/>
      <c r="K302" s="29"/>
      <c r="L302" s="29"/>
    </row>
    <row r="303" spans="1:12" ht="26.25" thickBot="1" x14ac:dyDescent="0.3">
      <c r="A303" s="19" t="s">
        <v>490</v>
      </c>
      <c r="B303" s="60" t="s">
        <v>491</v>
      </c>
      <c r="C303" s="51" t="s">
        <v>450</v>
      </c>
      <c r="D303" s="20" t="s">
        <v>36</v>
      </c>
      <c r="E303" s="24">
        <v>155.19999999999999</v>
      </c>
      <c r="F303" s="24">
        <v>0</v>
      </c>
      <c r="G303" s="24">
        <v>0</v>
      </c>
      <c r="H303" s="60" t="s">
        <v>492</v>
      </c>
      <c r="I303" s="22" t="s">
        <v>22</v>
      </c>
      <c r="J303" s="23">
        <v>3</v>
      </c>
      <c r="K303" s="23"/>
      <c r="L303" s="23"/>
    </row>
    <row r="304" spans="1:12" ht="25.5" x14ac:dyDescent="0.25">
      <c r="A304" s="19" t="s">
        <v>493</v>
      </c>
      <c r="B304" s="60" t="s">
        <v>494</v>
      </c>
      <c r="C304" s="51" t="s">
        <v>450</v>
      </c>
      <c r="D304" s="20"/>
      <c r="E304" s="21">
        <f>SUM(E305:E307)</f>
        <v>1005.5</v>
      </c>
      <c r="F304" s="21">
        <f>SUM(F305:F307)</f>
        <v>0</v>
      </c>
      <c r="G304" s="21">
        <f>SUM(G305:G307)</f>
        <v>0</v>
      </c>
      <c r="H304" s="60" t="s">
        <v>492</v>
      </c>
      <c r="I304" s="22" t="s">
        <v>265</v>
      </c>
      <c r="J304" s="23">
        <v>10</v>
      </c>
      <c r="K304" s="23"/>
      <c r="L304" s="23"/>
    </row>
    <row r="305" spans="1:12" x14ac:dyDescent="0.25">
      <c r="A305" s="15"/>
      <c r="B305" s="61"/>
      <c r="C305" s="52"/>
      <c r="D305" s="16" t="s">
        <v>36</v>
      </c>
      <c r="E305" s="4">
        <v>236.1</v>
      </c>
      <c r="F305" s="4">
        <v>0</v>
      </c>
      <c r="G305" s="4">
        <v>0</v>
      </c>
      <c r="H305" s="61"/>
      <c r="I305" s="17"/>
      <c r="J305" s="18"/>
      <c r="K305" s="18"/>
      <c r="L305" s="18"/>
    </row>
    <row r="306" spans="1:12" x14ac:dyDescent="0.25">
      <c r="A306" s="15"/>
      <c r="B306" s="61"/>
      <c r="C306" s="52"/>
      <c r="D306" s="16" t="s">
        <v>169</v>
      </c>
      <c r="E306" s="4">
        <v>654</v>
      </c>
      <c r="F306" s="4">
        <v>0</v>
      </c>
      <c r="G306" s="4">
        <v>0</v>
      </c>
      <c r="H306" s="61"/>
      <c r="I306" s="17"/>
      <c r="J306" s="18"/>
      <c r="K306" s="18"/>
      <c r="L306" s="18"/>
    </row>
    <row r="307" spans="1:12" ht="15.75" thickBot="1" x14ac:dyDescent="0.3">
      <c r="A307" s="15"/>
      <c r="B307" s="61"/>
      <c r="C307" s="52"/>
      <c r="D307" s="16" t="s">
        <v>126</v>
      </c>
      <c r="E307" s="4">
        <v>115.4</v>
      </c>
      <c r="F307" s="4">
        <v>0</v>
      </c>
      <c r="G307" s="4">
        <v>0</v>
      </c>
      <c r="H307" s="61"/>
      <c r="I307" s="17"/>
      <c r="J307" s="18"/>
      <c r="K307" s="18"/>
      <c r="L307" s="18"/>
    </row>
    <row r="308" spans="1:12" ht="26.25" thickBot="1" x14ac:dyDescent="0.3">
      <c r="A308" s="19" t="s">
        <v>495</v>
      </c>
      <c r="B308" s="60" t="s">
        <v>496</v>
      </c>
      <c r="C308" s="51" t="s">
        <v>450</v>
      </c>
      <c r="D308" s="20" t="s">
        <v>497</v>
      </c>
      <c r="E308" s="24">
        <v>50</v>
      </c>
      <c r="F308" s="24">
        <v>50</v>
      </c>
      <c r="G308" s="24">
        <v>50</v>
      </c>
      <c r="H308" s="60" t="s">
        <v>461</v>
      </c>
      <c r="I308" s="22" t="s">
        <v>18</v>
      </c>
      <c r="J308" s="23">
        <v>100</v>
      </c>
      <c r="K308" s="23">
        <v>100</v>
      </c>
      <c r="L308" s="23">
        <v>100</v>
      </c>
    </row>
    <row r="309" spans="1:12" ht="39" thickBot="1" x14ac:dyDescent="0.3">
      <c r="A309" s="19" t="s">
        <v>498</v>
      </c>
      <c r="B309" s="60" t="s">
        <v>499</v>
      </c>
      <c r="C309" s="51" t="s">
        <v>450</v>
      </c>
      <c r="D309" s="20" t="s">
        <v>128</v>
      </c>
      <c r="E309" s="24">
        <v>0.8</v>
      </c>
      <c r="F309" s="24">
        <v>0</v>
      </c>
      <c r="G309" s="24">
        <v>0</v>
      </c>
      <c r="H309" s="60" t="s">
        <v>461</v>
      </c>
      <c r="I309" s="22" t="s">
        <v>18</v>
      </c>
      <c r="J309" s="23">
        <v>100</v>
      </c>
      <c r="K309" s="23"/>
      <c r="L309" s="23"/>
    </row>
    <row r="310" spans="1:12" ht="26.25" thickBot="1" x14ac:dyDescent="0.3">
      <c r="A310" s="19" t="s">
        <v>500</v>
      </c>
      <c r="B310" s="60" t="s">
        <v>501</v>
      </c>
      <c r="C310" s="51" t="s">
        <v>450</v>
      </c>
      <c r="D310" s="20" t="s">
        <v>27</v>
      </c>
      <c r="E310" s="24">
        <v>14</v>
      </c>
      <c r="F310" s="24">
        <v>14</v>
      </c>
      <c r="G310" s="24">
        <v>14</v>
      </c>
      <c r="H310" s="60" t="s">
        <v>502</v>
      </c>
      <c r="I310" s="22" t="s">
        <v>265</v>
      </c>
      <c r="J310" s="23">
        <v>28</v>
      </c>
      <c r="K310" s="23">
        <v>28</v>
      </c>
      <c r="L310" s="23">
        <v>28</v>
      </c>
    </row>
    <row r="311" spans="1:12" ht="28.5" customHeight="1" thickBot="1" x14ac:dyDescent="0.3">
      <c r="A311" s="35" t="s">
        <v>503</v>
      </c>
      <c r="B311" s="71" t="s">
        <v>504</v>
      </c>
      <c r="C311" s="72" t="s">
        <v>505</v>
      </c>
      <c r="D311" s="73"/>
      <c r="E311" s="74">
        <f>SUM(E312:E312)</f>
        <v>7711</v>
      </c>
      <c r="F311" s="74">
        <f>SUM(F312:F312)</f>
        <v>14233.4</v>
      </c>
      <c r="G311" s="74">
        <f>SUM(G312:G312)</f>
        <v>13095.199999999999</v>
      </c>
      <c r="H311" s="57"/>
      <c r="I311" s="38"/>
      <c r="J311" s="39"/>
      <c r="K311" s="39"/>
      <c r="L311" s="39"/>
    </row>
    <row r="312" spans="1:12" ht="51" x14ac:dyDescent="0.25">
      <c r="A312" s="30" t="s">
        <v>506</v>
      </c>
      <c r="B312" s="58" t="s">
        <v>507</v>
      </c>
      <c r="C312" s="49"/>
      <c r="D312" s="31"/>
      <c r="E312" s="32">
        <f>E313+E314+E343+E356</f>
        <v>7711</v>
      </c>
      <c r="F312" s="32">
        <f>F313+F314+F343+F356</f>
        <v>14233.4</v>
      </c>
      <c r="G312" s="32">
        <f>G313+G314+G343+G356</f>
        <v>13095.199999999999</v>
      </c>
      <c r="H312" s="58" t="s">
        <v>508</v>
      </c>
      <c r="I312" s="33" t="s">
        <v>265</v>
      </c>
      <c r="J312" s="34">
        <v>65</v>
      </c>
      <c r="K312" s="34">
        <v>67</v>
      </c>
      <c r="L312" s="34">
        <v>70</v>
      </c>
    </row>
    <row r="313" spans="1:12" ht="15.75" thickBot="1" x14ac:dyDescent="0.3">
      <c r="A313" s="15"/>
      <c r="B313" s="61"/>
      <c r="C313" s="52"/>
      <c r="D313" s="16"/>
      <c r="E313" s="4">
        <v>0</v>
      </c>
      <c r="F313" s="4">
        <v>0</v>
      </c>
      <c r="G313" s="4">
        <v>0</v>
      </c>
      <c r="H313" s="61" t="s">
        <v>509</v>
      </c>
      <c r="I313" s="17" t="s">
        <v>265</v>
      </c>
      <c r="J313" s="18">
        <v>18</v>
      </c>
      <c r="K313" s="18">
        <v>18</v>
      </c>
      <c r="L313" s="18">
        <v>19</v>
      </c>
    </row>
    <row r="314" spans="1:12" ht="26.25" thickBot="1" x14ac:dyDescent="0.3">
      <c r="A314" s="25" t="s">
        <v>510</v>
      </c>
      <c r="B314" s="59" t="s">
        <v>511</v>
      </c>
      <c r="C314" s="50"/>
      <c r="D314" s="26"/>
      <c r="E314" s="27">
        <f>E315+E323+E328+E330+E333+E337</f>
        <v>7303.7999999999993</v>
      </c>
      <c r="F314" s="27">
        <f>F315+F323+F328+F330+F333+F337</f>
        <v>7321.9</v>
      </c>
      <c r="G314" s="27">
        <f>G315+G323+G328+G330+G333+G337</f>
        <v>7471.7999999999993</v>
      </c>
      <c r="H314" s="59"/>
      <c r="I314" s="28"/>
      <c r="J314" s="29"/>
      <c r="K314" s="29"/>
      <c r="L314" s="29"/>
    </row>
    <row r="315" spans="1:12" ht="63.75" x14ac:dyDescent="0.25">
      <c r="A315" s="19" t="s">
        <v>512</v>
      </c>
      <c r="B315" s="60" t="s">
        <v>513</v>
      </c>
      <c r="C315" s="51" t="s">
        <v>505</v>
      </c>
      <c r="D315" s="20" t="s">
        <v>27</v>
      </c>
      <c r="E315" s="21">
        <f>SUM(E316:E322)+110.8</f>
        <v>110.8</v>
      </c>
      <c r="F315" s="21">
        <f>SUM(F316:F322)+112.8</f>
        <v>112.8</v>
      </c>
      <c r="G315" s="21">
        <f>SUM(G316:G322)+115.3</f>
        <v>115.3</v>
      </c>
      <c r="H315" s="60" t="s">
        <v>514</v>
      </c>
      <c r="I315" s="22" t="s">
        <v>265</v>
      </c>
      <c r="J315" s="23">
        <v>250</v>
      </c>
      <c r="K315" s="23">
        <v>255</v>
      </c>
      <c r="L315" s="23">
        <v>260</v>
      </c>
    </row>
    <row r="316" spans="1:12" ht="38.25" x14ac:dyDescent="0.25">
      <c r="A316" s="15"/>
      <c r="B316" s="61"/>
      <c r="C316" s="52"/>
      <c r="D316" s="16"/>
      <c r="E316" s="4">
        <v>0</v>
      </c>
      <c r="F316" s="4">
        <v>0</v>
      </c>
      <c r="G316" s="4">
        <v>0</v>
      </c>
      <c r="H316" s="61" t="s">
        <v>515</v>
      </c>
      <c r="I316" s="17" t="s">
        <v>265</v>
      </c>
      <c r="J316" s="18">
        <v>555</v>
      </c>
      <c r="K316" s="18">
        <v>560</v>
      </c>
      <c r="L316" s="18">
        <v>565</v>
      </c>
    </row>
    <row r="317" spans="1:12" ht="38.25" x14ac:dyDescent="0.25">
      <c r="A317" s="15"/>
      <c r="B317" s="61"/>
      <c r="C317" s="52"/>
      <c r="D317" s="16"/>
      <c r="E317" s="4">
        <v>0</v>
      </c>
      <c r="F317" s="4">
        <v>0</v>
      </c>
      <c r="G317" s="4">
        <v>0</v>
      </c>
      <c r="H317" s="61" t="s">
        <v>516</v>
      </c>
      <c r="I317" s="17" t="s">
        <v>265</v>
      </c>
      <c r="J317" s="18">
        <v>35</v>
      </c>
      <c r="K317" s="18">
        <v>36</v>
      </c>
      <c r="L317" s="18">
        <v>37</v>
      </c>
    </row>
    <row r="318" spans="1:12" ht="38.25" x14ac:dyDescent="0.25">
      <c r="A318" s="15"/>
      <c r="B318" s="61"/>
      <c r="C318" s="52"/>
      <c r="D318" s="16"/>
      <c r="E318" s="4">
        <v>0</v>
      </c>
      <c r="F318" s="4">
        <v>0</v>
      </c>
      <c r="G318" s="4">
        <v>0</v>
      </c>
      <c r="H318" s="61" t="s">
        <v>517</v>
      </c>
      <c r="I318" s="17" t="s">
        <v>265</v>
      </c>
      <c r="J318" s="18">
        <v>23</v>
      </c>
      <c r="K318" s="18">
        <v>24</v>
      </c>
      <c r="L318" s="18">
        <v>25</v>
      </c>
    </row>
    <row r="319" spans="1:12" ht="25.5" x14ac:dyDescent="0.25">
      <c r="A319" s="15"/>
      <c r="B319" s="61"/>
      <c r="C319" s="52"/>
      <c r="D319" s="16"/>
      <c r="E319" s="4">
        <v>0</v>
      </c>
      <c r="F319" s="4">
        <v>0</v>
      </c>
      <c r="G319" s="4">
        <v>0</v>
      </c>
      <c r="H319" s="61" t="s">
        <v>518</v>
      </c>
      <c r="I319" s="17" t="s">
        <v>265</v>
      </c>
      <c r="J319" s="18">
        <v>29</v>
      </c>
      <c r="K319" s="18">
        <v>30</v>
      </c>
      <c r="L319" s="18">
        <v>31</v>
      </c>
    </row>
    <row r="320" spans="1:12" ht="25.5" x14ac:dyDescent="0.25">
      <c r="A320" s="15"/>
      <c r="B320" s="61"/>
      <c r="C320" s="52"/>
      <c r="D320" s="16"/>
      <c r="E320" s="4">
        <v>0</v>
      </c>
      <c r="F320" s="4">
        <v>0</v>
      </c>
      <c r="G320" s="4">
        <v>0</v>
      </c>
      <c r="H320" s="61" t="s">
        <v>519</v>
      </c>
      <c r="I320" s="17" t="s">
        <v>265</v>
      </c>
      <c r="J320" s="18">
        <v>22</v>
      </c>
      <c r="K320" s="18">
        <v>23</v>
      </c>
      <c r="L320" s="18">
        <v>24</v>
      </c>
    </row>
    <row r="321" spans="1:12" ht="25.5" x14ac:dyDescent="0.25">
      <c r="A321" s="15"/>
      <c r="B321" s="61"/>
      <c r="C321" s="52"/>
      <c r="D321" s="16"/>
      <c r="E321" s="4">
        <v>0</v>
      </c>
      <c r="F321" s="4">
        <v>0</v>
      </c>
      <c r="G321" s="4">
        <v>0</v>
      </c>
      <c r="H321" s="61" t="s">
        <v>520</v>
      </c>
      <c r="I321" s="17" t="s">
        <v>265</v>
      </c>
      <c r="J321" s="18">
        <v>15</v>
      </c>
      <c r="K321" s="18">
        <v>16</v>
      </c>
      <c r="L321" s="18">
        <v>17</v>
      </c>
    </row>
    <row r="322" spans="1:12" ht="15.75" thickBot="1" x14ac:dyDescent="0.3">
      <c r="A322" s="15"/>
      <c r="B322" s="61"/>
      <c r="C322" s="52"/>
      <c r="D322" s="16"/>
      <c r="E322" s="4">
        <v>0</v>
      </c>
      <c r="F322" s="4">
        <v>0</v>
      </c>
      <c r="G322" s="4">
        <v>0</v>
      </c>
      <c r="H322" s="61" t="s">
        <v>521</v>
      </c>
      <c r="I322" s="17" t="s">
        <v>265</v>
      </c>
      <c r="J322" s="18">
        <v>173</v>
      </c>
      <c r="K322" s="18">
        <v>175</v>
      </c>
      <c r="L322" s="18">
        <v>177</v>
      </c>
    </row>
    <row r="323" spans="1:12" ht="63.75" x14ac:dyDescent="0.25">
      <c r="A323" s="19" t="s">
        <v>522</v>
      </c>
      <c r="B323" s="60" t="s">
        <v>523</v>
      </c>
      <c r="C323" s="51" t="s">
        <v>505</v>
      </c>
      <c r="D323" s="20" t="s">
        <v>27</v>
      </c>
      <c r="E323" s="21">
        <f>SUM(E324:E327)+249.9</f>
        <v>249.9</v>
      </c>
      <c r="F323" s="21">
        <f>SUM(F324:F327)+254.4</f>
        <v>254.4</v>
      </c>
      <c r="G323" s="21">
        <f>SUM(G324:G327)+260</f>
        <v>260</v>
      </c>
      <c r="H323" s="60" t="s">
        <v>524</v>
      </c>
      <c r="I323" s="22" t="s">
        <v>265</v>
      </c>
      <c r="J323" s="23">
        <v>14</v>
      </c>
      <c r="K323" s="23">
        <v>14</v>
      </c>
      <c r="L323" s="23">
        <v>14</v>
      </c>
    </row>
    <row r="324" spans="1:12" x14ac:dyDescent="0.25">
      <c r="A324" s="15"/>
      <c r="B324" s="61"/>
      <c r="C324" s="52"/>
      <c r="D324" s="16"/>
      <c r="E324" s="4">
        <v>0</v>
      </c>
      <c r="F324" s="4">
        <v>0</v>
      </c>
      <c r="G324" s="4">
        <v>0</v>
      </c>
      <c r="H324" s="61" t="s">
        <v>525</v>
      </c>
      <c r="I324" s="17" t="s">
        <v>265</v>
      </c>
      <c r="J324" s="18">
        <v>7</v>
      </c>
      <c r="K324" s="18">
        <v>8</v>
      </c>
      <c r="L324" s="18">
        <v>8</v>
      </c>
    </row>
    <row r="325" spans="1:12" x14ac:dyDescent="0.25">
      <c r="A325" s="15"/>
      <c r="B325" s="61"/>
      <c r="C325" s="52"/>
      <c r="D325" s="16"/>
      <c r="E325" s="4">
        <v>0</v>
      </c>
      <c r="F325" s="4">
        <v>0</v>
      </c>
      <c r="G325" s="4">
        <v>0</v>
      </c>
      <c r="H325" s="61" t="s">
        <v>526</v>
      </c>
      <c r="I325" s="17" t="s">
        <v>265</v>
      </c>
      <c r="J325" s="18">
        <v>9</v>
      </c>
      <c r="K325" s="18">
        <v>10</v>
      </c>
      <c r="L325" s="18">
        <v>10</v>
      </c>
    </row>
    <row r="326" spans="1:12" x14ac:dyDescent="0.25">
      <c r="A326" s="15"/>
      <c r="B326" s="61"/>
      <c r="C326" s="52"/>
      <c r="D326" s="16"/>
      <c r="E326" s="4">
        <v>0</v>
      </c>
      <c r="F326" s="4">
        <v>0</v>
      </c>
      <c r="G326" s="4">
        <v>0</v>
      </c>
      <c r="H326" s="61" t="s">
        <v>527</v>
      </c>
      <c r="I326" s="17" t="s">
        <v>265</v>
      </c>
      <c r="J326" s="18">
        <v>4</v>
      </c>
      <c r="K326" s="18">
        <v>5</v>
      </c>
      <c r="L326" s="18">
        <v>6</v>
      </c>
    </row>
    <row r="327" spans="1:12" ht="15.75" thickBot="1" x14ac:dyDescent="0.3">
      <c r="A327" s="15"/>
      <c r="B327" s="61"/>
      <c r="C327" s="52"/>
      <c r="D327" s="16"/>
      <c r="E327" s="4">
        <v>0</v>
      </c>
      <c r="F327" s="4">
        <v>0</v>
      </c>
      <c r="G327" s="4">
        <v>0</v>
      </c>
      <c r="H327" s="61" t="s">
        <v>528</v>
      </c>
      <c r="I327" s="17" t="s">
        <v>265</v>
      </c>
      <c r="J327" s="18">
        <v>85</v>
      </c>
      <c r="K327" s="18">
        <v>88</v>
      </c>
      <c r="L327" s="18">
        <v>90</v>
      </c>
    </row>
    <row r="328" spans="1:12" ht="38.25" x14ac:dyDescent="0.25">
      <c r="A328" s="19" t="s">
        <v>529</v>
      </c>
      <c r="B328" s="60" t="s">
        <v>530</v>
      </c>
      <c r="C328" s="51" t="s">
        <v>531</v>
      </c>
      <c r="D328" s="20" t="s">
        <v>27</v>
      </c>
      <c r="E328" s="21">
        <f>SUM(E329:E329)+658</f>
        <v>658</v>
      </c>
      <c r="F328" s="21">
        <f>SUM(F329:F329)+669.8</f>
        <v>669.8</v>
      </c>
      <c r="G328" s="21">
        <f>SUM(G329:G329)+681.9</f>
        <v>681.9</v>
      </c>
      <c r="H328" s="60" t="s">
        <v>532</v>
      </c>
      <c r="I328" s="22" t="s">
        <v>265</v>
      </c>
      <c r="J328" s="23">
        <v>8</v>
      </c>
      <c r="K328" s="23">
        <v>8</v>
      </c>
      <c r="L328" s="23">
        <v>8</v>
      </c>
    </row>
    <row r="329" spans="1:12" ht="15.75" thickBot="1" x14ac:dyDescent="0.3">
      <c r="A329" s="15"/>
      <c r="B329" s="61"/>
      <c r="C329" s="52"/>
      <c r="D329" s="16"/>
      <c r="E329" s="4">
        <v>0</v>
      </c>
      <c r="F329" s="4">
        <v>0</v>
      </c>
      <c r="G329" s="4">
        <v>0</v>
      </c>
      <c r="H329" s="61" t="s">
        <v>533</v>
      </c>
      <c r="I329" s="17" t="s">
        <v>265</v>
      </c>
      <c r="J329" s="65">
        <v>2580</v>
      </c>
      <c r="K329" s="65">
        <v>2650</v>
      </c>
      <c r="L329" s="65">
        <v>2750</v>
      </c>
    </row>
    <row r="330" spans="1:12" ht="25.5" x14ac:dyDescent="0.25">
      <c r="A330" s="19" t="s">
        <v>534</v>
      </c>
      <c r="B330" s="60" t="s">
        <v>535</v>
      </c>
      <c r="C330" s="51" t="s">
        <v>505</v>
      </c>
      <c r="D330" s="20" t="s">
        <v>27</v>
      </c>
      <c r="E330" s="21">
        <f>SUM(E331:E332)+69.6</f>
        <v>69.599999999999994</v>
      </c>
      <c r="F330" s="21">
        <f>SUM(F331:F332)+45</f>
        <v>45</v>
      </c>
      <c r="G330" s="21">
        <f>SUM(G331:G332)+46.1</f>
        <v>46.1</v>
      </c>
      <c r="H330" s="60" t="s">
        <v>536</v>
      </c>
      <c r="I330" s="22" t="s">
        <v>265</v>
      </c>
      <c r="J330" s="64">
        <v>18</v>
      </c>
      <c r="K330" s="64">
        <v>20</v>
      </c>
      <c r="L330" s="64">
        <v>22</v>
      </c>
    </row>
    <row r="331" spans="1:12" x14ac:dyDescent="0.25">
      <c r="A331" s="15"/>
      <c r="B331" s="61"/>
      <c r="C331" s="52"/>
      <c r="D331" s="16"/>
      <c r="E331" s="4">
        <v>0</v>
      </c>
      <c r="F331" s="4">
        <v>0</v>
      </c>
      <c r="G331" s="4">
        <v>0</v>
      </c>
      <c r="H331" s="61" t="s">
        <v>537</v>
      </c>
      <c r="I331" s="17" t="s">
        <v>265</v>
      </c>
      <c r="J331" s="65">
        <v>10</v>
      </c>
      <c r="K331" s="65">
        <v>10</v>
      </c>
      <c r="L331" s="65">
        <v>10</v>
      </c>
    </row>
    <row r="332" spans="1:12" ht="15.75" thickBot="1" x14ac:dyDescent="0.3">
      <c r="A332" s="15"/>
      <c r="B332" s="61"/>
      <c r="C332" s="52"/>
      <c r="D332" s="16"/>
      <c r="E332" s="4">
        <v>0</v>
      </c>
      <c r="F332" s="4">
        <v>0</v>
      </c>
      <c r="G332" s="4">
        <v>0</v>
      </c>
      <c r="H332" s="61" t="s">
        <v>538</v>
      </c>
      <c r="I332" s="17" t="s">
        <v>265</v>
      </c>
      <c r="J332" s="65">
        <v>10</v>
      </c>
      <c r="K332" s="65">
        <v>11</v>
      </c>
      <c r="L332" s="65">
        <v>12</v>
      </c>
    </row>
    <row r="333" spans="1:12" ht="38.25" x14ac:dyDescent="0.25">
      <c r="A333" s="19" t="s">
        <v>539</v>
      </c>
      <c r="B333" s="60" t="s">
        <v>540</v>
      </c>
      <c r="C333" s="51" t="s">
        <v>541</v>
      </c>
      <c r="D333" s="20" t="s">
        <v>27</v>
      </c>
      <c r="E333" s="21">
        <f>SUM(E334:E336)+1734.4</f>
        <v>1734.4</v>
      </c>
      <c r="F333" s="21">
        <f>SUM(F334:F336)+1823.6</f>
        <v>1823.6</v>
      </c>
      <c r="G333" s="21">
        <f>SUM(G334:G336)+1863.8</f>
        <v>1863.8</v>
      </c>
      <c r="H333" s="60" t="s">
        <v>542</v>
      </c>
      <c r="I333" s="22" t="s">
        <v>265</v>
      </c>
      <c r="J333" s="64">
        <v>3</v>
      </c>
      <c r="K333" s="64">
        <v>3</v>
      </c>
      <c r="L333" s="64">
        <v>3</v>
      </c>
    </row>
    <row r="334" spans="1:12" x14ac:dyDescent="0.25">
      <c r="A334" s="15"/>
      <c r="B334" s="61"/>
      <c r="C334" s="52"/>
      <c r="D334" s="16"/>
      <c r="E334" s="4">
        <v>0</v>
      </c>
      <c r="F334" s="4">
        <v>0</v>
      </c>
      <c r="G334" s="4">
        <v>0</v>
      </c>
      <c r="H334" s="61" t="s">
        <v>543</v>
      </c>
      <c r="I334" s="17" t="s">
        <v>265</v>
      </c>
      <c r="J334" s="65">
        <v>650</v>
      </c>
      <c r="K334" s="65">
        <v>660</v>
      </c>
      <c r="L334" s="65">
        <v>670</v>
      </c>
    </row>
    <row r="335" spans="1:12" x14ac:dyDescent="0.25">
      <c r="A335" s="15"/>
      <c r="B335" s="61"/>
      <c r="C335" s="52"/>
      <c r="D335" s="16"/>
      <c r="E335" s="4">
        <v>0</v>
      </c>
      <c r="F335" s="4">
        <v>0</v>
      </c>
      <c r="G335" s="4">
        <v>0</v>
      </c>
      <c r="H335" s="61" t="s">
        <v>544</v>
      </c>
      <c r="I335" s="17" t="s">
        <v>265</v>
      </c>
      <c r="J335" s="65">
        <v>1</v>
      </c>
      <c r="K335" s="65">
        <v>1</v>
      </c>
      <c r="L335" s="65">
        <v>1</v>
      </c>
    </row>
    <row r="336" spans="1:12" ht="15.75" thickBot="1" x14ac:dyDescent="0.3">
      <c r="A336" s="15"/>
      <c r="B336" s="61"/>
      <c r="C336" s="52"/>
      <c r="D336" s="16"/>
      <c r="E336" s="4">
        <v>0</v>
      </c>
      <c r="F336" s="4">
        <v>0</v>
      </c>
      <c r="G336" s="4">
        <v>0</v>
      </c>
      <c r="H336" s="61" t="s">
        <v>545</v>
      </c>
      <c r="I336" s="17" t="s">
        <v>265</v>
      </c>
      <c r="J336" s="65">
        <v>560</v>
      </c>
      <c r="K336" s="65">
        <v>570</v>
      </c>
      <c r="L336" s="65">
        <v>580</v>
      </c>
    </row>
    <row r="337" spans="1:12" x14ac:dyDescent="0.25">
      <c r="A337" s="19" t="s">
        <v>546</v>
      </c>
      <c r="B337" s="60" t="s">
        <v>547</v>
      </c>
      <c r="C337" s="51" t="s">
        <v>505</v>
      </c>
      <c r="D337" s="20"/>
      <c r="E337" s="21">
        <f>SUM(E338:E342)</f>
        <v>4481.0999999999995</v>
      </c>
      <c r="F337" s="21">
        <f>SUM(F338:F342)</f>
        <v>4416.3</v>
      </c>
      <c r="G337" s="21">
        <f>SUM(G338:G342)</f>
        <v>4504.6999999999989</v>
      </c>
      <c r="H337" s="60" t="s">
        <v>548</v>
      </c>
      <c r="I337" s="22" t="s">
        <v>265</v>
      </c>
      <c r="J337" s="64">
        <v>2715</v>
      </c>
      <c r="K337" s="64">
        <v>2820</v>
      </c>
      <c r="L337" s="64">
        <v>2900</v>
      </c>
    </row>
    <row r="338" spans="1:12" ht="25.5" x14ac:dyDescent="0.25">
      <c r="A338" s="15"/>
      <c r="B338" s="61"/>
      <c r="C338" s="52"/>
      <c r="D338" s="16" t="s">
        <v>36</v>
      </c>
      <c r="E338" s="4">
        <v>96.6</v>
      </c>
      <c r="F338" s="4">
        <v>0</v>
      </c>
      <c r="G338" s="4">
        <v>0</v>
      </c>
      <c r="H338" s="61" t="s">
        <v>519</v>
      </c>
      <c r="I338" s="17" t="s">
        <v>265</v>
      </c>
      <c r="J338" s="18">
        <v>28</v>
      </c>
      <c r="K338" s="18">
        <v>29</v>
      </c>
      <c r="L338" s="18">
        <v>30</v>
      </c>
    </row>
    <row r="339" spans="1:12" ht="25.5" x14ac:dyDescent="0.25">
      <c r="A339" s="15"/>
      <c r="B339" s="61"/>
      <c r="C339" s="52"/>
      <c r="D339" s="16" t="s">
        <v>123</v>
      </c>
      <c r="E339" s="4">
        <v>408.8</v>
      </c>
      <c r="F339" s="4">
        <v>411.1</v>
      </c>
      <c r="G339" s="4">
        <v>412.4</v>
      </c>
      <c r="H339" s="61" t="s">
        <v>520</v>
      </c>
      <c r="I339" s="17" t="s">
        <v>265</v>
      </c>
      <c r="J339" s="18">
        <v>106</v>
      </c>
      <c r="K339" s="18">
        <v>108</v>
      </c>
      <c r="L339" s="18">
        <v>110</v>
      </c>
    </row>
    <row r="340" spans="1:12" x14ac:dyDescent="0.25">
      <c r="A340" s="15"/>
      <c r="B340" s="61"/>
      <c r="C340" s="52"/>
      <c r="D340" s="16" t="s">
        <v>27</v>
      </c>
      <c r="E340" s="4">
        <v>3871.7</v>
      </c>
      <c r="F340" s="4">
        <v>3941.5</v>
      </c>
      <c r="G340" s="4">
        <v>4028.2</v>
      </c>
      <c r="H340" s="61"/>
      <c r="I340" s="17"/>
      <c r="J340" s="18"/>
      <c r="K340" s="18"/>
      <c r="L340" s="18"/>
    </row>
    <row r="341" spans="1:12" x14ac:dyDescent="0.25">
      <c r="A341" s="15"/>
      <c r="B341" s="61"/>
      <c r="C341" s="52"/>
      <c r="D341" s="16" t="s">
        <v>130</v>
      </c>
      <c r="E341" s="4">
        <v>43.7</v>
      </c>
      <c r="F341" s="4">
        <v>44</v>
      </c>
      <c r="G341" s="4">
        <v>44.4</v>
      </c>
      <c r="H341" s="61"/>
      <c r="I341" s="17"/>
      <c r="J341" s="18"/>
      <c r="K341" s="18"/>
      <c r="L341" s="18"/>
    </row>
    <row r="342" spans="1:12" ht="15.75" thickBot="1" x14ac:dyDescent="0.3">
      <c r="A342" s="15"/>
      <c r="B342" s="61"/>
      <c r="C342" s="52"/>
      <c r="D342" s="16" t="s">
        <v>128</v>
      </c>
      <c r="E342" s="4">
        <v>60.3</v>
      </c>
      <c r="F342" s="4">
        <v>19.7</v>
      </c>
      <c r="G342" s="4">
        <v>19.7</v>
      </c>
      <c r="H342" s="61"/>
      <c r="I342" s="17"/>
      <c r="J342" s="18"/>
      <c r="K342" s="18"/>
      <c r="L342" s="18"/>
    </row>
    <row r="343" spans="1:12" ht="15.75" thickBot="1" x14ac:dyDescent="0.3">
      <c r="A343" s="25" t="s">
        <v>549</v>
      </c>
      <c r="B343" s="59" t="s">
        <v>550</v>
      </c>
      <c r="C343" s="50"/>
      <c r="D343" s="26"/>
      <c r="E343" s="27">
        <f>E344+E348+E351+E352+E353+E354+E355</f>
        <v>358.6</v>
      </c>
      <c r="F343" s="27">
        <f>F344+F348+F351+F352+F353+F354+F355</f>
        <v>6862</v>
      </c>
      <c r="G343" s="27">
        <f>G344+G348+G351+G352+G353+G354+G355</f>
        <v>5573</v>
      </c>
      <c r="H343" s="59"/>
      <c r="I343" s="28"/>
      <c r="J343" s="29"/>
      <c r="K343" s="29"/>
      <c r="L343" s="29"/>
    </row>
    <row r="344" spans="1:12" ht="38.25" x14ac:dyDescent="0.25">
      <c r="A344" s="19" t="s">
        <v>551</v>
      </c>
      <c r="B344" s="60" t="s">
        <v>552</v>
      </c>
      <c r="C344" s="51" t="s">
        <v>553</v>
      </c>
      <c r="D344" s="20"/>
      <c r="E344" s="21">
        <f>SUM(E345:E347)</f>
        <v>209.1</v>
      </c>
      <c r="F344" s="21">
        <f>SUM(F345:F347)</f>
        <v>5000</v>
      </c>
      <c r="G344" s="21">
        <f>SUM(G345:G347)</f>
        <v>5000</v>
      </c>
      <c r="H344" s="60" t="s">
        <v>554</v>
      </c>
      <c r="I344" s="22" t="s">
        <v>265</v>
      </c>
      <c r="J344" s="23">
        <v>1</v>
      </c>
      <c r="K344" s="23"/>
      <c r="L344" s="23"/>
    </row>
    <row r="345" spans="1:12" x14ac:dyDescent="0.25">
      <c r="A345" s="15"/>
      <c r="B345" s="61"/>
      <c r="C345" s="52"/>
      <c r="D345" s="16" t="s">
        <v>36</v>
      </c>
      <c r="E345" s="4">
        <v>15.1</v>
      </c>
      <c r="F345" s="4">
        <v>0</v>
      </c>
      <c r="G345" s="4">
        <v>0</v>
      </c>
      <c r="H345" s="61" t="s">
        <v>555</v>
      </c>
      <c r="I345" s="17" t="s">
        <v>18</v>
      </c>
      <c r="J345" s="18">
        <v>10</v>
      </c>
      <c r="K345" s="18">
        <v>50</v>
      </c>
      <c r="L345" s="18">
        <v>100</v>
      </c>
    </row>
    <row r="346" spans="1:12" x14ac:dyDescent="0.25">
      <c r="A346" s="15"/>
      <c r="B346" s="61"/>
      <c r="C346" s="52"/>
      <c r="D346" s="16" t="s">
        <v>128</v>
      </c>
      <c r="E346" s="4"/>
      <c r="F346" s="4">
        <v>1000</v>
      </c>
      <c r="G346" s="4"/>
      <c r="H346" s="61"/>
      <c r="I346" s="17"/>
      <c r="J346" s="18"/>
      <c r="K346" s="18"/>
      <c r="L346" s="18"/>
    </row>
    <row r="347" spans="1:12" ht="15.75" thickBot="1" x14ac:dyDescent="0.3">
      <c r="A347" s="15"/>
      <c r="B347" s="61"/>
      <c r="C347" s="52"/>
      <c r="D347" s="16" t="s">
        <v>27</v>
      </c>
      <c r="E347" s="4">
        <v>194</v>
      </c>
      <c r="F347" s="4">
        <v>4000</v>
      </c>
      <c r="G347" s="4">
        <v>5000</v>
      </c>
      <c r="H347" s="61"/>
      <c r="I347" s="17"/>
      <c r="J347" s="18"/>
      <c r="K347" s="18"/>
      <c r="L347" s="18"/>
    </row>
    <row r="348" spans="1:12" ht="51" x14ac:dyDescent="0.25">
      <c r="A348" s="19" t="s">
        <v>556</v>
      </c>
      <c r="B348" s="60" t="s">
        <v>557</v>
      </c>
      <c r="C348" s="51" t="s">
        <v>558</v>
      </c>
      <c r="D348" s="20"/>
      <c r="E348" s="21">
        <f>SUM(E349:E350)</f>
        <v>0</v>
      </c>
      <c r="F348" s="21">
        <f>SUM(F349:F350)</f>
        <v>1337</v>
      </c>
      <c r="G348" s="21">
        <f>SUM(G349:G350)</f>
        <v>573</v>
      </c>
      <c r="H348" s="60" t="s">
        <v>559</v>
      </c>
      <c r="I348" s="22" t="s">
        <v>18</v>
      </c>
      <c r="J348" s="23"/>
      <c r="K348" s="23">
        <v>50</v>
      </c>
      <c r="L348" s="23">
        <v>100</v>
      </c>
    </row>
    <row r="349" spans="1:12" x14ac:dyDescent="0.25">
      <c r="A349" s="15"/>
      <c r="B349" s="61"/>
      <c r="C349" s="52"/>
      <c r="D349" s="16" t="s">
        <v>128</v>
      </c>
      <c r="E349" s="4">
        <v>0</v>
      </c>
      <c r="F349" s="4">
        <v>1337</v>
      </c>
      <c r="G349" s="4">
        <v>0</v>
      </c>
      <c r="H349" s="61"/>
      <c r="I349" s="17"/>
      <c r="J349" s="18"/>
      <c r="K349" s="18"/>
      <c r="L349" s="18"/>
    </row>
    <row r="350" spans="1:12" ht="15.75" thickBot="1" x14ac:dyDescent="0.3">
      <c r="A350" s="15"/>
      <c r="B350" s="61"/>
      <c r="C350" s="52"/>
      <c r="D350" s="16" t="s">
        <v>27</v>
      </c>
      <c r="E350" s="4">
        <v>0</v>
      </c>
      <c r="F350" s="4">
        <v>0</v>
      </c>
      <c r="G350" s="4">
        <v>573</v>
      </c>
      <c r="H350" s="61"/>
      <c r="I350" s="17"/>
      <c r="J350" s="18"/>
      <c r="K350" s="18"/>
      <c r="L350" s="18"/>
    </row>
    <row r="351" spans="1:12" ht="90" thickBot="1" x14ac:dyDescent="0.3">
      <c r="A351" s="19" t="s">
        <v>560</v>
      </c>
      <c r="B351" s="60" t="s">
        <v>561</v>
      </c>
      <c r="C351" s="51" t="s">
        <v>562</v>
      </c>
      <c r="D351" s="20" t="s">
        <v>27</v>
      </c>
      <c r="E351" s="24">
        <v>0</v>
      </c>
      <c r="F351" s="24">
        <v>525</v>
      </c>
      <c r="G351" s="24">
        <v>0</v>
      </c>
      <c r="H351" s="60" t="s">
        <v>554</v>
      </c>
      <c r="I351" s="22" t="s">
        <v>22</v>
      </c>
      <c r="J351" s="23"/>
      <c r="K351" s="23">
        <v>1</v>
      </c>
      <c r="L351" s="23"/>
    </row>
    <row r="352" spans="1:12" ht="51.75" thickBot="1" x14ac:dyDescent="0.3">
      <c r="A352" s="19" t="s">
        <v>563</v>
      </c>
      <c r="B352" s="60" t="s">
        <v>564</v>
      </c>
      <c r="C352" s="51" t="s">
        <v>558</v>
      </c>
      <c r="D352" s="20" t="s">
        <v>36</v>
      </c>
      <c r="E352" s="24">
        <v>22.5</v>
      </c>
      <c r="F352" s="24">
        <v>0</v>
      </c>
      <c r="G352" s="24">
        <v>0</v>
      </c>
      <c r="H352" s="60" t="s">
        <v>555</v>
      </c>
      <c r="I352" s="22" t="s">
        <v>18</v>
      </c>
      <c r="J352" s="23">
        <v>100</v>
      </c>
      <c r="K352" s="23"/>
      <c r="L352" s="23"/>
    </row>
    <row r="353" spans="1:12" ht="26.25" thickBot="1" x14ac:dyDescent="0.3">
      <c r="A353" s="19" t="s">
        <v>565</v>
      </c>
      <c r="B353" s="60" t="s">
        <v>566</v>
      </c>
      <c r="C353" s="51" t="s">
        <v>505</v>
      </c>
      <c r="D353" s="20" t="s">
        <v>27</v>
      </c>
      <c r="E353" s="24">
        <v>57</v>
      </c>
      <c r="F353" s="24">
        <v>0</v>
      </c>
      <c r="G353" s="24">
        <v>0</v>
      </c>
      <c r="H353" s="60" t="s">
        <v>567</v>
      </c>
      <c r="I353" s="22" t="s">
        <v>22</v>
      </c>
      <c r="J353" s="23">
        <v>100</v>
      </c>
      <c r="K353" s="23"/>
      <c r="L353" s="23"/>
    </row>
    <row r="354" spans="1:12" ht="26.25" thickBot="1" x14ac:dyDescent="0.3">
      <c r="A354" s="19" t="s">
        <v>568</v>
      </c>
      <c r="B354" s="60" t="s">
        <v>569</v>
      </c>
      <c r="C354" s="51" t="s">
        <v>505</v>
      </c>
      <c r="D354" s="20"/>
      <c r="E354" s="24">
        <v>0</v>
      </c>
      <c r="F354" s="24">
        <v>0</v>
      </c>
      <c r="G354" s="24">
        <v>0</v>
      </c>
      <c r="H354" s="60"/>
      <c r="I354" s="22"/>
      <c r="J354" s="23"/>
      <c r="K354" s="23"/>
      <c r="L354" s="23"/>
    </row>
    <row r="355" spans="1:12" ht="15.75" thickBot="1" x14ac:dyDescent="0.3">
      <c r="A355" s="19" t="s">
        <v>570</v>
      </c>
      <c r="B355" s="60" t="s">
        <v>571</v>
      </c>
      <c r="C355" s="51"/>
      <c r="D355" s="20" t="s">
        <v>27</v>
      </c>
      <c r="E355" s="24">
        <v>70</v>
      </c>
      <c r="F355" s="24">
        <v>0</v>
      </c>
      <c r="G355" s="24">
        <v>0</v>
      </c>
      <c r="H355" s="60" t="s">
        <v>555</v>
      </c>
      <c r="I355" s="22" t="s">
        <v>18</v>
      </c>
      <c r="J355" s="23">
        <v>100</v>
      </c>
      <c r="K355" s="23"/>
      <c r="L355" s="23"/>
    </row>
    <row r="356" spans="1:12" ht="15.75" thickBot="1" x14ac:dyDescent="0.3">
      <c r="A356" s="25" t="s">
        <v>572</v>
      </c>
      <c r="B356" s="59" t="s">
        <v>573</v>
      </c>
      <c r="C356" s="50"/>
      <c r="D356" s="26"/>
      <c r="E356" s="27">
        <f>SUM(E357:E358)</f>
        <v>48.599999999999994</v>
      </c>
      <c r="F356" s="27">
        <f>SUM(F357:F358)</f>
        <v>49.5</v>
      </c>
      <c r="G356" s="27">
        <f>SUM(G357:G358)</f>
        <v>50.400000000000006</v>
      </c>
      <c r="H356" s="59"/>
      <c r="I356" s="28"/>
      <c r="J356" s="29"/>
      <c r="K356" s="29"/>
      <c r="L356" s="29"/>
    </row>
    <row r="357" spans="1:12" ht="26.25" thickBot="1" x14ac:dyDescent="0.3">
      <c r="A357" s="19" t="s">
        <v>574</v>
      </c>
      <c r="B357" s="60" t="s">
        <v>575</v>
      </c>
      <c r="C357" s="51" t="s">
        <v>505</v>
      </c>
      <c r="D357" s="20" t="s">
        <v>27</v>
      </c>
      <c r="E357" s="24">
        <v>15.2</v>
      </c>
      <c r="F357" s="24">
        <v>15.5</v>
      </c>
      <c r="G357" s="24">
        <v>15.8</v>
      </c>
      <c r="H357" s="60" t="s">
        <v>576</v>
      </c>
      <c r="I357" s="22" t="s">
        <v>18</v>
      </c>
      <c r="J357" s="23">
        <v>9.8000000000000007</v>
      </c>
      <c r="K357" s="23">
        <v>10</v>
      </c>
      <c r="L357" s="23">
        <v>11</v>
      </c>
    </row>
    <row r="358" spans="1:12" ht="39" thickBot="1" x14ac:dyDescent="0.3">
      <c r="A358" s="19" t="s">
        <v>577</v>
      </c>
      <c r="B358" s="60" t="s">
        <v>578</v>
      </c>
      <c r="C358" s="51" t="s">
        <v>579</v>
      </c>
      <c r="D358" s="20" t="s">
        <v>27</v>
      </c>
      <c r="E358" s="24">
        <v>33.4</v>
      </c>
      <c r="F358" s="24">
        <v>34</v>
      </c>
      <c r="G358" s="24">
        <v>34.6</v>
      </c>
      <c r="H358" s="60" t="s">
        <v>580</v>
      </c>
      <c r="I358" s="22" t="s">
        <v>18</v>
      </c>
      <c r="J358" s="23">
        <v>18</v>
      </c>
      <c r="K358" s="23">
        <v>18</v>
      </c>
      <c r="L358" s="23">
        <v>18</v>
      </c>
    </row>
    <row r="359" spans="1:12" ht="26.25" thickBot="1" x14ac:dyDescent="0.3">
      <c r="A359" s="35" t="s">
        <v>581</v>
      </c>
      <c r="B359" s="71" t="s">
        <v>582</v>
      </c>
      <c r="C359" s="72" t="s">
        <v>583</v>
      </c>
      <c r="D359" s="73"/>
      <c r="E359" s="74">
        <f>E360+E435</f>
        <v>90197.60000000002</v>
      </c>
      <c r="F359" s="74">
        <f>F360+F435</f>
        <v>90465.1</v>
      </c>
      <c r="G359" s="74">
        <f>G360+G435</f>
        <v>85950.400000000009</v>
      </c>
      <c r="H359" s="57"/>
      <c r="I359" s="38"/>
      <c r="J359" s="39"/>
      <c r="K359" s="39"/>
      <c r="L359" s="39"/>
    </row>
    <row r="360" spans="1:12" ht="25.5" x14ac:dyDescent="0.25">
      <c r="A360" s="30" t="s">
        <v>584</v>
      </c>
      <c r="B360" s="58" t="s">
        <v>585</v>
      </c>
      <c r="C360" s="49"/>
      <c r="D360" s="31"/>
      <c r="E360" s="32">
        <f>E361+E362+E389+0.1</f>
        <v>83265.800000000017</v>
      </c>
      <c r="F360" s="32">
        <f>F361+F362+F389</f>
        <v>81113.3</v>
      </c>
      <c r="G360" s="32">
        <f>G361+G362+G389</f>
        <v>81741.600000000006</v>
      </c>
      <c r="H360" s="58" t="s">
        <v>586</v>
      </c>
      <c r="I360" s="33" t="s">
        <v>18</v>
      </c>
      <c r="J360" s="34">
        <v>100</v>
      </c>
      <c r="K360" s="34">
        <v>100</v>
      </c>
      <c r="L360" s="34">
        <v>100</v>
      </c>
    </row>
    <row r="361" spans="1:12" ht="15.75" thickBot="1" x14ac:dyDescent="0.3">
      <c r="A361" s="15"/>
      <c r="B361" s="61"/>
      <c r="C361" s="52"/>
      <c r="D361" s="16"/>
      <c r="E361" s="4">
        <v>0</v>
      </c>
      <c r="F361" s="4">
        <v>0</v>
      </c>
      <c r="G361" s="4">
        <v>0</v>
      </c>
      <c r="H361" s="61" t="s">
        <v>587</v>
      </c>
      <c r="I361" s="17" t="s">
        <v>265</v>
      </c>
      <c r="J361" s="63">
        <v>13500</v>
      </c>
      <c r="K361" s="63">
        <v>13500</v>
      </c>
      <c r="L361" s="63">
        <v>13500</v>
      </c>
    </row>
    <row r="362" spans="1:12" ht="26.25" thickBot="1" x14ac:dyDescent="0.3">
      <c r="A362" s="25" t="s">
        <v>588</v>
      </c>
      <c r="B362" s="59" t="s">
        <v>589</v>
      </c>
      <c r="C362" s="50"/>
      <c r="D362" s="26"/>
      <c r="E362" s="27">
        <f>E363+E369+E370+E373+E377+E387+E388</f>
        <v>1017.5</v>
      </c>
      <c r="F362" s="27">
        <f>F363+F369+F370+F373+F377+F387+F388</f>
        <v>911</v>
      </c>
      <c r="G362" s="27">
        <f>G363+G369+G370+G373+G377+G387+G388</f>
        <v>937.40000000000009</v>
      </c>
      <c r="H362" s="59"/>
      <c r="I362" s="28"/>
      <c r="J362" s="29"/>
      <c r="K362" s="29"/>
      <c r="L362" s="29"/>
    </row>
    <row r="363" spans="1:12" ht="25.5" x14ac:dyDescent="0.25">
      <c r="A363" s="19" t="s">
        <v>590</v>
      </c>
      <c r="B363" s="60" t="s">
        <v>591</v>
      </c>
      <c r="C363" s="51" t="s">
        <v>583</v>
      </c>
      <c r="D363" s="20" t="s">
        <v>27</v>
      </c>
      <c r="E363" s="21">
        <f>SUM(E364:E368)+207.3</f>
        <v>207.3</v>
      </c>
      <c r="F363" s="21">
        <f>SUM(F364:F368)+233.7</f>
        <v>233.7</v>
      </c>
      <c r="G363" s="21">
        <f>SUM(G364:G368)+260.1</f>
        <v>260.10000000000002</v>
      </c>
      <c r="H363" s="60" t="s">
        <v>592</v>
      </c>
      <c r="I363" s="22" t="s">
        <v>265</v>
      </c>
      <c r="J363" s="23">
        <v>8</v>
      </c>
      <c r="K363" s="23">
        <v>8</v>
      </c>
      <c r="L363" s="23">
        <v>8</v>
      </c>
    </row>
    <row r="364" spans="1:12" x14ac:dyDescent="0.25">
      <c r="A364" s="15"/>
      <c r="B364" s="61"/>
      <c r="C364" s="52"/>
      <c r="D364" s="16"/>
      <c r="E364" s="4">
        <v>0</v>
      </c>
      <c r="F364" s="4">
        <v>0</v>
      </c>
      <c r="G364" s="4">
        <v>0</v>
      </c>
      <c r="H364" s="61" t="s">
        <v>593</v>
      </c>
      <c r="I364" s="17" t="s">
        <v>265</v>
      </c>
      <c r="J364" s="65">
        <v>1200</v>
      </c>
      <c r="K364" s="65">
        <v>1200</v>
      </c>
      <c r="L364" s="65">
        <v>1200</v>
      </c>
    </row>
    <row r="365" spans="1:12" x14ac:dyDescent="0.25">
      <c r="A365" s="15"/>
      <c r="B365" s="61"/>
      <c r="C365" s="52"/>
      <c r="D365" s="16"/>
      <c r="E365" s="4">
        <v>0</v>
      </c>
      <c r="F365" s="4">
        <v>0</v>
      </c>
      <c r="G365" s="4">
        <v>0</v>
      </c>
      <c r="H365" s="61" t="s">
        <v>594</v>
      </c>
      <c r="I365" s="17" t="s">
        <v>265</v>
      </c>
      <c r="J365" s="65">
        <v>10</v>
      </c>
      <c r="K365" s="65">
        <v>10</v>
      </c>
      <c r="L365" s="65">
        <v>10</v>
      </c>
    </row>
    <row r="366" spans="1:12" x14ac:dyDescent="0.25">
      <c r="A366" s="15"/>
      <c r="B366" s="61"/>
      <c r="C366" s="52"/>
      <c r="D366" s="16"/>
      <c r="E366" s="4">
        <v>0</v>
      </c>
      <c r="F366" s="4">
        <v>0</v>
      </c>
      <c r="G366" s="4">
        <v>0</v>
      </c>
      <c r="H366" s="61" t="s">
        <v>595</v>
      </c>
      <c r="I366" s="17" t="s">
        <v>265</v>
      </c>
      <c r="J366" s="65">
        <v>100</v>
      </c>
      <c r="K366" s="65">
        <v>100</v>
      </c>
      <c r="L366" s="65">
        <v>100</v>
      </c>
    </row>
    <row r="367" spans="1:12" x14ac:dyDescent="0.25">
      <c r="A367" s="15"/>
      <c r="B367" s="61"/>
      <c r="C367" s="52"/>
      <c r="D367" s="16"/>
      <c r="E367" s="4">
        <v>0</v>
      </c>
      <c r="F367" s="4">
        <v>0</v>
      </c>
      <c r="G367" s="4">
        <v>0</v>
      </c>
      <c r="H367" s="61" t="s">
        <v>596</v>
      </c>
      <c r="I367" s="17" t="s">
        <v>265</v>
      </c>
      <c r="J367" s="65">
        <v>25</v>
      </c>
      <c r="K367" s="65">
        <v>25</v>
      </c>
      <c r="L367" s="65">
        <v>25</v>
      </c>
    </row>
    <row r="368" spans="1:12" ht="15.75" thickBot="1" x14ac:dyDescent="0.3">
      <c r="A368" s="15"/>
      <c r="B368" s="61"/>
      <c r="C368" s="52"/>
      <c r="D368" s="16"/>
      <c r="E368" s="4">
        <v>0</v>
      </c>
      <c r="F368" s="4">
        <v>0</v>
      </c>
      <c r="G368" s="4">
        <v>0</v>
      </c>
      <c r="H368" s="61" t="s">
        <v>597</v>
      </c>
      <c r="I368" s="17" t="s">
        <v>265</v>
      </c>
      <c r="J368" s="65">
        <v>1090</v>
      </c>
      <c r="K368" s="65">
        <v>1090</v>
      </c>
      <c r="L368" s="65">
        <v>1090</v>
      </c>
    </row>
    <row r="369" spans="1:12" ht="51.75" thickBot="1" x14ac:dyDescent="0.3">
      <c r="A369" s="19" t="s">
        <v>598</v>
      </c>
      <c r="B369" s="60" t="s">
        <v>599</v>
      </c>
      <c r="C369" s="51" t="s">
        <v>583</v>
      </c>
      <c r="D369" s="20" t="s">
        <v>27</v>
      </c>
      <c r="E369" s="24">
        <v>77.3</v>
      </c>
      <c r="F369" s="24">
        <v>177.3</v>
      </c>
      <c r="G369" s="24">
        <v>177.3</v>
      </c>
      <c r="H369" s="60" t="s">
        <v>600</v>
      </c>
      <c r="I369" s="22" t="s">
        <v>22</v>
      </c>
      <c r="J369" s="23">
        <v>32</v>
      </c>
      <c r="K369" s="23">
        <v>32</v>
      </c>
      <c r="L369" s="23">
        <v>32</v>
      </c>
    </row>
    <row r="370" spans="1:12" ht="25.5" x14ac:dyDescent="0.25">
      <c r="A370" s="19" t="s">
        <v>601</v>
      </c>
      <c r="B370" s="60" t="s">
        <v>602</v>
      </c>
      <c r="C370" s="51" t="s">
        <v>583</v>
      </c>
      <c r="D370" s="20" t="s">
        <v>27</v>
      </c>
      <c r="E370" s="21">
        <f>SUM(E371:E372)+110</f>
        <v>110</v>
      </c>
      <c r="F370" s="21">
        <f>SUM(F371:F372)+60</f>
        <v>60</v>
      </c>
      <c r="G370" s="21">
        <f>SUM(G371:G372)+60</f>
        <v>60</v>
      </c>
      <c r="H370" s="60" t="s">
        <v>603</v>
      </c>
      <c r="I370" s="22" t="s">
        <v>265</v>
      </c>
      <c r="J370" s="23">
        <v>24</v>
      </c>
      <c r="K370" s="23">
        <v>24</v>
      </c>
      <c r="L370" s="23">
        <v>24</v>
      </c>
    </row>
    <row r="371" spans="1:12" ht="25.5" x14ac:dyDescent="0.25">
      <c r="A371" s="15"/>
      <c r="B371" s="61"/>
      <c r="C371" s="52"/>
      <c r="D371" s="16"/>
      <c r="E371" s="4">
        <v>0</v>
      </c>
      <c r="F371" s="4">
        <v>0</v>
      </c>
      <c r="G371" s="4">
        <v>0</v>
      </c>
      <c r="H371" s="61" t="s">
        <v>604</v>
      </c>
      <c r="I371" s="17" t="s">
        <v>265</v>
      </c>
      <c r="J371" s="18">
        <v>44</v>
      </c>
      <c r="K371" s="18">
        <v>45</v>
      </c>
      <c r="L371" s="18">
        <v>48</v>
      </c>
    </row>
    <row r="372" spans="1:12" ht="26.25" thickBot="1" x14ac:dyDescent="0.3">
      <c r="A372" s="15"/>
      <c r="B372" s="61"/>
      <c r="C372" s="52"/>
      <c r="D372" s="16"/>
      <c r="E372" s="4">
        <v>0</v>
      </c>
      <c r="F372" s="4">
        <v>0</v>
      </c>
      <c r="G372" s="4">
        <v>0</v>
      </c>
      <c r="H372" s="61" t="s">
        <v>605</v>
      </c>
      <c r="I372" s="17" t="s">
        <v>22</v>
      </c>
      <c r="J372" s="18">
        <v>1</v>
      </c>
      <c r="K372" s="18">
        <v>1</v>
      </c>
      <c r="L372" s="18">
        <v>1</v>
      </c>
    </row>
    <row r="373" spans="1:12" ht="38.25" x14ac:dyDescent="0.25">
      <c r="A373" s="19" t="s">
        <v>606</v>
      </c>
      <c r="B373" s="60" t="s">
        <v>607</v>
      </c>
      <c r="C373" s="51" t="s">
        <v>139</v>
      </c>
      <c r="D373" s="20"/>
      <c r="E373" s="21">
        <f>SUM(E374:E376)</f>
        <v>114.1</v>
      </c>
      <c r="F373" s="21">
        <f>SUM(F374:F376)</f>
        <v>0</v>
      </c>
      <c r="G373" s="21">
        <f>SUM(G374:G376)</f>
        <v>0</v>
      </c>
      <c r="H373" s="60" t="s">
        <v>608</v>
      </c>
      <c r="I373" s="22" t="s">
        <v>265</v>
      </c>
      <c r="J373" s="23">
        <v>63</v>
      </c>
      <c r="K373" s="23"/>
      <c r="L373" s="23"/>
    </row>
    <row r="374" spans="1:12" x14ac:dyDescent="0.25">
      <c r="A374" s="15"/>
      <c r="B374" s="61"/>
      <c r="C374" s="52"/>
      <c r="D374" s="16" t="s">
        <v>36</v>
      </c>
      <c r="E374" s="4">
        <v>31.1</v>
      </c>
      <c r="F374" s="4">
        <v>0</v>
      </c>
      <c r="G374" s="4">
        <v>0</v>
      </c>
      <c r="H374" s="61"/>
      <c r="I374" s="17"/>
      <c r="J374" s="18"/>
      <c r="K374" s="18"/>
      <c r="L374" s="18"/>
    </row>
    <row r="375" spans="1:12" x14ac:dyDescent="0.25">
      <c r="A375" s="15"/>
      <c r="B375" s="61"/>
      <c r="C375" s="52"/>
      <c r="D375" s="16" t="s">
        <v>27</v>
      </c>
      <c r="E375" s="4">
        <v>13</v>
      </c>
      <c r="F375" s="4">
        <v>0</v>
      </c>
      <c r="G375" s="4">
        <v>0</v>
      </c>
      <c r="H375" s="61"/>
      <c r="I375" s="17"/>
      <c r="J375" s="18"/>
      <c r="K375" s="18"/>
      <c r="L375" s="18"/>
    </row>
    <row r="376" spans="1:12" ht="15.75" thickBot="1" x14ac:dyDescent="0.3">
      <c r="A376" s="15"/>
      <c r="B376" s="61"/>
      <c r="C376" s="52"/>
      <c r="D376" s="16" t="s">
        <v>169</v>
      </c>
      <c r="E376" s="4">
        <v>70</v>
      </c>
      <c r="F376" s="4">
        <v>0</v>
      </c>
      <c r="G376" s="4">
        <v>0</v>
      </c>
      <c r="H376" s="61"/>
      <c r="I376" s="17"/>
      <c r="J376" s="18"/>
      <c r="K376" s="18"/>
      <c r="L376" s="18"/>
    </row>
    <row r="377" spans="1:12" ht="63.75" x14ac:dyDescent="0.25">
      <c r="A377" s="19" t="s">
        <v>609</v>
      </c>
      <c r="B377" s="60" t="s">
        <v>610</v>
      </c>
      <c r="C377" s="51" t="s">
        <v>583</v>
      </c>
      <c r="D377" s="20" t="s">
        <v>27</v>
      </c>
      <c r="E377" s="21">
        <f>SUM(E378:E386)+390</f>
        <v>390</v>
      </c>
      <c r="F377" s="21">
        <f>SUM(F378:F386)+410</f>
        <v>410</v>
      </c>
      <c r="G377" s="21">
        <f>SUM(G378:G386)+410</f>
        <v>410</v>
      </c>
      <c r="H377" s="60" t="s">
        <v>611</v>
      </c>
      <c r="I377" s="22" t="s">
        <v>265</v>
      </c>
      <c r="J377" s="23">
        <v>120</v>
      </c>
      <c r="K377" s="23">
        <v>120</v>
      </c>
      <c r="L377" s="23">
        <v>120</v>
      </c>
    </row>
    <row r="378" spans="1:12" x14ac:dyDescent="0.25">
      <c r="A378" s="15"/>
      <c r="B378" s="61"/>
      <c r="C378" s="52"/>
      <c r="D378" s="16"/>
      <c r="E378" s="4">
        <v>0</v>
      </c>
      <c r="F378" s="4">
        <v>0</v>
      </c>
      <c r="G378" s="4">
        <v>0</v>
      </c>
      <c r="H378" s="61" t="s">
        <v>612</v>
      </c>
      <c r="I378" s="17" t="s">
        <v>265</v>
      </c>
      <c r="J378" s="18">
        <v>4</v>
      </c>
      <c r="K378" s="18">
        <v>4</v>
      </c>
      <c r="L378" s="18">
        <v>4</v>
      </c>
    </row>
    <row r="379" spans="1:12" ht="38.25" x14ac:dyDescent="0.25">
      <c r="A379" s="15"/>
      <c r="B379" s="61"/>
      <c r="C379" s="52"/>
      <c r="D379" s="16"/>
      <c r="E379" s="4">
        <v>0</v>
      </c>
      <c r="F379" s="4">
        <v>0</v>
      </c>
      <c r="G379" s="4">
        <v>0</v>
      </c>
      <c r="H379" s="61" t="s">
        <v>613</v>
      </c>
      <c r="I379" s="17" t="s">
        <v>265</v>
      </c>
      <c r="J379" s="18">
        <v>6</v>
      </c>
      <c r="K379" s="18">
        <v>6</v>
      </c>
      <c r="L379" s="18">
        <v>6</v>
      </c>
    </row>
    <row r="380" spans="1:12" ht="38.25" x14ac:dyDescent="0.25">
      <c r="A380" s="15"/>
      <c r="B380" s="61"/>
      <c r="C380" s="52"/>
      <c r="D380" s="16"/>
      <c r="E380" s="4">
        <v>0</v>
      </c>
      <c r="F380" s="4">
        <v>0</v>
      </c>
      <c r="G380" s="4">
        <v>0</v>
      </c>
      <c r="H380" s="61" t="s">
        <v>614</v>
      </c>
      <c r="I380" s="17" t="s">
        <v>265</v>
      </c>
      <c r="J380" s="18">
        <v>1</v>
      </c>
      <c r="K380" s="18">
        <v>1</v>
      </c>
      <c r="L380" s="18">
        <v>1</v>
      </c>
    </row>
    <row r="381" spans="1:12" ht="25.5" x14ac:dyDescent="0.25">
      <c r="A381" s="15"/>
      <c r="B381" s="61"/>
      <c r="C381" s="52"/>
      <c r="D381" s="16"/>
      <c r="E381" s="4">
        <v>0</v>
      </c>
      <c r="F381" s="4">
        <v>0</v>
      </c>
      <c r="G381" s="4">
        <v>0</v>
      </c>
      <c r="H381" s="61" t="s">
        <v>615</v>
      </c>
      <c r="I381" s="17" t="s">
        <v>265</v>
      </c>
      <c r="J381" s="18">
        <v>10</v>
      </c>
      <c r="K381" s="18">
        <v>10</v>
      </c>
      <c r="L381" s="18">
        <v>10</v>
      </c>
    </row>
    <row r="382" spans="1:12" x14ac:dyDescent="0.25">
      <c r="A382" s="15"/>
      <c r="B382" s="61"/>
      <c r="C382" s="52"/>
      <c r="D382" s="16"/>
      <c r="E382" s="4">
        <v>0</v>
      </c>
      <c r="F382" s="4">
        <v>0</v>
      </c>
      <c r="G382" s="4">
        <v>0</v>
      </c>
      <c r="H382" s="61" t="s">
        <v>616</v>
      </c>
      <c r="I382" s="17" t="s">
        <v>265</v>
      </c>
      <c r="J382" s="18">
        <v>50</v>
      </c>
      <c r="K382" s="18">
        <v>50</v>
      </c>
      <c r="L382" s="18">
        <v>50</v>
      </c>
    </row>
    <row r="383" spans="1:12" x14ac:dyDescent="0.25">
      <c r="A383" s="15"/>
      <c r="B383" s="61"/>
      <c r="C383" s="52"/>
      <c r="D383" s="16"/>
      <c r="E383" s="4">
        <v>0</v>
      </c>
      <c r="F383" s="4">
        <v>0</v>
      </c>
      <c r="G383" s="4">
        <v>0</v>
      </c>
      <c r="H383" s="61" t="s">
        <v>617</v>
      </c>
      <c r="I383" s="17" t="s">
        <v>265</v>
      </c>
      <c r="J383" s="18">
        <v>2</v>
      </c>
      <c r="K383" s="18">
        <v>2</v>
      </c>
      <c r="L383" s="18">
        <v>2</v>
      </c>
    </row>
    <row r="384" spans="1:12" ht="25.5" x14ac:dyDescent="0.25">
      <c r="A384" s="15"/>
      <c r="B384" s="61"/>
      <c r="C384" s="52"/>
      <c r="D384" s="16"/>
      <c r="E384" s="4">
        <v>0</v>
      </c>
      <c r="F384" s="4">
        <v>0</v>
      </c>
      <c r="G384" s="4">
        <v>0</v>
      </c>
      <c r="H384" s="61" t="s">
        <v>618</v>
      </c>
      <c r="I384" s="17" t="s">
        <v>22</v>
      </c>
      <c r="J384" s="18">
        <v>1</v>
      </c>
      <c r="K384" s="18">
        <v>1</v>
      </c>
      <c r="L384" s="18">
        <v>1</v>
      </c>
    </row>
    <row r="385" spans="1:12" ht="25.5" x14ac:dyDescent="0.25">
      <c r="A385" s="15"/>
      <c r="B385" s="61"/>
      <c r="C385" s="52"/>
      <c r="D385" s="16"/>
      <c r="E385" s="4">
        <v>0</v>
      </c>
      <c r="F385" s="4">
        <v>0</v>
      </c>
      <c r="G385" s="4">
        <v>0</v>
      </c>
      <c r="H385" s="61" t="s">
        <v>619</v>
      </c>
      <c r="I385" s="17" t="s">
        <v>22</v>
      </c>
      <c r="J385" s="18">
        <v>1</v>
      </c>
      <c r="K385" s="18">
        <v>1</v>
      </c>
      <c r="L385" s="18">
        <v>1</v>
      </c>
    </row>
    <row r="386" spans="1:12" ht="15.75" thickBot="1" x14ac:dyDescent="0.3">
      <c r="A386" s="15"/>
      <c r="B386" s="61"/>
      <c r="C386" s="52"/>
      <c r="D386" s="16"/>
      <c r="E386" s="4">
        <v>0</v>
      </c>
      <c r="F386" s="4">
        <v>0</v>
      </c>
      <c r="G386" s="4">
        <v>0</v>
      </c>
      <c r="H386" s="61" t="s">
        <v>620</v>
      </c>
      <c r="I386" s="17" t="s">
        <v>265</v>
      </c>
      <c r="J386" s="18">
        <v>1</v>
      </c>
      <c r="K386" s="18">
        <v>1</v>
      </c>
      <c r="L386" s="18">
        <v>1</v>
      </c>
    </row>
    <row r="387" spans="1:12" ht="26.25" thickBot="1" x14ac:dyDescent="0.3">
      <c r="A387" s="19" t="s">
        <v>621</v>
      </c>
      <c r="B387" s="60" t="s">
        <v>622</v>
      </c>
      <c r="C387" s="51" t="s">
        <v>583</v>
      </c>
      <c r="D387" s="20" t="s">
        <v>27</v>
      </c>
      <c r="E387" s="24">
        <v>20</v>
      </c>
      <c r="F387" s="24">
        <v>30</v>
      </c>
      <c r="G387" s="24">
        <v>30</v>
      </c>
      <c r="H387" s="60" t="s">
        <v>623</v>
      </c>
      <c r="I387" s="22" t="s">
        <v>265</v>
      </c>
      <c r="J387" s="66">
        <v>1200</v>
      </c>
      <c r="K387" s="66">
        <v>1200</v>
      </c>
      <c r="L387" s="66">
        <v>1200</v>
      </c>
    </row>
    <row r="388" spans="1:12" ht="26.25" thickBot="1" x14ac:dyDescent="0.3">
      <c r="A388" s="19" t="s">
        <v>624</v>
      </c>
      <c r="B388" s="60" t="s">
        <v>625</v>
      </c>
      <c r="C388" s="51" t="s">
        <v>583</v>
      </c>
      <c r="D388" s="20" t="s">
        <v>27</v>
      </c>
      <c r="E388" s="24">
        <v>98.8</v>
      </c>
      <c r="F388" s="24">
        <v>0</v>
      </c>
      <c r="G388" s="24">
        <v>0</v>
      </c>
      <c r="H388" s="60" t="s">
        <v>626</v>
      </c>
      <c r="I388" s="22" t="s">
        <v>265</v>
      </c>
      <c r="J388" s="23">
        <v>5</v>
      </c>
      <c r="K388" s="23">
        <v>5</v>
      </c>
      <c r="L388" s="23">
        <v>5</v>
      </c>
    </row>
    <row r="389" spans="1:12" ht="26.25" thickBot="1" x14ac:dyDescent="0.3">
      <c r="A389" s="25" t="s">
        <v>627</v>
      </c>
      <c r="B389" s="59" t="s">
        <v>628</v>
      </c>
      <c r="C389" s="50"/>
      <c r="D389" s="26"/>
      <c r="E389" s="27">
        <f>E390+E400+E402+E403+E406+E409+E418+E420+E421+E430+E431+E432+E433+E434</f>
        <v>82248.200000000012</v>
      </c>
      <c r="F389" s="27">
        <f>F390+F400+F402+F403+F406+F409+F418+F420+F421+F430+F431+F432+F433+F434</f>
        <v>80202.3</v>
      </c>
      <c r="G389" s="27">
        <f>G390+G400+G402+G403+G406+G409+G418+G420+G421+G430+G431+G432+G433+G434</f>
        <v>80804.200000000012</v>
      </c>
      <c r="H389" s="59"/>
      <c r="I389" s="28"/>
      <c r="J389" s="29"/>
      <c r="K389" s="29"/>
      <c r="L389" s="29"/>
    </row>
    <row r="390" spans="1:12" ht="25.5" x14ac:dyDescent="0.25">
      <c r="A390" s="19" t="s">
        <v>629</v>
      </c>
      <c r="B390" s="60" t="s">
        <v>630</v>
      </c>
      <c r="C390" s="51" t="s">
        <v>583</v>
      </c>
      <c r="D390" s="20"/>
      <c r="E390" s="21">
        <f>SUM(E391:E399)</f>
        <v>50786</v>
      </c>
      <c r="F390" s="21">
        <f>SUM(F391:F399)</f>
        <v>49856.5</v>
      </c>
      <c r="G390" s="21">
        <f>SUM(G391:G399)</f>
        <v>50134.700000000004</v>
      </c>
      <c r="H390" s="60" t="s">
        <v>631</v>
      </c>
      <c r="I390" s="22" t="s">
        <v>265</v>
      </c>
      <c r="J390" s="23">
        <v>32</v>
      </c>
      <c r="K390" s="23">
        <v>32</v>
      </c>
      <c r="L390" s="23">
        <v>32</v>
      </c>
    </row>
    <row r="391" spans="1:12" x14ac:dyDescent="0.25">
      <c r="A391" s="15"/>
      <c r="B391" s="61"/>
      <c r="C391" s="52"/>
      <c r="D391" s="16" t="s">
        <v>36</v>
      </c>
      <c r="E391" s="4">
        <v>124.6</v>
      </c>
      <c r="F391" s="4">
        <v>0</v>
      </c>
      <c r="G391" s="4">
        <v>0</v>
      </c>
      <c r="H391" s="61" t="s">
        <v>632</v>
      </c>
      <c r="I391" s="17" t="s">
        <v>265</v>
      </c>
      <c r="J391" s="65">
        <v>13500</v>
      </c>
      <c r="K391" s="65">
        <v>13500</v>
      </c>
      <c r="L391" s="65">
        <v>13500</v>
      </c>
    </row>
    <row r="392" spans="1:12" x14ac:dyDescent="0.25">
      <c r="A392" s="15"/>
      <c r="B392" s="61"/>
      <c r="C392" s="52"/>
      <c r="D392" s="16" t="s">
        <v>132</v>
      </c>
      <c r="E392" s="4">
        <v>791</v>
      </c>
      <c r="F392" s="4">
        <v>482.6</v>
      </c>
      <c r="G392" s="4">
        <v>422.1</v>
      </c>
      <c r="H392" s="61" t="s">
        <v>633</v>
      </c>
      <c r="I392" s="17" t="s">
        <v>22</v>
      </c>
      <c r="J392" s="65">
        <v>1</v>
      </c>
      <c r="K392" s="65">
        <v>1</v>
      </c>
      <c r="L392" s="65">
        <v>1</v>
      </c>
    </row>
    <row r="393" spans="1:12" ht="25.5" x14ac:dyDescent="0.25">
      <c r="A393" s="15"/>
      <c r="B393" s="61"/>
      <c r="C393" s="52"/>
      <c r="D393" s="16" t="s">
        <v>130</v>
      </c>
      <c r="E393" s="4">
        <v>508.7</v>
      </c>
      <c r="F393" s="4">
        <v>515.1</v>
      </c>
      <c r="G393" s="4">
        <v>513.70000000000005</v>
      </c>
      <c r="H393" s="61" t="s">
        <v>634</v>
      </c>
      <c r="I393" s="17" t="s">
        <v>265</v>
      </c>
      <c r="J393" s="65">
        <v>5000</v>
      </c>
      <c r="K393" s="65">
        <v>5500</v>
      </c>
      <c r="L393" s="65">
        <v>5000</v>
      </c>
    </row>
    <row r="394" spans="1:12" ht="38.25" x14ac:dyDescent="0.25">
      <c r="A394" s="15"/>
      <c r="B394" s="61"/>
      <c r="C394" s="52"/>
      <c r="D394" s="16" t="s">
        <v>128</v>
      </c>
      <c r="E394" s="4">
        <v>778</v>
      </c>
      <c r="F394" s="4">
        <v>0</v>
      </c>
      <c r="G394" s="4">
        <v>0</v>
      </c>
      <c r="H394" s="61" t="s">
        <v>635</v>
      </c>
      <c r="I394" s="17" t="s">
        <v>265</v>
      </c>
      <c r="J394" s="18">
        <v>280</v>
      </c>
      <c r="K394" s="18">
        <v>300</v>
      </c>
      <c r="L394" s="18">
        <v>300</v>
      </c>
    </row>
    <row r="395" spans="1:12" x14ac:dyDescent="0.25">
      <c r="A395" s="15"/>
      <c r="B395" s="61"/>
      <c r="C395" s="52"/>
      <c r="D395" s="16" t="s">
        <v>123</v>
      </c>
      <c r="E395" s="4">
        <v>1209.3</v>
      </c>
      <c r="F395" s="4">
        <v>1221.5</v>
      </c>
      <c r="G395" s="4">
        <v>1229.3</v>
      </c>
      <c r="H395" s="61" t="s">
        <v>636</v>
      </c>
      <c r="I395" s="17" t="s">
        <v>22</v>
      </c>
      <c r="J395" s="18">
        <v>1</v>
      </c>
      <c r="K395" s="18">
        <v>1</v>
      </c>
      <c r="L395" s="18">
        <v>1</v>
      </c>
    </row>
    <row r="396" spans="1:12" x14ac:dyDescent="0.25">
      <c r="A396" s="15"/>
      <c r="B396" s="61"/>
      <c r="C396" s="52"/>
      <c r="D396" s="16" t="s">
        <v>637</v>
      </c>
      <c r="E396" s="4">
        <v>32536.400000000001</v>
      </c>
      <c r="F396" s="4">
        <v>32536.400000000001</v>
      </c>
      <c r="G396" s="4">
        <v>32536.400000000001</v>
      </c>
      <c r="H396" s="61" t="s">
        <v>638</v>
      </c>
      <c r="I396" s="17" t="s">
        <v>265</v>
      </c>
      <c r="J396" s="18">
        <v>27</v>
      </c>
      <c r="K396" s="18">
        <v>27</v>
      </c>
      <c r="L396" s="18">
        <v>27</v>
      </c>
    </row>
    <row r="397" spans="1:12" x14ac:dyDescent="0.25">
      <c r="A397" s="15"/>
      <c r="B397" s="61"/>
      <c r="C397" s="52"/>
      <c r="D397" s="16" t="s">
        <v>27</v>
      </c>
      <c r="E397" s="4">
        <v>9555.6</v>
      </c>
      <c r="F397" s="4">
        <v>9723.5</v>
      </c>
      <c r="G397" s="4">
        <v>9937.4</v>
      </c>
      <c r="H397" s="61" t="s">
        <v>639</v>
      </c>
      <c r="I397" s="17" t="s">
        <v>228</v>
      </c>
      <c r="J397" s="18">
        <v>12.4</v>
      </c>
      <c r="K397" s="18">
        <v>12.4</v>
      </c>
      <c r="L397" s="18">
        <v>12.4</v>
      </c>
    </row>
    <row r="398" spans="1:12" ht="38.25" x14ac:dyDescent="0.25">
      <c r="A398" s="15"/>
      <c r="B398" s="61"/>
      <c r="C398" s="52"/>
      <c r="D398" s="16" t="s">
        <v>126</v>
      </c>
      <c r="E398" s="4">
        <v>5282.4</v>
      </c>
      <c r="F398" s="4">
        <v>5377.4</v>
      </c>
      <c r="G398" s="4">
        <v>5495.8</v>
      </c>
      <c r="H398" s="61" t="s">
        <v>640</v>
      </c>
      <c r="I398" s="17" t="s">
        <v>265</v>
      </c>
      <c r="J398" s="63">
        <v>13172</v>
      </c>
      <c r="K398" s="63">
        <v>13172</v>
      </c>
      <c r="L398" s="63">
        <v>13172</v>
      </c>
    </row>
    <row r="399" spans="1:12" ht="26.25" thickBot="1" x14ac:dyDescent="0.3">
      <c r="A399" s="15"/>
      <c r="B399" s="61"/>
      <c r="C399" s="52"/>
      <c r="D399" s="16"/>
      <c r="E399" s="4">
        <v>0</v>
      </c>
      <c r="F399" s="4">
        <v>0</v>
      </c>
      <c r="G399" s="4">
        <v>0</v>
      </c>
      <c r="H399" s="61" t="s">
        <v>641</v>
      </c>
      <c r="I399" s="17" t="s">
        <v>18</v>
      </c>
      <c r="J399" s="18">
        <v>10</v>
      </c>
      <c r="K399" s="18">
        <v>10</v>
      </c>
      <c r="L399" s="18">
        <v>10</v>
      </c>
    </row>
    <row r="400" spans="1:12" ht="25.5" x14ac:dyDescent="0.25">
      <c r="A400" s="19" t="s">
        <v>642</v>
      </c>
      <c r="B400" s="60" t="s">
        <v>643</v>
      </c>
      <c r="C400" s="51" t="s">
        <v>583</v>
      </c>
      <c r="D400" s="20" t="s">
        <v>637</v>
      </c>
      <c r="E400" s="21">
        <f>SUM(E401:E401)+587.9</f>
        <v>587.9</v>
      </c>
      <c r="F400" s="21">
        <f>SUM(F401:F401)+790</f>
        <v>790</v>
      </c>
      <c r="G400" s="21">
        <f>SUM(G401:G401)+790</f>
        <v>790</v>
      </c>
      <c r="H400" s="60" t="s">
        <v>644</v>
      </c>
      <c r="I400" s="22" t="s">
        <v>265</v>
      </c>
      <c r="J400" s="23">
        <v>60</v>
      </c>
      <c r="K400" s="23">
        <v>60</v>
      </c>
      <c r="L400" s="23">
        <v>60</v>
      </c>
    </row>
    <row r="401" spans="1:12" ht="26.25" thickBot="1" x14ac:dyDescent="0.3">
      <c r="A401" s="15"/>
      <c r="B401" s="61"/>
      <c r="C401" s="52"/>
      <c r="D401" s="16"/>
      <c r="E401" s="4">
        <v>0</v>
      </c>
      <c r="F401" s="4">
        <v>0</v>
      </c>
      <c r="G401" s="4">
        <v>0</v>
      </c>
      <c r="H401" s="61" t="s">
        <v>645</v>
      </c>
      <c r="I401" s="17" t="s">
        <v>265</v>
      </c>
      <c r="J401" s="18">
        <v>32</v>
      </c>
      <c r="K401" s="18">
        <v>32</v>
      </c>
      <c r="L401" s="18">
        <v>32</v>
      </c>
    </row>
    <row r="402" spans="1:12" ht="26.25" thickBot="1" x14ac:dyDescent="0.3">
      <c r="A402" s="19" t="s">
        <v>646</v>
      </c>
      <c r="B402" s="60" t="s">
        <v>647</v>
      </c>
      <c r="C402" s="51" t="s">
        <v>583</v>
      </c>
      <c r="D402" s="20" t="s">
        <v>27</v>
      </c>
      <c r="E402" s="24">
        <v>80</v>
      </c>
      <c r="F402" s="24">
        <v>80</v>
      </c>
      <c r="G402" s="24">
        <v>80</v>
      </c>
      <c r="H402" s="60" t="s">
        <v>648</v>
      </c>
      <c r="I402" s="22" t="s">
        <v>265</v>
      </c>
      <c r="J402" s="23">
        <v>800</v>
      </c>
      <c r="K402" s="23">
        <v>700</v>
      </c>
      <c r="L402" s="23">
        <v>700</v>
      </c>
    </row>
    <row r="403" spans="1:12" ht="63.75" x14ac:dyDescent="0.25">
      <c r="A403" s="19" t="s">
        <v>649</v>
      </c>
      <c r="B403" s="60" t="s">
        <v>650</v>
      </c>
      <c r="C403" s="51" t="s">
        <v>583</v>
      </c>
      <c r="D403" s="20"/>
      <c r="E403" s="21">
        <f>SUM(E404:E405)</f>
        <v>763.5</v>
      </c>
      <c r="F403" s="21">
        <f>SUM(F404:F405)</f>
        <v>760.3</v>
      </c>
      <c r="G403" s="21">
        <f>SUM(G404:G405)</f>
        <v>760.3</v>
      </c>
      <c r="H403" s="60" t="s">
        <v>651</v>
      </c>
      <c r="I403" s="22" t="s">
        <v>265</v>
      </c>
      <c r="J403" s="23">
        <v>2</v>
      </c>
      <c r="K403" s="23">
        <v>2</v>
      </c>
      <c r="L403" s="23">
        <v>2</v>
      </c>
    </row>
    <row r="404" spans="1:12" ht="25.5" x14ac:dyDescent="0.25">
      <c r="A404" s="15"/>
      <c r="B404" s="61"/>
      <c r="C404" s="52"/>
      <c r="D404" s="16" t="s">
        <v>27</v>
      </c>
      <c r="E404" s="4">
        <v>56</v>
      </c>
      <c r="F404" s="4">
        <v>56</v>
      </c>
      <c r="G404" s="4">
        <v>56</v>
      </c>
      <c r="H404" s="61" t="s">
        <v>652</v>
      </c>
      <c r="I404" s="17" t="s">
        <v>265</v>
      </c>
      <c r="J404" s="18">
        <v>1</v>
      </c>
      <c r="K404" s="18">
        <v>1</v>
      </c>
      <c r="L404" s="18">
        <v>1</v>
      </c>
    </row>
    <row r="405" spans="1:12" ht="15.75" thickBot="1" x14ac:dyDescent="0.3">
      <c r="A405" s="15"/>
      <c r="B405" s="61"/>
      <c r="C405" s="52"/>
      <c r="D405" s="16" t="s">
        <v>637</v>
      </c>
      <c r="E405" s="4">
        <v>707.5</v>
      </c>
      <c r="F405" s="4">
        <v>704.3</v>
      </c>
      <c r="G405" s="4">
        <v>704.3</v>
      </c>
      <c r="H405" s="61"/>
      <c r="I405" s="17"/>
      <c r="J405" s="18"/>
      <c r="K405" s="18"/>
      <c r="L405" s="18"/>
    </row>
    <row r="406" spans="1:12" ht="25.5" x14ac:dyDescent="0.25">
      <c r="A406" s="19" t="s">
        <v>653</v>
      </c>
      <c r="B406" s="60" t="s">
        <v>654</v>
      </c>
      <c r="C406" s="51" t="s">
        <v>583</v>
      </c>
      <c r="D406" s="20"/>
      <c r="E406" s="21">
        <f>SUM(E407:E408)</f>
        <v>332</v>
      </c>
      <c r="F406" s="21">
        <f>SUM(F407:F408)</f>
        <v>0</v>
      </c>
      <c r="G406" s="21">
        <f>SUM(G407:G408)</f>
        <v>0</v>
      </c>
      <c r="H406" s="60" t="s">
        <v>655</v>
      </c>
      <c r="I406" s="22" t="s">
        <v>265</v>
      </c>
      <c r="J406" s="23">
        <v>6</v>
      </c>
      <c r="K406" s="23"/>
      <c r="L406" s="23"/>
    </row>
    <row r="407" spans="1:12" x14ac:dyDescent="0.25">
      <c r="A407" s="15"/>
      <c r="B407" s="61"/>
      <c r="C407" s="52"/>
      <c r="D407" s="16" t="s">
        <v>27</v>
      </c>
      <c r="E407" s="4">
        <v>49.8</v>
      </c>
      <c r="F407" s="4">
        <v>0</v>
      </c>
      <c r="G407" s="4">
        <v>0</v>
      </c>
      <c r="H407" s="61"/>
      <c r="I407" s="17"/>
      <c r="J407" s="18"/>
      <c r="K407" s="18"/>
      <c r="L407" s="18"/>
    </row>
    <row r="408" spans="1:12" ht="15.75" thickBot="1" x14ac:dyDescent="0.3">
      <c r="A408" s="15"/>
      <c r="B408" s="61"/>
      <c r="C408" s="52"/>
      <c r="D408" s="16" t="s">
        <v>169</v>
      </c>
      <c r="E408" s="4">
        <v>282.2</v>
      </c>
      <c r="F408" s="4">
        <v>0</v>
      </c>
      <c r="G408" s="4">
        <v>0</v>
      </c>
      <c r="H408" s="61"/>
      <c r="I408" s="17"/>
      <c r="J408" s="18"/>
      <c r="K408" s="18"/>
      <c r="L408" s="18"/>
    </row>
    <row r="409" spans="1:12" ht="25.5" x14ac:dyDescent="0.25">
      <c r="A409" s="19" t="s">
        <v>656</v>
      </c>
      <c r="B409" s="60" t="s">
        <v>657</v>
      </c>
      <c r="C409" s="51" t="s">
        <v>658</v>
      </c>
      <c r="D409" s="20"/>
      <c r="E409" s="21">
        <f>SUM(E410:E417)</f>
        <v>5093.5000000000009</v>
      </c>
      <c r="F409" s="21">
        <f>SUM(F410:F417)</f>
        <v>4669.2</v>
      </c>
      <c r="G409" s="21">
        <f>SUM(G410:G417)</f>
        <v>4765.0999999999995</v>
      </c>
      <c r="H409" s="60" t="s">
        <v>659</v>
      </c>
      <c r="I409" s="22" t="s">
        <v>265</v>
      </c>
      <c r="J409" s="23">
        <v>10</v>
      </c>
      <c r="K409" s="23">
        <v>10</v>
      </c>
      <c r="L409" s="23">
        <v>10</v>
      </c>
    </row>
    <row r="410" spans="1:12" ht="25.5" x14ac:dyDescent="0.25">
      <c r="A410" s="15"/>
      <c r="B410" s="61"/>
      <c r="C410" s="52"/>
      <c r="D410" s="16" t="s">
        <v>36</v>
      </c>
      <c r="E410" s="4">
        <v>61.5</v>
      </c>
      <c r="F410" s="4">
        <v>0</v>
      </c>
      <c r="G410" s="4">
        <v>0</v>
      </c>
      <c r="H410" s="61" t="s">
        <v>660</v>
      </c>
      <c r="I410" s="17" t="s">
        <v>265</v>
      </c>
      <c r="J410" s="65">
        <v>4450</v>
      </c>
      <c r="K410" s="65">
        <v>4450</v>
      </c>
      <c r="L410" s="65">
        <v>4450</v>
      </c>
    </row>
    <row r="411" spans="1:12" x14ac:dyDescent="0.25">
      <c r="A411" s="15"/>
      <c r="B411" s="61"/>
      <c r="C411" s="52"/>
      <c r="D411" s="16" t="s">
        <v>130</v>
      </c>
      <c r="E411" s="4">
        <v>70</v>
      </c>
      <c r="F411" s="4">
        <v>72.2</v>
      </c>
      <c r="G411" s="4">
        <v>73.3</v>
      </c>
      <c r="H411" s="61" t="s">
        <v>661</v>
      </c>
      <c r="I411" s="17" t="s">
        <v>265</v>
      </c>
      <c r="J411" s="65">
        <v>44</v>
      </c>
      <c r="K411" s="65">
        <v>45</v>
      </c>
      <c r="L411" s="65">
        <v>48</v>
      </c>
    </row>
    <row r="412" spans="1:12" ht="38.25" x14ac:dyDescent="0.25">
      <c r="A412" s="15"/>
      <c r="B412" s="61"/>
      <c r="C412" s="52"/>
      <c r="D412" s="16" t="s">
        <v>128</v>
      </c>
      <c r="E412" s="4">
        <v>22.7</v>
      </c>
      <c r="F412" s="4">
        <v>22.7</v>
      </c>
      <c r="G412" s="4">
        <v>22.7</v>
      </c>
      <c r="H412" s="61" t="s">
        <v>662</v>
      </c>
      <c r="I412" s="17" t="s">
        <v>265</v>
      </c>
      <c r="J412" s="65">
        <v>2000</v>
      </c>
      <c r="K412" s="65">
        <v>2000</v>
      </c>
      <c r="L412" s="65">
        <v>2000</v>
      </c>
    </row>
    <row r="413" spans="1:12" x14ac:dyDescent="0.25">
      <c r="A413" s="15"/>
      <c r="B413" s="61"/>
      <c r="C413" s="52"/>
      <c r="D413" s="16" t="s">
        <v>123</v>
      </c>
      <c r="E413" s="4">
        <v>334.9</v>
      </c>
      <c r="F413" s="4">
        <v>333.8</v>
      </c>
      <c r="G413" s="4">
        <v>338.9</v>
      </c>
      <c r="H413" s="61" t="s">
        <v>663</v>
      </c>
      <c r="I413" s="17" t="s">
        <v>265</v>
      </c>
      <c r="J413" s="18">
        <v>64</v>
      </c>
      <c r="K413" s="18">
        <v>65</v>
      </c>
      <c r="L413" s="18">
        <v>65</v>
      </c>
    </row>
    <row r="414" spans="1:12" x14ac:dyDescent="0.25">
      <c r="A414" s="15"/>
      <c r="B414" s="61"/>
      <c r="C414" s="52"/>
      <c r="D414" s="16" t="s">
        <v>132</v>
      </c>
      <c r="E414" s="4">
        <v>104.8</v>
      </c>
      <c r="F414" s="4">
        <v>31</v>
      </c>
      <c r="G414" s="4">
        <v>31</v>
      </c>
      <c r="H414" s="61" t="s">
        <v>664</v>
      </c>
      <c r="I414" s="17" t="s">
        <v>265</v>
      </c>
      <c r="J414" s="18">
        <v>131</v>
      </c>
      <c r="K414" s="18">
        <v>130</v>
      </c>
      <c r="L414" s="18">
        <v>130</v>
      </c>
    </row>
    <row r="415" spans="1:12" ht="25.5" x14ac:dyDescent="0.25">
      <c r="A415" s="15"/>
      <c r="B415" s="61"/>
      <c r="C415" s="52"/>
      <c r="D415" s="16" t="s">
        <v>27</v>
      </c>
      <c r="E415" s="4">
        <v>3851.9</v>
      </c>
      <c r="F415" s="4">
        <v>3912</v>
      </c>
      <c r="G415" s="4">
        <v>3998</v>
      </c>
      <c r="H415" s="61" t="s">
        <v>665</v>
      </c>
      <c r="I415" s="17" t="s">
        <v>265</v>
      </c>
      <c r="J415" s="18">
        <v>100</v>
      </c>
      <c r="K415" s="18">
        <v>100</v>
      </c>
      <c r="L415" s="18">
        <v>100</v>
      </c>
    </row>
    <row r="416" spans="1:12" x14ac:dyDescent="0.25">
      <c r="A416" s="15"/>
      <c r="B416" s="61"/>
      <c r="C416" s="52"/>
      <c r="D416" s="16" t="s">
        <v>637</v>
      </c>
      <c r="E416" s="4">
        <v>294.60000000000002</v>
      </c>
      <c r="F416" s="4">
        <v>297.5</v>
      </c>
      <c r="G416" s="4">
        <v>301.2</v>
      </c>
      <c r="H416" s="61"/>
      <c r="I416" s="17"/>
      <c r="J416" s="18"/>
      <c r="K416" s="18"/>
      <c r="L416" s="18"/>
    </row>
    <row r="417" spans="1:12" ht="15.75" thickBot="1" x14ac:dyDescent="0.3">
      <c r="A417" s="15"/>
      <c r="B417" s="61"/>
      <c r="C417" s="52"/>
      <c r="D417" s="16" t="s">
        <v>126</v>
      </c>
      <c r="E417" s="4">
        <v>353.1</v>
      </c>
      <c r="F417" s="4"/>
      <c r="G417" s="4"/>
      <c r="H417" s="61"/>
      <c r="I417" s="17"/>
      <c r="J417" s="18"/>
      <c r="K417" s="18"/>
      <c r="L417" s="18"/>
    </row>
    <row r="418" spans="1:12" ht="38.25" x14ac:dyDescent="0.25">
      <c r="A418" s="19" t="s">
        <v>666</v>
      </c>
      <c r="B418" s="60" t="s">
        <v>667</v>
      </c>
      <c r="C418" s="51" t="s">
        <v>583</v>
      </c>
      <c r="D418" s="20"/>
      <c r="E418" s="21">
        <f>SUM(E419:E419)</f>
        <v>716.4</v>
      </c>
      <c r="F418" s="21">
        <f>SUM(F419:F419)</f>
        <v>716.4</v>
      </c>
      <c r="G418" s="21">
        <f>SUM(G419:G419)</f>
        <v>716.4</v>
      </c>
      <c r="H418" s="60" t="s">
        <v>662</v>
      </c>
      <c r="I418" s="22" t="s">
        <v>265</v>
      </c>
      <c r="J418" s="66">
        <v>2000</v>
      </c>
      <c r="K418" s="66">
        <v>2000</v>
      </c>
      <c r="L418" s="66">
        <v>2000</v>
      </c>
    </row>
    <row r="419" spans="1:12" ht="15.75" thickBot="1" x14ac:dyDescent="0.3">
      <c r="A419" s="15"/>
      <c r="B419" s="61"/>
      <c r="C419" s="52"/>
      <c r="D419" s="16" t="s">
        <v>126</v>
      </c>
      <c r="E419" s="4">
        <v>716.4</v>
      </c>
      <c r="F419" s="4">
        <v>716.4</v>
      </c>
      <c r="G419" s="4">
        <v>716.4</v>
      </c>
      <c r="H419" s="61"/>
      <c r="I419" s="17"/>
      <c r="J419" s="18"/>
      <c r="K419" s="18"/>
      <c r="L419" s="18"/>
    </row>
    <row r="420" spans="1:12" ht="26.25" thickBot="1" x14ac:dyDescent="0.3">
      <c r="A420" s="19" t="s">
        <v>668</v>
      </c>
      <c r="B420" s="60" t="s">
        <v>669</v>
      </c>
      <c r="C420" s="51" t="s">
        <v>583</v>
      </c>
      <c r="D420" s="20" t="s">
        <v>27</v>
      </c>
      <c r="E420" s="24">
        <v>28.3</v>
      </c>
      <c r="F420" s="24">
        <v>28.3</v>
      </c>
      <c r="G420" s="24">
        <v>28.3</v>
      </c>
      <c r="H420" s="60" t="s">
        <v>665</v>
      </c>
      <c r="I420" s="22" t="s">
        <v>265</v>
      </c>
      <c r="J420" s="23">
        <v>100</v>
      </c>
      <c r="K420" s="23">
        <v>100</v>
      </c>
      <c r="L420" s="23">
        <v>100</v>
      </c>
    </row>
    <row r="421" spans="1:12" ht="25.5" x14ac:dyDescent="0.25">
      <c r="A421" s="19" t="s">
        <v>670</v>
      </c>
      <c r="B421" s="60" t="s">
        <v>671</v>
      </c>
      <c r="C421" s="51" t="s">
        <v>583</v>
      </c>
      <c r="D421" s="20"/>
      <c r="E421" s="21">
        <f>SUM(E422:E429)</f>
        <v>22452.1</v>
      </c>
      <c r="F421" s="21">
        <f>SUM(F422:F429)</f>
        <v>21877.100000000002</v>
      </c>
      <c r="G421" s="21">
        <f>SUM(G422:G429)</f>
        <v>22094.899999999998</v>
      </c>
      <c r="H421" s="60" t="s">
        <v>672</v>
      </c>
      <c r="I421" s="22" t="s">
        <v>265</v>
      </c>
      <c r="J421" s="23">
        <v>28</v>
      </c>
      <c r="K421" s="23">
        <v>28</v>
      </c>
      <c r="L421" s="23">
        <v>28</v>
      </c>
    </row>
    <row r="422" spans="1:12" x14ac:dyDescent="0.25">
      <c r="A422" s="15"/>
      <c r="B422" s="61"/>
      <c r="C422" s="52"/>
      <c r="D422" s="16" t="s">
        <v>36</v>
      </c>
      <c r="E422" s="4">
        <v>67.599999999999994</v>
      </c>
      <c r="F422" s="4">
        <v>0</v>
      </c>
      <c r="G422" s="4">
        <v>0</v>
      </c>
      <c r="H422" s="61" t="s">
        <v>673</v>
      </c>
      <c r="I422" s="17" t="s">
        <v>265</v>
      </c>
      <c r="J422" s="63">
        <v>4300</v>
      </c>
      <c r="K422" s="63">
        <v>4300</v>
      </c>
      <c r="L422" s="63">
        <v>4300</v>
      </c>
    </row>
    <row r="423" spans="1:12" x14ac:dyDescent="0.25">
      <c r="A423" s="15"/>
      <c r="B423" s="61"/>
      <c r="C423" s="52"/>
      <c r="D423" s="16" t="s">
        <v>130</v>
      </c>
      <c r="E423" s="4">
        <v>61.6</v>
      </c>
      <c r="F423" s="4">
        <v>49.8</v>
      </c>
      <c r="G423" s="4">
        <v>50.9</v>
      </c>
      <c r="H423" s="61"/>
      <c r="I423" s="17"/>
      <c r="J423" s="18"/>
      <c r="K423" s="18"/>
      <c r="L423" s="18"/>
    </row>
    <row r="424" spans="1:12" x14ac:dyDescent="0.25">
      <c r="A424" s="15"/>
      <c r="B424" s="61"/>
      <c r="C424" s="52"/>
      <c r="D424" s="16" t="s">
        <v>637</v>
      </c>
      <c r="E424" s="4">
        <v>9660.2000000000007</v>
      </c>
      <c r="F424" s="4">
        <v>9660.2000000000007</v>
      </c>
      <c r="G424" s="4">
        <v>9660.2999999999993</v>
      </c>
      <c r="H424" s="61"/>
      <c r="I424" s="17"/>
      <c r="J424" s="18"/>
      <c r="K424" s="18"/>
      <c r="L424" s="18"/>
    </row>
    <row r="425" spans="1:12" x14ac:dyDescent="0.25">
      <c r="A425" s="15"/>
      <c r="B425" s="61"/>
      <c r="C425" s="52"/>
      <c r="D425" s="16" t="s">
        <v>128</v>
      </c>
      <c r="E425" s="4">
        <v>55.9</v>
      </c>
      <c r="F425" s="4">
        <v>55.9</v>
      </c>
      <c r="G425" s="4">
        <v>55.9</v>
      </c>
      <c r="H425" s="61"/>
      <c r="I425" s="17"/>
      <c r="J425" s="18"/>
      <c r="K425" s="18"/>
      <c r="L425" s="18"/>
    </row>
    <row r="426" spans="1:12" x14ac:dyDescent="0.25">
      <c r="A426" s="15"/>
      <c r="B426" s="61"/>
      <c r="C426" s="52"/>
      <c r="D426" s="16" t="s">
        <v>132</v>
      </c>
      <c r="E426" s="4">
        <v>123.9</v>
      </c>
      <c r="F426" s="4">
        <v>10.7</v>
      </c>
      <c r="G426" s="4">
        <v>7.1</v>
      </c>
      <c r="H426" s="61"/>
      <c r="I426" s="17"/>
      <c r="J426" s="18"/>
      <c r="K426" s="18"/>
      <c r="L426" s="18"/>
    </row>
    <row r="427" spans="1:12" x14ac:dyDescent="0.25">
      <c r="A427" s="15"/>
      <c r="B427" s="61"/>
      <c r="C427" s="52"/>
      <c r="D427" s="16" t="s">
        <v>27</v>
      </c>
      <c r="E427" s="4">
        <v>9846.5</v>
      </c>
      <c r="F427" s="4">
        <v>9902.7999999999993</v>
      </c>
      <c r="G427" s="4">
        <v>10120.9</v>
      </c>
      <c r="H427" s="61"/>
      <c r="I427" s="17"/>
      <c r="J427" s="18"/>
      <c r="K427" s="18"/>
      <c r="L427" s="18"/>
    </row>
    <row r="428" spans="1:12" x14ac:dyDescent="0.25">
      <c r="A428" s="15"/>
      <c r="B428" s="61"/>
      <c r="C428" s="52"/>
      <c r="D428" s="16" t="s">
        <v>123</v>
      </c>
      <c r="E428" s="4">
        <v>2183.3000000000002</v>
      </c>
      <c r="F428" s="4">
        <v>2197.6999999999998</v>
      </c>
      <c r="G428" s="4">
        <v>2199.8000000000002</v>
      </c>
      <c r="H428" s="61"/>
      <c r="I428" s="17"/>
      <c r="J428" s="18"/>
      <c r="K428" s="18"/>
      <c r="L428" s="18"/>
    </row>
    <row r="429" spans="1:12" ht="15.75" thickBot="1" x14ac:dyDescent="0.3">
      <c r="A429" s="15"/>
      <c r="B429" s="61"/>
      <c r="C429" s="52"/>
      <c r="D429" s="16" t="s">
        <v>126</v>
      </c>
      <c r="E429" s="4">
        <v>453.1</v>
      </c>
      <c r="F429" s="4"/>
      <c r="G429" s="4"/>
      <c r="H429" s="61"/>
      <c r="I429" s="17"/>
      <c r="J429" s="18"/>
      <c r="K429" s="18"/>
      <c r="L429" s="18"/>
    </row>
    <row r="430" spans="1:12" ht="26.25" thickBot="1" x14ac:dyDescent="0.3">
      <c r="A430" s="19" t="s">
        <v>674</v>
      </c>
      <c r="B430" s="60" t="s">
        <v>675</v>
      </c>
      <c r="C430" s="51" t="s">
        <v>583</v>
      </c>
      <c r="D430" s="20" t="s">
        <v>27</v>
      </c>
      <c r="E430" s="24">
        <v>224</v>
      </c>
      <c r="F430" s="24">
        <v>240</v>
      </c>
      <c r="G430" s="24">
        <v>240</v>
      </c>
      <c r="H430" s="60" t="s">
        <v>676</v>
      </c>
      <c r="I430" s="22" t="s">
        <v>265</v>
      </c>
      <c r="J430" s="23">
        <v>730</v>
      </c>
      <c r="K430" s="23">
        <v>730</v>
      </c>
      <c r="L430" s="23">
        <v>730</v>
      </c>
    </row>
    <row r="431" spans="1:12" ht="39" thickBot="1" x14ac:dyDescent="0.3">
      <c r="A431" s="19" t="s">
        <v>677</v>
      </c>
      <c r="B431" s="60" t="s">
        <v>678</v>
      </c>
      <c r="C431" s="51" t="s">
        <v>583</v>
      </c>
      <c r="D431" s="20" t="s">
        <v>27</v>
      </c>
      <c r="E431" s="24">
        <v>246</v>
      </c>
      <c r="F431" s="24">
        <v>246</v>
      </c>
      <c r="G431" s="24">
        <v>246</v>
      </c>
      <c r="H431" s="60" t="s">
        <v>679</v>
      </c>
      <c r="I431" s="22" t="s">
        <v>265</v>
      </c>
      <c r="J431" s="23">
        <v>310</v>
      </c>
      <c r="K431" s="23">
        <v>310</v>
      </c>
      <c r="L431" s="23">
        <v>310</v>
      </c>
    </row>
    <row r="432" spans="1:12" ht="39" thickBot="1" x14ac:dyDescent="0.3">
      <c r="A432" s="19" t="s">
        <v>680</v>
      </c>
      <c r="B432" s="60" t="s">
        <v>681</v>
      </c>
      <c r="C432" s="51" t="s">
        <v>583</v>
      </c>
      <c r="D432" s="20" t="s">
        <v>637</v>
      </c>
      <c r="E432" s="24">
        <v>538.5</v>
      </c>
      <c r="F432" s="24">
        <v>538.5</v>
      </c>
      <c r="G432" s="24">
        <v>538.5</v>
      </c>
      <c r="H432" s="60" t="s">
        <v>682</v>
      </c>
      <c r="I432" s="22" t="s">
        <v>265</v>
      </c>
      <c r="J432" s="23">
        <v>5</v>
      </c>
      <c r="K432" s="23">
        <v>5</v>
      </c>
      <c r="L432" s="23">
        <v>5</v>
      </c>
    </row>
    <row r="433" spans="1:12" ht="26.25" thickBot="1" x14ac:dyDescent="0.3">
      <c r="A433" s="19" t="s">
        <v>683</v>
      </c>
      <c r="B433" s="60" t="s">
        <v>684</v>
      </c>
      <c r="C433" s="51" t="s">
        <v>583</v>
      </c>
      <c r="D433" s="20" t="s">
        <v>27</v>
      </c>
      <c r="E433" s="24">
        <v>100</v>
      </c>
      <c r="F433" s="24">
        <v>100</v>
      </c>
      <c r="G433" s="24">
        <v>110</v>
      </c>
      <c r="H433" s="60" t="s">
        <v>685</v>
      </c>
      <c r="I433" s="22" t="s">
        <v>265</v>
      </c>
      <c r="J433" s="66">
        <v>1500</v>
      </c>
      <c r="K433" s="66">
        <v>1500</v>
      </c>
      <c r="L433" s="66">
        <v>1500</v>
      </c>
    </row>
    <row r="434" spans="1:12" ht="26.25" thickBot="1" x14ac:dyDescent="0.3">
      <c r="A434" s="19" t="s">
        <v>686</v>
      </c>
      <c r="B434" s="60" t="s">
        <v>687</v>
      </c>
      <c r="C434" s="51" t="s">
        <v>583</v>
      </c>
      <c r="D434" s="20" t="s">
        <v>27</v>
      </c>
      <c r="E434" s="24">
        <v>300</v>
      </c>
      <c r="F434" s="24">
        <v>300</v>
      </c>
      <c r="G434" s="24">
        <v>300</v>
      </c>
      <c r="H434" s="60" t="s">
        <v>688</v>
      </c>
      <c r="I434" s="22" t="s">
        <v>18</v>
      </c>
      <c r="J434" s="23">
        <v>100</v>
      </c>
      <c r="K434" s="23">
        <v>100</v>
      </c>
      <c r="L434" s="23">
        <v>100</v>
      </c>
    </row>
    <row r="435" spans="1:12" ht="15.75" thickBot="1" x14ac:dyDescent="0.3">
      <c r="A435" s="30" t="s">
        <v>689</v>
      </c>
      <c r="B435" s="58" t="s">
        <v>690</v>
      </c>
      <c r="C435" s="49"/>
      <c r="D435" s="31"/>
      <c r="E435" s="32">
        <f>SUM(E436:E436)</f>
        <v>6931.8</v>
      </c>
      <c r="F435" s="32">
        <f>SUM(F436:F436)</f>
        <v>9351.7999999999993</v>
      </c>
      <c r="G435" s="32">
        <f>SUM(G436:G436)</f>
        <v>4208.8</v>
      </c>
      <c r="H435" s="58" t="s">
        <v>691</v>
      </c>
      <c r="I435" s="33" t="s">
        <v>265</v>
      </c>
      <c r="J435" s="34">
        <v>2</v>
      </c>
      <c r="K435" s="34">
        <v>2</v>
      </c>
      <c r="L435" s="34">
        <v>2</v>
      </c>
    </row>
    <row r="436" spans="1:12" ht="26.25" thickBot="1" x14ac:dyDescent="0.3">
      <c r="A436" s="25" t="s">
        <v>692</v>
      </c>
      <c r="B436" s="59" t="s">
        <v>693</v>
      </c>
      <c r="C436" s="50"/>
      <c r="D436" s="26"/>
      <c r="E436" s="27">
        <f>E437+E438+E439+E442+E443+E447+E448+E450+E455+E458+E461+E465+E468+E472+E476+E477</f>
        <v>6931.8</v>
      </c>
      <c r="F436" s="27">
        <f>F437+F438+F439+F442+F443+F447+F448+F450+F455+F458+F461+F465+F468+F472+F476+F477</f>
        <v>9351.7999999999993</v>
      </c>
      <c r="G436" s="27">
        <f>G437+G438+G439+G442+G443+G447+G448+G450+G455+G458+G461+G465+G468+G472+G476+G477</f>
        <v>4208.8</v>
      </c>
      <c r="H436" s="59"/>
      <c r="I436" s="28"/>
      <c r="J436" s="29"/>
      <c r="K436" s="29"/>
      <c r="L436" s="29"/>
    </row>
    <row r="437" spans="1:12" ht="64.5" thickBot="1" x14ac:dyDescent="0.3">
      <c r="A437" s="19" t="s">
        <v>694</v>
      </c>
      <c r="B437" s="60" t="s">
        <v>695</v>
      </c>
      <c r="C437" s="51" t="s">
        <v>696</v>
      </c>
      <c r="D437" s="20" t="s">
        <v>27</v>
      </c>
      <c r="E437" s="24">
        <v>0</v>
      </c>
      <c r="F437" s="24">
        <v>493</v>
      </c>
      <c r="G437" s="24">
        <v>0</v>
      </c>
      <c r="H437" s="60" t="s">
        <v>697</v>
      </c>
      <c r="I437" s="22" t="s">
        <v>18</v>
      </c>
      <c r="J437" s="23"/>
      <c r="K437" s="23">
        <v>100</v>
      </c>
      <c r="L437" s="23"/>
    </row>
    <row r="438" spans="1:12" ht="51.75" thickBot="1" x14ac:dyDescent="0.3">
      <c r="A438" s="19" t="s">
        <v>698</v>
      </c>
      <c r="B438" s="60" t="s">
        <v>699</v>
      </c>
      <c r="C438" s="51" t="s">
        <v>700</v>
      </c>
      <c r="D438" s="20" t="s">
        <v>27</v>
      </c>
      <c r="E438" s="24">
        <v>0</v>
      </c>
      <c r="F438" s="24">
        <v>500</v>
      </c>
      <c r="G438" s="24">
        <v>737.3</v>
      </c>
      <c r="H438" s="60" t="s">
        <v>701</v>
      </c>
      <c r="I438" s="22" t="s">
        <v>18</v>
      </c>
      <c r="J438" s="23"/>
      <c r="K438" s="23">
        <v>45</v>
      </c>
      <c r="L438" s="23">
        <v>100</v>
      </c>
    </row>
    <row r="439" spans="1:12" ht="51" x14ac:dyDescent="0.25">
      <c r="A439" s="19" t="s">
        <v>702</v>
      </c>
      <c r="B439" s="60" t="s">
        <v>703</v>
      </c>
      <c r="C439" s="51" t="s">
        <v>700</v>
      </c>
      <c r="D439" s="20" t="s">
        <v>27</v>
      </c>
      <c r="E439" s="21">
        <f>SUM(E440:E441)+805</f>
        <v>805</v>
      </c>
      <c r="F439" s="21">
        <f>SUM(F440:F441)+644.2</f>
        <v>644.20000000000005</v>
      </c>
      <c r="G439" s="21">
        <f>SUM(G440:G441)+644.2</f>
        <v>644.20000000000005</v>
      </c>
      <c r="H439" s="60" t="s">
        <v>704</v>
      </c>
      <c r="I439" s="22" t="s">
        <v>18</v>
      </c>
      <c r="J439" s="23">
        <v>50</v>
      </c>
      <c r="K439" s="23">
        <v>100</v>
      </c>
      <c r="L439" s="23"/>
    </row>
    <row r="440" spans="1:12" ht="25.5" x14ac:dyDescent="0.25">
      <c r="A440" s="15"/>
      <c r="B440" s="61"/>
      <c r="C440" s="52"/>
      <c r="D440" s="16"/>
      <c r="E440" s="4">
        <v>0</v>
      </c>
      <c r="F440" s="4">
        <v>0</v>
      </c>
      <c r="G440" s="4">
        <v>0</v>
      </c>
      <c r="H440" s="61" t="s">
        <v>705</v>
      </c>
      <c r="I440" s="17" t="s">
        <v>18</v>
      </c>
      <c r="J440" s="18">
        <v>100</v>
      </c>
      <c r="K440" s="18"/>
      <c r="L440" s="18"/>
    </row>
    <row r="441" spans="1:12" ht="26.25" thickBot="1" x14ac:dyDescent="0.3">
      <c r="A441" s="15"/>
      <c r="B441" s="61"/>
      <c r="C441" s="52"/>
      <c r="D441" s="16"/>
      <c r="E441" s="4">
        <v>0</v>
      </c>
      <c r="F441" s="4">
        <v>0</v>
      </c>
      <c r="G441" s="4">
        <v>0</v>
      </c>
      <c r="H441" s="61" t="s">
        <v>706</v>
      </c>
      <c r="I441" s="17" t="s">
        <v>18</v>
      </c>
      <c r="J441" s="18">
        <v>20</v>
      </c>
      <c r="K441" s="18">
        <v>40</v>
      </c>
      <c r="L441" s="18">
        <v>100</v>
      </c>
    </row>
    <row r="442" spans="1:12" ht="51.75" thickBot="1" x14ac:dyDescent="0.3">
      <c r="A442" s="19" t="s">
        <v>707</v>
      </c>
      <c r="B442" s="60" t="s">
        <v>708</v>
      </c>
      <c r="C442" s="51" t="s">
        <v>700</v>
      </c>
      <c r="D442" s="20" t="s">
        <v>27</v>
      </c>
      <c r="E442" s="24">
        <v>0</v>
      </c>
      <c r="F442" s="24">
        <v>0</v>
      </c>
      <c r="G442" s="24">
        <v>0</v>
      </c>
      <c r="H442" s="60"/>
      <c r="I442" s="22"/>
      <c r="J442" s="23"/>
      <c r="K442" s="23"/>
      <c r="L442" s="23"/>
    </row>
    <row r="443" spans="1:12" ht="63.75" x14ac:dyDescent="0.25">
      <c r="A443" s="19" t="s">
        <v>709</v>
      </c>
      <c r="B443" s="60" t="s">
        <v>710</v>
      </c>
      <c r="C443" s="51" t="s">
        <v>696</v>
      </c>
      <c r="D443" s="20"/>
      <c r="E443" s="21">
        <f>SUM(E444:E446)</f>
        <v>1289.4000000000001</v>
      </c>
      <c r="F443" s="21">
        <f>SUM(F444:F446)</f>
        <v>450.6</v>
      </c>
      <c r="G443" s="21">
        <f>SUM(G444:G446)</f>
        <v>0</v>
      </c>
      <c r="H443" s="60" t="s">
        <v>711</v>
      </c>
      <c r="I443" s="22" t="s">
        <v>18</v>
      </c>
      <c r="J443" s="23">
        <v>89</v>
      </c>
      <c r="K443" s="23">
        <v>100</v>
      </c>
      <c r="L443" s="23"/>
    </row>
    <row r="444" spans="1:12" x14ac:dyDescent="0.25">
      <c r="A444" s="15"/>
      <c r="B444" s="61"/>
      <c r="C444" s="52"/>
      <c r="D444" s="16" t="s">
        <v>712</v>
      </c>
      <c r="E444" s="4">
        <v>500</v>
      </c>
      <c r="F444" s="4">
        <v>415</v>
      </c>
      <c r="G444" s="4">
        <v>0</v>
      </c>
      <c r="H444" s="61"/>
      <c r="I444" s="17"/>
      <c r="J444" s="18"/>
      <c r="K444" s="18"/>
      <c r="L444" s="18"/>
    </row>
    <row r="445" spans="1:12" x14ac:dyDescent="0.25">
      <c r="A445" s="15"/>
      <c r="B445" s="61"/>
      <c r="C445" s="52"/>
      <c r="D445" s="16" t="s">
        <v>27</v>
      </c>
      <c r="E445" s="4">
        <v>39.4</v>
      </c>
      <c r="F445" s="4">
        <v>35.6</v>
      </c>
      <c r="G445" s="4">
        <v>0</v>
      </c>
      <c r="H445" s="61"/>
      <c r="I445" s="17"/>
      <c r="J445" s="18"/>
      <c r="K445" s="18"/>
      <c r="L445" s="18"/>
    </row>
    <row r="446" spans="1:12" ht="15.75" thickBot="1" x14ac:dyDescent="0.3">
      <c r="A446" s="15"/>
      <c r="B446" s="61"/>
      <c r="C446" s="52"/>
      <c r="D446" s="16" t="s">
        <v>147</v>
      </c>
      <c r="E446" s="4">
        <v>750</v>
      </c>
      <c r="F446" s="4">
        <v>0</v>
      </c>
      <c r="G446" s="4">
        <v>0</v>
      </c>
      <c r="H446" s="61"/>
      <c r="I446" s="17"/>
      <c r="J446" s="18"/>
      <c r="K446" s="18"/>
      <c r="L446" s="18"/>
    </row>
    <row r="447" spans="1:12" ht="39" thickBot="1" x14ac:dyDescent="0.3">
      <c r="A447" s="19" t="s">
        <v>713</v>
      </c>
      <c r="B447" s="60" t="s">
        <v>714</v>
      </c>
      <c r="C447" s="51" t="s">
        <v>715</v>
      </c>
      <c r="D447" s="20" t="s">
        <v>27</v>
      </c>
      <c r="E447" s="24">
        <v>233</v>
      </c>
      <c r="F447" s="24">
        <v>218</v>
      </c>
      <c r="G447" s="24">
        <v>218</v>
      </c>
      <c r="H447" s="60" t="s">
        <v>716</v>
      </c>
      <c r="I447" s="22" t="s">
        <v>265</v>
      </c>
      <c r="J447" s="23">
        <v>2</v>
      </c>
      <c r="K447" s="23">
        <v>1</v>
      </c>
      <c r="L447" s="23">
        <v>1</v>
      </c>
    </row>
    <row r="448" spans="1:12" ht="38.25" x14ac:dyDescent="0.25">
      <c r="A448" s="19" t="s">
        <v>717</v>
      </c>
      <c r="B448" s="60" t="s">
        <v>718</v>
      </c>
      <c r="C448" s="51" t="s">
        <v>583</v>
      </c>
      <c r="D448" s="20" t="s">
        <v>27</v>
      </c>
      <c r="E448" s="21">
        <f>SUM(E449:E449)+110</f>
        <v>110</v>
      </c>
      <c r="F448" s="21">
        <f>SUM(F449:F449)+297.3</f>
        <v>297.3</v>
      </c>
      <c r="G448" s="21">
        <f>SUM(G449:G449)+297.3</f>
        <v>297.3</v>
      </c>
      <c r="H448" s="60" t="s">
        <v>719</v>
      </c>
      <c r="I448" s="22" t="s">
        <v>265</v>
      </c>
      <c r="J448" s="23">
        <v>2</v>
      </c>
      <c r="K448" s="23">
        <v>1</v>
      </c>
      <c r="L448" s="23">
        <v>1</v>
      </c>
    </row>
    <row r="449" spans="1:12" ht="51.75" thickBot="1" x14ac:dyDescent="0.3">
      <c r="A449" s="15"/>
      <c r="B449" s="61"/>
      <c r="C449" s="52"/>
      <c r="D449" s="16"/>
      <c r="E449" s="4">
        <v>0</v>
      </c>
      <c r="F449" s="4">
        <v>0</v>
      </c>
      <c r="G449" s="4">
        <v>0</v>
      </c>
      <c r="H449" s="61" t="s">
        <v>720</v>
      </c>
      <c r="I449" s="17" t="s">
        <v>265</v>
      </c>
      <c r="J449" s="18">
        <v>5</v>
      </c>
      <c r="K449" s="18">
        <v>3</v>
      </c>
      <c r="L449" s="18">
        <v>3</v>
      </c>
    </row>
    <row r="450" spans="1:12" ht="51" x14ac:dyDescent="0.25">
      <c r="A450" s="19" t="s">
        <v>721</v>
      </c>
      <c r="B450" s="60" t="s">
        <v>722</v>
      </c>
      <c r="C450" s="51" t="s">
        <v>700</v>
      </c>
      <c r="D450" s="20"/>
      <c r="E450" s="21">
        <f>SUM(E451:E454)</f>
        <v>999.8</v>
      </c>
      <c r="F450" s="21">
        <f>SUM(F451:F454)</f>
        <v>1782</v>
      </c>
      <c r="G450" s="21">
        <f>SUM(G451:G454)</f>
        <v>1782</v>
      </c>
      <c r="H450" s="60" t="s">
        <v>723</v>
      </c>
      <c r="I450" s="22" t="s">
        <v>265</v>
      </c>
      <c r="J450" s="23">
        <v>2</v>
      </c>
      <c r="K450" s="23">
        <v>1</v>
      </c>
      <c r="L450" s="23">
        <v>1</v>
      </c>
    </row>
    <row r="451" spans="1:12" ht="38.25" x14ac:dyDescent="0.25">
      <c r="A451" s="15"/>
      <c r="B451" s="61"/>
      <c r="C451" s="52"/>
      <c r="D451" s="16" t="s">
        <v>27</v>
      </c>
      <c r="E451" s="4">
        <v>779.8</v>
      </c>
      <c r="F451" s="4">
        <v>1782</v>
      </c>
      <c r="G451" s="4">
        <v>1782</v>
      </c>
      <c r="H451" s="61" t="s">
        <v>724</v>
      </c>
      <c r="I451" s="17" t="s">
        <v>265</v>
      </c>
      <c r="J451" s="18">
        <v>1</v>
      </c>
      <c r="K451" s="18">
        <v>1</v>
      </c>
      <c r="L451" s="18"/>
    </row>
    <row r="452" spans="1:12" ht="25.5" x14ac:dyDescent="0.25">
      <c r="A452" s="15"/>
      <c r="B452" s="61"/>
      <c r="C452" s="52"/>
      <c r="D452" s="16" t="s">
        <v>36</v>
      </c>
      <c r="E452" s="4">
        <v>220</v>
      </c>
      <c r="F452" s="4">
        <v>0</v>
      </c>
      <c r="G452" s="4">
        <v>0</v>
      </c>
      <c r="H452" s="61" t="s">
        <v>725</v>
      </c>
      <c r="I452" s="17" t="s">
        <v>265</v>
      </c>
      <c r="J452" s="18">
        <v>2</v>
      </c>
      <c r="K452" s="18"/>
      <c r="L452" s="18"/>
    </row>
    <row r="453" spans="1:12" ht="25.5" x14ac:dyDescent="0.25">
      <c r="A453" s="15"/>
      <c r="B453" s="61"/>
      <c r="C453" s="52"/>
      <c r="D453" s="16"/>
      <c r="E453" s="4">
        <v>0</v>
      </c>
      <c r="F453" s="4">
        <v>0</v>
      </c>
      <c r="G453" s="4">
        <v>0</v>
      </c>
      <c r="H453" s="61" t="s">
        <v>726</v>
      </c>
      <c r="I453" s="17" t="s">
        <v>265</v>
      </c>
      <c r="J453" s="18">
        <v>2</v>
      </c>
      <c r="K453" s="18">
        <v>2</v>
      </c>
      <c r="L453" s="18">
        <v>2</v>
      </c>
    </row>
    <row r="454" spans="1:12" ht="39" thickBot="1" x14ac:dyDescent="0.3">
      <c r="A454" s="15"/>
      <c r="B454" s="61"/>
      <c r="C454" s="52"/>
      <c r="D454" s="16"/>
      <c r="E454" s="4">
        <v>0</v>
      </c>
      <c r="F454" s="4">
        <v>0</v>
      </c>
      <c r="G454" s="4">
        <v>0</v>
      </c>
      <c r="H454" s="61" t="s">
        <v>727</v>
      </c>
      <c r="I454" s="17" t="s">
        <v>265</v>
      </c>
      <c r="J454" s="18">
        <v>2</v>
      </c>
      <c r="K454" s="18">
        <v>2</v>
      </c>
      <c r="L454" s="18"/>
    </row>
    <row r="455" spans="1:12" ht="51" x14ac:dyDescent="0.25">
      <c r="A455" s="19" t="s">
        <v>728</v>
      </c>
      <c r="B455" s="60" t="s">
        <v>729</v>
      </c>
      <c r="C455" s="51" t="s">
        <v>700</v>
      </c>
      <c r="D455" s="20"/>
      <c r="E455" s="21">
        <f>SUM(E456:E457)</f>
        <v>470</v>
      </c>
      <c r="F455" s="21">
        <f>SUM(F456:F457)</f>
        <v>500</v>
      </c>
      <c r="G455" s="21">
        <f>SUM(G456:G457)</f>
        <v>0</v>
      </c>
      <c r="H455" s="60" t="s">
        <v>730</v>
      </c>
      <c r="I455" s="22" t="s">
        <v>18</v>
      </c>
      <c r="J455" s="23">
        <v>50</v>
      </c>
      <c r="K455" s="23">
        <v>50</v>
      </c>
      <c r="L455" s="23"/>
    </row>
    <row r="456" spans="1:12" x14ac:dyDescent="0.25">
      <c r="A456" s="15"/>
      <c r="B456" s="61"/>
      <c r="C456" s="52"/>
      <c r="D456" s="16" t="s">
        <v>27</v>
      </c>
      <c r="E456" s="4">
        <v>0</v>
      </c>
      <c r="F456" s="4">
        <v>500</v>
      </c>
      <c r="G456" s="4">
        <v>0</v>
      </c>
      <c r="H456" s="61"/>
      <c r="I456" s="17"/>
      <c r="J456" s="18"/>
      <c r="K456" s="18"/>
      <c r="L456" s="18"/>
    </row>
    <row r="457" spans="1:12" ht="15.75" thickBot="1" x14ac:dyDescent="0.3">
      <c r="A457" s="15"/>
      <c r="B457" s="61"/>
      <c r="C457" s="52"/>
      <c r="D457" s="16" t="s">
        <v>36</v>
      </c>
      <c r="E457" s="4">
        <v>470</v>
      </c>
      <c r="F457" s="4">
        <v>0</v>
      </c>
      <c r="G457" s="4">
        <v>0</v>
      </c>
      <c r="H457" s="61"/>
      <c r="I457" s="17"/>
      <c r="J457" s="18"/>
      <c r="K457" s="18"/>
      <c r="L457" s="18"/>
    </row>
    <row r="458" spans="1:12" ht="63.75" x14ac:dyDescent="0.25">
      <c r="A458" s="19" t="s">
        <v>731</v>
      </c>
      <c r="B458" s="60" t="s">
        <v>732</v>
      </c>
      <c r="C458" s="51" t="s">
        <v>696</v>
      </c>
      <c r="D458" s="20"/>
      <c r="E458" s="21">
        <f>SUM(E459:E460)</f>
        <v>22.5</v>
      </c>
      <c r="F458" s="21">
        <f>SUM(F459:F460)</f>
        <v>0</v>
      </c>
      <c r="G458" s="21">
        <f>SUM(G459:G460)</f>
        <v>0</v>
      </c>
      <c r="H458" s="60" t="s">
        <v>243</v>
      </c>
      <c r="I458" s="22" t="s">
        <v>22</v>
      </c>
      <c r="J458" s="23">
        <v>1</v>
      </c>
      <c r="K458" s="23"/>
      <c r="L458" s="23"/>
    </row>
    <row r="459" spans="1:12" x14ac:dyDescent="0.25">
      <c r="A459" s="15"/>
      <c r="B459" s="61"/>
      <c r="C459" s="52"/>
      <c r="D459" s="16" t="s">
        <v>169</v>
      </c>
      <c r="E459" s="4">
        <v>20.6</v>
      </c>
      <c r="F459" s="4">
        <v>0</v>
      </c>
      <c r="G459" s="4">
        <v>0</v>
      </c>
      <c r="H459" s="61"/>
      <c r="I459" s="17"/>
      <c r="J459" s="18"/>
      <c r="K459" s="18"/>
      <c r="L459" s="18"/>
    </row>
    <row r="460" spans="1:12" ht="15.75" thickBot="1" x14ac:dyDescent="0.3">
      <c r="A460" s="15"/>
      <c r="B460" s="61"/>
      <c r="C460" s="52"/>
      <c r="D460" s="16" t="s">
        <v>126</v>
      </c>
      <c r="E460" s="4">
        <v>1.9</v>
      </c>
      <c r="F460" s="4">
        <v>0</v>
      </c>
      <c r="G460" s="4">
        <v>0</v>
      </c>
      <c r="H460" s="61"/>
      <c r="I460" s="17"/>
      <c r="J460" s="18"/>
      <c r="K460" s="18"/>
      <c r="L460" s="18"/>
    </row>
    <row r="461" spans="1:12" ht="63.75" x14ac:dyDescent="0.25">
      <c r="A461" s="19" t="s">
        <v>733</v>
      </c>
      <c r="B461" s="60" t="s">
        <v>734</v>
      </c>
      <c r="C461" s="51" t="s">
        <v>696</v>
      </c>
      <c r="D461" s="20"/>
      <c r="E461" s="21">
        <f>SUM(E462:E464)</f>
        <v>93.5</v>
      </c>
      <c r="F461" s="21">
        <f>SUM(F462:F464)</f>
        <v>0</v>
      </c>
      <c r="G461" s="21">
        <f>SUM(G462:G464)</f>
        <v>0</v>
      </c>
      <c r="H461" s="60" t="s">
        <v>735</v>
      </c>
      <c r="I461" s="22" t="s">
        <v>22</v>
      </c>
      <c r="J461" s="23">
        <v>1</v>
      </c>
      <c r="K461" s="23"/>
      <c r="L461" s="23"/>
    </row>
    <row r="462" spans="1:12" x14ac:dyDescent="0.25">
      <c r="A462" s="15"/>
      <c r="B462" s="61"/>
      <c r="C462" s="52"/>
      <c r="D462" s="16" t="s">
        <v>36</v>
      </c>
      <c r="E462" s="4">
        <v>20.6</v>
      </c>
      <c r="F462" s="4">
        <v>0</v>
      </c>
      <c r="G462" s="4">
        <v>0</v>
      </c>
      <c r="H462" s="61"/>
      <c r="I462" s="17"/>
      <c r="J462" s="18"/>
      <c r="K462" s="18"/>
      <c r="L462" s="18"/>
    </row>
    <row r="463" spans="1:12" x14ac:dyDescent="0.25">
      <c r="A463" s="15"/>
      <c r="B463" s="61"/>
      <c r="C463" s="52"/>
      <c r="D463" s="16" t="s">
        <v>126</v>
      </c>
      <c r="E463" s="4">
        <v>6</v>
      </c>
      <c r="F463" s="4">
        <v>0</v>
      </c>
      <c r="G463" s="4">
        <v>0</v>
      </c>
      <c r="H463" s="61"/>
      <c r="I463" s="17"/>
      <c r="J463" s="18"/>
      <c r="K463" s="18"/>
      <c r="L463" s="18"/>
    </row>
    <row r="464" spans="1:12" ht="15.75" thickBot="1" x14ac:dyDescent="0.3">
      <c r="A464" s="15"/>
      <c r="B464" s="61"/>
      <c r="C464" s="52"/>
      <c r="D464" s="16" t="s">
        <v>169</v>
      </c>
      <c r="E464" s="4">
        <v>66.900000000000006</v>
      </c>
      <c r="F464" s="4">
        <v>0</v>
      </c>
      <c r="G464" s="4">
        <v>0</v>
      </c>
      <c r="H464" s="61"/>
      <c r="I464" s="17"/>
      <c r="J464" s="18"/>
      <c r="K464" s="18"/>
      <c r="L464" s="18"/>
    </row>
    <row r="465" spans="1:12" ht="63.75" x14ac:dyDescent="0.25">
      <c r="A465" s="19" t="s">
        <v>736</v>
      </c>
      <c r="B465" s="60" t="s">
        <v>737</v>
      </c>
      <c r="C465" s="51" t="s">
        <v>696</v>
      </c>
      <c r="D465" s="20"/>
      <c r="E465" s="21">
        <f>SUM(E466:E467)</f>
        <v>20.3</v>
      </c>
      <c r="F465" s="21">
        <f>SUM(F466:F467)</f>
        <v>0</v>
      </c>
      <c r="G465" s="21">
        <f>SUM(G466:G467)</f>
        <v>0</v>
      </c>
      <c r="H465" s="60" t="s">
        <v>738</v>
      </c>
      <c r="I465" s="22" t="s">
        <v>22</v>
      </c>
      <c r="J465" s="23">
        <v>2</v>
      </c>
      <c r="K465" s="23"/>
      <c r="L465" s="23"/>
    </row>
    <row r="466" spans="1:12" x14ac:dyDescent="0.25">
      <c r="A466" s="15"/>
      <c r="B466" s="61"/>
      <c r="C466" s="52"/>
      <c r="D466" s="16" t="s">
        <v>36</v>
      </c>
      <c r="E466" s="4">
        <v>3</v>
      </c>
      <c r="F466" s="4">
        <v>0</v>
      </c>
      <c r="G466" s="4">
        <v>0</v>
      </c>
      <c r="H466" s="61"/>
      <c r="I466" s="17"/>
      <c r="J466" s="18"/>
      <c r="K466" s="18"/>
      <c r="L466" s="18"/>
    </row>
    <row r="467" spans="1:12" ht="15.75" thickBot="1" x14ac:dyDescent="0.3">
      <c r="A467" s="15"/>
      <c r="B467" s="61"/>
      <c r="C467" s="52"/>
      <c r="D467" s="16" t="s">
        <v>169</v>
      </c>
      <c r="E467" s="4">
        <v>17.3</v>
      </c>
      <c r="F467" s="4">
        <v>0</v>
      </c>
      <c r="G467" s="4">
        <v>0</v>
      </c>
      <c r="H467" s="61"/>
      <c r="I467" s="17"/>
      <c r="J467" s="18"/>
      <c r="K467" s="18"/>
      <c r="L467" s="18"/>
    </row>
    <row r="468" spans="1:12" ht="38.25" x14ac:dyDescent="0.25">
      <c r="A468" s="19" t="s">
        <v>739</v>
      </c>
      <c r="B468" s="60" t="s">
        <v>740</v>
      </c>
      <c r="C468" s="51" t="s">
        <v>741</v>
      </c>
      <c r="D468" s="20"/>
      <c r="E468" s="21">
        <f>SUM(E469:E471)</f>
        <v>1121.0999999999999</v>
      </c>
      <c r="F468" s="21">
        <f>SUM(F469:F471)</f>
        <v>442.9</v>
      </c>
      <c r="G468" s="21">
        <f>SUM(G469:G471)</f>
        <v>250</v>
      </c>
      <c r="H468" s="60" t="s">
        <v>742</v>
      </c>
      <c r="I468" s="22" t="s">
        <v>265</v>
      </c>
      <c r="J468" s="23">
        <v>3</v>
      </c>
      <c r="K468" s="23">
        <v>1</v>
      </c>
      <c r="L468" s="23">
        <v>1</v>
      </c>
    </row>
    <row r="469" spans="1:12" ht="25.5" x14ac:dyDescent="0.25">
      <c r="A469" s="15"/>
      <c r="B469" s="61"/>
      <c r="C469" s="52"/>
      <c r="D469" s="16" t="s">
        <v>27</v>
      </c>
      <c r="E469" s="4">
        <v>921.1</v>
      </c>
      <c r="F469" s="4">
        <v>442.9</v>
      </c>
      <c r="G469" s="4">
        <v>250</v>
      </c>
      <c r="H469" s="61" t="s">
        <v>743</v>
      </c>
      <c r="I469" s="17" t="s">
        <v>265</v>
      </c>
      <c r="J469" s="18">
        <v>11</v>
      </c>
      <c r="K469" s="18">
        <v>11</v>
      </c>
      <c r="L469" s="18">
        <v>11</v>
      </c>
    </row>
    <row r="470" spans="1:12" ht="25.5" x14ac:dyDescent="0.25">
      <c r="A470" s="15"/>
      <c r="B470" s="61"/>
      <c r="C470" s="52"/>
      <c r="D470" s="16" t="s">
        <v>36</v>
      </c>
      <c r="E470" s="4">
        <v>200</v>
      </c>
      <c r="F470" s="4">
        <v>0</v>
      </c>
      <c r="G470" s="4">
        <v>0</v>
      </c>
      <c r="H470" s="61" t="s">
        <v>744</v>
      </c>
      <c r="I470" s="17" t="s">
        <v>265</v>
      </c>
      <c r="J470" s="18">
        <v>9</v>
      </c>
      <c r="K470" s="18">
        <v>9</v>
      </c>
      <c r="L470" s="18">
        <v>10</v>
      </c>
    </row>
    <row r="471" spans="1:12" ht="15.75" thickBot="1" x14ac:dyDescent="0.3">
      <c r="A471" s="15"/>
      <c r="B471" s="61"/>
      <c r="C471" s="52"/>
      <c r="D471" s="16"/>
      <c r="E471" s="4">
        <v>0</v>
      </c>
      <c r="F471" s="4">
        <v>0</v>
      </c>
      <c r="G471" s="4">
        <v>0</v>
      </c>
      <c r="H471" s="61" t="s">
        <v>745</v>
      </c>
      <c r="I471" s="17" t="s">
        <v>22</v>
      </c>
      <c r="J471" s="18">
        <v>6</v>
      </c>
      <c r="K471" s="18">
        <v>4</v>
      </c>
      <c r="L471" s="18"/>
    </row>
    <row r="472" spans="1:12" ht="38.25" x14ac:dyDescent="0.25">
      <c r="A472" s="19" t="s">
        <v>746</v>
      </c>
      <c r="B472" s="60" t="s">
        <v>747</v>
      </c>
      <c r="C472" s="51" t="s">
        <v>741</v>
      </c>
      <c r="D472" s="20"/>
      <c r="E472" s="21">
        <f>SUM(E473:E475)</f>
        <v>1487.2</v>
      </c>
      <c r="F472" s="21">
        <f>SUM(F473:F475)</f>
        <v>3743.7999999999997</v>
      </c>
      <c r="G472" s="21">
        <f>SUM(G473:G475)</f>
        <v>0</v>
      </c>
      <c r="H472" s="60" t="s">
        <v>748</v>
      </c>
      <c r="I472" s="22" t="s">
        <v>22</v>
      </c>
      <c r="J472" s="23">
        <v>2</v>
      </c>
      <c r="K472" s="23">
        <v>5</v>
      </c>
      <c r="L472" s="23"/>
    </row>
    <row r="473" spans="1:12" x14ac:dyDescent="0.25">
      <c r="A473" s="15"/>
      <c r="B473" s="61"/>
      <c r="C473" s="52"/>
      <c r="D473" s="16" t="s">
        <v>27</v>
      </c>
      <c r="E473" s="4">
        <v>144.4</v>
      </c>
      <c r="F473" s="4">
        <v>82</v>
      </c>
      <c r="G473" s="4">
        <v>0</v>
      </c>
      <c r="H473" s="61"/>
      <c r="I473" s="17"/>
      <c r="J473" s="18"/>
      <c r="K473" s="18"/>
      <c r="L473" s="18"/>
    </row>
    <row r="474" spans="1:12" x14ac:dyDescent="0.25">
      <c r="A474" s="15"/>
      <c r="B474" s="61"/>
      <c r="C474" s="52"/>
      <c r="D474" s="16" t="s">
        <v>126</v>
      </c>
      <c r="E474" s="4">
        <v>309.89999999999998</v>
      </c>
      <c r="F474" s="4">
        <v>845.1</v>
      </c>
      <c r="G474" s="4">
        <v>0</v>
      </c>
      <c r="H474" s="61"/>
      <c r="I474" s="17"/>
      <c r="J474" s="18"/>
      <c r="K474" s="18"/>
      <c r="L474" s="18"/>
    </row>
    <row r="475" spans="1:12" ht="15.75" thickBot="1" x14ac:dyDescent="0.3">
      <c r="A475" s="15"/>
      <c r="B475" s="61"/>
      <c r="C475" s="52"/>
      <c r="D475" s="16" t="s">
        <v>147</v>
      </c>
      <c r="E475" s="4">
        <v>1032.9000000000001</v>
      </c>
      <c r="F475" s="4">
        <v>2816.7</v>
      </c>
      <c r="G475" s="4">
        <v>0</v>
      </c>
      <c r="H475" s="61"/>
      <c r="I475" s="17"/>
      <c r="J475" s="18"/>
      <c r="K475" s="18"/>
      <c r="L475" s="18"/>
    </row>
    <row r="476" spans="1:12" ht="77.25" thickBot="1" x14ac:dyDescent="0.3">
      <c r="A476" s="19" t="s">
        <v>749</v>
      </c>
      <c r="B476" s="60" t="s">
        <v>750</v>
      </c>
      <c r="C476" s="51" t="s">
        <v>751</v>
      </c>
      <c r="D476" s="20" t="s">
        <v>27</v>
      </c>
      <c r="E476" s="24">
        <v>80</v>
      </c>
      <c r="F476" s="24">
        <v>80</v>
      </c>
      <c r="G476" s="24">
        <v>80</v>
      </c>
      <c r="H476" s="60" t="s">
        <v>752</v>
      </c>
      <c r="I476" s="22" t="s">
        <v>18</v>
      </c>
      <c r="J476" s="23">
        <v>100</v>
      </c>
      <c r="K476" s="23">
        <v>100</v>
      </c>
      <c r="L476" s="23">
        <v>100</v>
      </c>
    </row>
    <row r="477" spans="1:12" ht="51.75" thickBot="1" x14ac:dyDescent="0.3">
      <c r="A477" s="19" t="s">
        <v>753</v>
      </c>
      <c r="B477" s="60" t="s">
        <v>754</v>
      </c>
      <c r="C477" s="51" t="s">
        <v>583</v>
      </c>
      <c r="D477" s="20" t="s">
        <v>27</v>
      </c>
      <c r="E477" s="24">
        <v>200</v>
      </c>
      <c r="F477" s="24">
        <v>200</v>
      </c>
      <c r="G477" s="24">
        <v>200</v>
      </c>
      <c r="H477" s="60" t="s">
        <v>755</v>
      </c>
      <c r="I477" s="22" t="s">
        <v>265</v>
      </c>
      <c r="J477" s="23">
        <v>2</v>
      </c>
      <c r="K477" s="23">
        <v>2</v>
      </c>
      <c r="L477" s="23">
        <v>2</v>
      </c>
    </row>
    <row r="478" spans="1:12" ht="27.75" customHeight="1" thickBot="1" x14ac:dyDescent="0.3">
      <c r="A478" s="35" t="s">
        <v>756</v>
      </c>
      <c r="B478" s="71" t="s">
        <v>757</v>
      </c>
      <c r="C478" s="72" t="s">
        <v>758</v>
      </c>
      <c r="D478" s="73"/>
      <c r="E478" s="74">
        <f>SUM(E479:E479)</f>
        <v>2855.8</v>
      </c>
      <c r="F478" s="74">
        <f>SUM(F479:F479)</f>
        <v>3213.9000000000005</v>
      </c>
      <c r="G478" s="74">
        <f>SUM(G479:G479)</f>
        <v>2351.3000000000002</v>
      </c>
      <c r="H478" s="57"/>
      <c r="I478" s="38"/>
      <c r="J478" s="39"/>
      <c r="K478" s="39"/>
      <c r="L478" s="39"/>
    </row>
    <row r="479" spans="1:12" ht="39" thickBot="1" x14ac:dyDescent="0.3">
      <c r="A479" s="30" t="s">
        <v>759</v>
      </c>
      <c r="B479" s="58" t="s">
        <v>760</v>
      </c>
      <c r="C479" s="49"/>
      <c r="D479" s="31"/>
      <c r="E479" s="32">
        <f>E480+E495+E518+0.1</f>
        <v>2855.8</v>
      </c>
      <c r="F479" s="32">
        <f>F480+F495+F518</f>
        <v>3213.9000000000005</v>
      </c>
      <c r="G479" s="32">
        <f>G480+G495+G518</f>
        <v>2351.3000000000002</v>
      </c>
      <c r="H479" s="58" t="s">
        <v>761</v>
      </c>
      <c r="I479" s="33" t="s">
        <v>18</v>
      </c>
      <c r="J479" s="34">
        <v>1</v>
      </c>
      <c r="K479" s="34">
        <v>1</v>
      </c>
      <c r="L479" s="34">
        <v>1</v>
      </c>
    </row>
    <row r="480" spans="1:12" ht="26.25" thickBot="1" x14ac:dyDescent="0.3">
      <c r="A480" s="25" t="s">
        <v>762</v>
      </c>
      <c r="B480" s="59" t="s">
        <v>763</v>
      </c>
      <c r="C480" s="50"/>
      <c r="D480" s="26"/>
      <c r="E480" s="27">
        <f>E481+E485+E488+E492</f>
        <v>908.2</v>
      </c>
      <c r="F480" s="27">
        <f>F481+F485+F488+F492</f>
        <v>1440.7</v>
      </c>
      <c r="G480" s="27">
        <f>G481+G485+G488+G492</f>
        <v>573</v>
      </c>
      <c r="H480" s="59"/>
      <c r="I480" s="28"/>
      <c r="J480" s="29"/>
      <c r="K480" s="29"/>
      <c r="L480" s="29"/>
    </row>
    <row r="481" spans="1:12" ht="51" x14ac:dyDescent="0.25">
      <c r="A481" s="19" t="s">
        <v>764</v>
      </c>
      <c r="B481" s="60" t="s">
        <v>765</v>
      </c>
      <c r="C481" s="51" t="s">
        <v>766</v>
      </c>
      <c r="D481" s="20"/>
      <c r="E481" s="21">
        <f>SUM(E482:E484)</f>
        <v>41.3</v>
      </c>
      <c r="F481" s="21">
        <f>SUM(F482:F484)</f>
        <v>970.7</v>
      </c>
      <c r="G481" s="21">
        <f>SUM(G482:G484)</f>
        <v>0</v>
      </c>
      <c r="H481" s="60" t="s">
        <v>767</v>
      </c>
      <c r="I481" s="22" t="s">
        <v>22</v>
      </c>
      <c r="J481" s="23">
        <v>1</v>
      </c>
      <c r="K481" s="23"/>
      <c r="L481" s="23"/>
    </row>
    <row r="482" spans="1:12" ht="25.5" x14ac:dyDescent="0.25">
      <c r="A482" s="15"/>
      <c r="B482" s="61"/>
      <c r="C482" s="52"/>
      <c r="D482" s="16" t="s">
        <v>27</v>
      </c>
      <c r="E482" s="4">
        <v>41.3</v>
      </c>
      <c r="F482" s="4">
        <v>300</v>
      </c>
      <c r="G482" s="4">
        <v>0</v>
      </c>
      <c r="H482" s="61" t="s">
        <v>748</v>
      </c>
      <c r="I482" s="17" t="s">
        <v>22</v>
      </c>
      <c r="J482" s="18"/>
      <c r="K482" s="18">
        <v>1</v>
      </c>
      <c r="L482" s="18"/>
    </row>
    <row r="483" spans="1:12" x14ac:dyDescent="0.25">
      <c r="A483" s="15"/>
      <c r="B483" s="61"/>
      <c r="C483" s="52"/>
      <c r="D483" s="16" t="s">
        <v>126</v>
      </c>
      <c r="E483" s="4"/>
      <c r="F483" s="4">
        <v>154.80000000000001</v>
      </c>
      <c r="G483" s="4"/>
      <c r="H483" s="61"/>
      <c r="I483" s="17"/>
      <c r="J483" s="18"/>
      <c r="K483" s="18"/>
      <c r="L483" s="18"/>
    </row>
    <row r="484" spans="1:12" ht="15.75" thickBot="1" x14ac:dyDescent="0.3">
      <c r="A484" s="15"/>
      <c r="B484" s="61"/>
      <c r="C484" s="52"/>
      <c r="D484" s="16" t="s">
        <v>147</v>
      </c>
      <c r="E484" s="4"/>
      <c r="F484" s="4">
        <v>515.9</v>
      </c>
      <c r="G484" s="4"/>
      <c r="H484" s="61"/>
      <c r="I484" s="17"/>
      <c r="J484" s="18"/>
      <c r="K484" s="18"/>
      <c r="L484" s="18"/>
    </row>
    <row r="485" spans="1:12" ht="89.25" x14ac:dyDescent="0.25">
      <c r="A485" s="19" t="s">
        <v>768</v>
      </c>
      <c r="B485" s="60" t="s">
        <v>769</v>
      </c>
      <c r="C485" s="51" t="s">
        <v>770</v>
      </c>
      <c r="D485" s="20"/>
      <c r="E485" s="21">
        <f>SUM(E486:E487)</f>
        <v>414.1</v>
      </c>
      <c r="F485" s="21">
        <f>SUM(F486:F487)</f>
        <v>310</v>
      </c>
      <c r="G485" s="21">
        <f>SUM(G486:G487)</f>
        <v>338</v>
      </c>
      <c r="H485" s="60" t="s">
        <v>771</v>
      </c>
      <c r="I485" s="22" t="s">
        <v>18</v>
      </c>
      <c r="J485" s="23">
        <v>60</v>
      </c>
      <c r="K485" s="23">
        <v>100</v>
      </c>
      <c r="L485" s="23"/>
    </row>
    <row r="486" spans="1:12" ht="25.5" x14ac:dyDescent="0.25">
      <c r="A486" s="15"/>
      <c r="B486" s="61"/>
      <c r="C486" s="52"/>
      <c r="D486" s="16" t="s">
        <v>27</v>
      </c>
      <c r="E486" s="4">
        <v>310</v>
      </c>
      <c r="F486" s="4">
        <v>310</v>
      </c>
      <c r="G486" s="4">
        <v>338</v>
      </c>
      <c r="H486" s="61" t="s">
        <v>772</v>
      </c>
      <c r="I486" s="17" t="s">
        <v>18</v>
      </c>
      <c r="J486" s="18"/>
      <c r="K486" s="18"/>
      <c r="L486" s="18">
        <v>100</v>
      </c>
    </row>
    <row r="487" spans="1:12" ht="15.75" thickBot="1" x14ac:dyDescent="0.3">
      <c r="A487" s="15"/>
      <c r="B487" s="61"/>
      <c r="C487" s="52"/>
      <c r="D487" s="16" t="s">
        <v>36</v>
      </c>
      <c r="E487" s="4">
        <v>104.1</v>
      </c>
      <c r="F487" s="4"/>
      <c r="G487" s="4"/>
      <c r="H487" s="61"/>
      <c r="I487" s="17"/>
      <c r="J487" s="18"/>
      <c r="K487" s="18"/>
      <c r="L487" s="18"/>
    </row>
    <row r="488" spans="1:12" ht="25.5" x14ac:dyDescent="0.25">
      <c r="A488" s="19" t="s">
        <v>773</v>
      </c>
      <c r="B488" s="60" t="s">
        <v>774</v>
      </c>
      <c r="C488" s="51" t="s">
        <v>758</v>
      </c>
      <c r="D488" s="20" t="s">
        <v>27</v>
      </c>
      <c r="E488" s="21">
        <f>SUM(E489:E491)+365</f>
        <v>365</v>
      </c>
      <c r="F488" s="21">
        <f>SUM(F489:F491)+160</f>
        <v>160</v>
      </c>
      <c r="G488" s="21">
        <f>SUM(G489:G491)+235</f>
        <v>235</v>
      </c>
      <c r="H488" s="60" t="s">
        <v>775</v>
      </c>
      <c r="I488" s="22" t="s">
        <v>18</v>
      </c>
      <c r="J488" s="23">
        <v>100</v>
      </c>
      <c r="K488" s="23"/>
      <c r="L488" s="23"/>
    </row>
    <row r="489" spans="1:12" x14ac:dyDescent="0.25">
      <c r="A489" s="15"/>
      <c r="B489" s="61"/>
      <c r="C489" s="52"/>
      <c r="D489" s="16"/>
      <c r="E489" s="4">
        <v>0</v>
      </c>
      <c r="F489" s="4">
        <v>0</v>
      </c>
      <c r="G489" s="4">
        <v>0</v>
      </c>
      <c r="H489" s="61" t="s">
        <v>776</v>
      </c>
      <c r="I489" s="17" t="s">
        <v>18</v>
      </c>
      <c r="J489" s="18">
        <v>100</v>
      </c>
      <c r="K489" s="18"/>
      <c r="L489" s="18"/>
    </row>
    <row r="490" spans="1:12" x14ac:dyDescent="0.25">
      <c r="A490" s="15"/>
      <c r="B490" s="61"/>
      <c r="C490" s="52"/>
      <c r="D490" s="16"/>
      <c r="E490" s="4">
        <v>0</v>
      </c>
      <c r="F490" s="4">
        <v>0</v>
      </c>
      <c r="G490" s="4">
        <v>0</v>
      </c>
      <c r="H490" s="61" t="s">
        <v>777</v>
      </c>
      <c r="I490" s="17" t="s">
        <v>18</v>
      </c>
      <c r="J490" s="18"/>
      <c r="K490" s="18">
        <v>100</v>
      </c>
      <c r="L490" s="18"/>
    </row>
    <row r="491" spans="1:12" ht="26.25" thickBot="1" x14ac:dyDescent="0.3">
      <c r="A491" s="15"/>
      <c r="B491" s="61"/>
      <c r="C491" s="52"/>
      <c r="D491" s="16"/>
      <c r="E491" s="4">
        <v>0</v>
      </c>
      <c r="F491" s="4">
        <v>0</v>
      </c>
      <c r="G491" s="4">
        <v>0</v>
      </c>
      <c r="H491" s="61" t="s">
        <v>778</v>
      </c>
      <c r="I491" s="17" t="s">
        <v>18</v>
      </c>
      <c r="J491" s="18"/>
      <c r="K491" s="18"/>
      <c r="L491" s="18">
        <v>100</v>
      </c>
    </row>
    <row r="492" spans="1:12" ht="102" x14ac:dyDescent="0.25">
      <c r="A492" s="19" t="s">
        <v>779</v>
      </c>
      <c r="B492" s="60" t="s">
        <v>780</v>
      </c>
      <c r="C492" s="51" t="s">
        <v>781</v>
      </c>
      <c r="D492" s="20"/>
      <c r="E492" s="21">
        <f>SUM(E493:E494)</f>
        <v>87.8</v>
      </c>
      <c r="F492" s="21">
        <f>SUM(F493:F494)</f>
        <v>0</v>
      </c>
      <c r="G492" s="21">
        <f>SUM(G493:G494)</f>
        <v>0</v>
      </c>
      <c r="H492" s="60" t="s">
        <v>782</v>
      </c>
      <c r="I492" s="22" t="s">
        <v>416</v>
      </c>
      <c r="J492" s="66">
        <v>37677</v>
      </c>
      <c r="K492" s="23"/>
      <c r="L492" s="23"/>
    </row>
    <row r="493" spans="1:12" ht="38.25" x14ac:dyDescent="0.25">
      <c r="A493" s="15"/>
      <c r="B493" s="61"/>
      <c r="C493" s="52"/>
      <c r="D493" s="16" t="s">
        <v>36</v>
      </c>
      <c r="E493" s="4">
        <v>80.099999999999994</v>
      </c>
      <c r="F493" s="4">
        <v>0</v>
      </c>
      <c r="G493" s="4">
        <v>0</v>
      </c>
      <c r="H493" s="61" t="s">
        <v>783</v>
      </c>
      <c r="I493" s="17" t="s">
        <v>22</v>
      </c>
      <c r="J493" s="18">
        <v>1</v>
      </c>
      <c r="K493" s="18"/>
      <c r="L493" s="18"/>
    </row>
    <row r="494" spans="1:12" ht="15.75" thickBot="1" x14ac:dyDescent="0.3">
      <c r="A494" s="15"/>
      <c r="B494" s="61"/>
      <c r="C494" s="52"/>
      <c r="D494" s="16" t="s">
        <v>126</v>
      </c>
      <c r="E494" s="4">
        <v>7.7</v>
      </c>
      <c r="F494" s="4"/>
      <c r="G494" s="4"/>
      <c r="H494" s="61"/>
      <c r="I494" s="17"/>
      <c r="J494" s="18"/>
      <c r="K494" s="18"/>
      <c r="L494" s="18"/>
    </row>
    <row r="495" spans="1:12" ht="39" thickBot="1" x14ac:dyDescent="0.3">
      <c r="A495" s="25" t="s">
        <v>784</v>
      </c>
      <c r="B495" s="59" t="s">
        <v>785</v>
      </c>
      <c r="C495" s="50"/>
      <c r="D495" s="26"/>
      <c r="E495" s="27">
        <f>E496+E497+E500+E505+E510+E515</f>
        <v>1535.6</v>
      </c>
      <c r="F495" s="27">
        <f>F496+F497+F500+F505+F510+F515</f>
        <v>1454.4</v>
      </c>
      <c r="G495" s="27">
        <f>G496+G497+G500+G505+G510+G515</f>
        <v>1486.3000000000002</v>
      </c>
      <c r="H495" s="59"/>
      <c r="I495" s="28"/>
      <c r="J495" s="29"/>
      <c r="K495" s="29"/>
      <c r="L495" s="29"/>
    </row>
    <row r="496" spans="1:12" ht="26.25" thickBot="1" x14ac:dyDescent="0.3">
      <c r="A496" s="19" t="s">
        <v>786</v>
      </c>
      <c r="B496" s="60" t="s">
        <v>787</v>
      </c>
      <c r="C496" s="51" t="s">
        <v>758</v>
      </c>
      <c r="D496" s="20" t="s">
        <v>27</v>
      </c>
      <c r="E496" s="24">
        <v>0</v>
      </c>
      <c r="F496" s="24">
        <v>0</v>
      </c>
      <c r="G496" s="24">
        <v>0</v>
      </c>
      <c r="H496" s="60"/>
      <c r="I496" s="22"/>
      <c r="J496" s="23"/>
      <c r="K496" s="23"/>
      <c r="L496" s="23"/>
    </row>
    <row r="497" spans="1:12" ht="38.25" x14ac:dyDescent="0.25">
      <c r="A497" s="19" t="s">
        <v>788</v>
      </c>
      <c r="B497" s="60" t="s">
        <v>789</v>
      </c>
      <c r="C497" s="51" t="s">
        <v>758</v>
      </c>
      <c r="D497" s="20"/>
      <c r="E497" s="21">
        <f>SUM(E498:E499)</f>
        <v>91.9</v>
      </c>
      <c r="F497" s="21">
        <f>SUM(F498:F499)</f>
        <v>47</v>
      </c>
      <c r="G497" s="21">
        <f>SUM(G498:G499)</f>
        <v>48</v>
      </c>
      <c r="H497" s="60" t="s">
        <v>790</v>
      </c>
      <c r="I497" s="22" t="s">
        <v>265</v>
      </c>
      <c r="J497" s="23">
        <v>500</v>
      </c>
      <c r="K497" s="23">
        <v>600</v>
      </c>
      <c r="L497" s="23">
        <v>700</v>
      </c>
    </row>
    <row r="498" spans="1:12" x14ac:dyDescent="0.25">
      <c r="A498" s="15"/>
      <c r="B498" s="61"/>
      <c r="C498" s="52"/>
      <c r="D498" s="16" t="s">
        <v>226</v>
      </c>
      <c r="E498" s="4">
        <v>45.9</v>
      </c>
      <c r="F498" s="4">
        <v>0</v>
      </c>
      <c r="G498" s="4">
        <v>0</v>
      </c>
      <c r="H498" s="61"/>
      <c r="I498" s="17"/>
      <c r="J498" s="18"/>
      <c r="K498" s="18"/>
      <c r="L498" s="18"/>
    </row>
    <row r="499" spans="1:12" ht="15.75" thickBot="1" x14ac:dyDescent="0.3">
      <c r="A499" s="15"/>
      <c r="B499" s="61"/>
      <c r="C499" s="52"/>
      <c r="D499" s="16" t="s">
        <v>204</v>
      </c>
      <c r="E499" s="4">
        <v>46</v>
      </c>
      <c r="F499" s="4">
        <v>47</v>
      </c>
      <c r="G499" s="4">
        <v>48</v>
      </c>
      <c r="H499" s="61"/>
      <c r="I499" s="17"/>
      <c r="J499" s="18"/>
      <c r="K499" s="18"/>
      <c r="L499" s="18"/>
    </row>
    <row r="500" spans="1:12" ht="63.75" x14ac:dyDescent="0.25">
      <c r="A500" s="19" t="s">
        <v>791</v>
      </c>
      <c r="B500" s="60" t="s">
        <v>792</v>
      </c>
      <c r="C500" s="51" t="s">
        <v>793</v>
      </c>
      <c r="D500" s="20"/>
      <c r="E500" s="21">
        <f>SUM(E501:E504)</f>
        <v>29.1</v>
      </c>
      <c r="F500" s="21">
        <f>SUM(F501:F504)</f>
        <v>0</v>
      </c>
      <c r="G500" s="21">
        <f>SUM(G501:G504)</f>
        <v>0</v>
      </c>
      <c r="H500" s="60" t="s">
        <v>794</v>
      </c>
      <c r="I500" s="22" t="s">
        <v>265</v>
      </c>
      <c r="J500" s="23">
        <v>30</v>
      </c>
      <c r="K500" s="23"/>
      <c r="L500" s="23"/>
    </row>
    <row r="501" spans="1:12" x14ac:dyDescent="0.25">
      <c r="A501" s="15"/>
      <c r="B501" s="61"/>
      <c r="C501" s="52"/>
      <c r="D501" s="16" t="s">
        <v>128</v>
      </c>
      <c r="E501" s="4">
        <v>1</v>
      </c>
      <c r="F501" s="4">
        <v>0</v>
      </c>
      <c r="G501" s="4">
        <v>0</v>
      </c>
      <c r="H501" s="61"/>
      <c r="I501" s="17"/>
      <c r="J501" s="18"/>
      <c r="K501" s="18"/>
      <c r="L501" s="18"/>
    </row>
    <row r="502" spans="1:12" x14ac:dyDescent="0.25">
      <c r="A502" s="15"/>
      <c r="B502" s="61"/>
      <c r="C502" s="52"/>
      <c r="D502" s="16" t="s">
        <v>27</v>
      </c>
      <c r="E502" s="4">
        <v>1</v>
      </c>
      <c r="F502" s="4">
        <v>0</v>
      </c>
      <c r="G502" s="4">
        <v>0</v>
      </c>
      <c r="H502" s="61"/>
      <c r="I502" s="17"/>
      <c r="J502" s="18"/>
      <c r="K502" s="18"/>
      <c r="L502" s="18"/>
    </row>
    <row r="503" spans="1:12" x14ac:dyDescent="0.25">
      <c r="A503" s="15"/>
      <c r="B503" s="61"/>
      <c r="C503" s="52"/>
      <c r="D503" s="16" t="s">
        <v>132</v>
      </c>
      <c r="E503" s="4">
        <v>26.1</v>
      </c>
      <c r="F503" s="4">
        <v>0</v>
      </c>
      <c r="G503" s="4">
        <v>0</v>
      </c>
      <c r="H503" s="61"/>
      <c r="I503" s="17"/>
      <c r="J503" s="18"/>
      <c r="K503" s="18"/>
      <c r="L503" s="18"/>
    </row>
    <row r="504" spans="1:12" ht="15.75" thickBot="1" x14ac:dyDescent="0.3">
      <c r="A504" s="15"/>
      <c r="B504" s="61"/>
      <c r="C504" s="52"/>
      <c r="D504" s="16" t="s">
        <v>130</v>
      </c>
      <c r="E504" s="4">
        <v>1</v>
      </c>
      <c r="F504" s="4">
        <v>0</v>
      </c>
      <c r="G504" s="4">
        <v>0</v>
      </c>
      <c r="H504" s="61"/>
      <c r="I504" s="17"/>
      <c r="J504" s="18"/>
      <c r="K504" s="18"/>
      <c r="L504" s="18"/>
    </row>
    <row r="505" spans="1:12" ht="63.75" x14ac:dyDescent="0.25">
      <c r="A505" s="19" t="s">
        <v>795</v>
      </c>
      <c r="B505" s="60" t="s">
        <v>796</v>
      </c>
      <c r="C505" s="51" t="s">
        <v>793</v>
      </c>
      <c r="D505" s="20"/>
      <c r="E505" s="21">
        <f>SUM(E506:E509)</f>
        <v>160.1</v>
      </c>
      <c r="F505" s="21">
        <f>SUM(F506:F509)</f>
        <v>130.4</v>
      </c>
      <c r="G505" s="21">
        <f>SUM(G506:G509)</f>
        <v>133.4</v>
      </c>
      <c r="H505" s="60" t="s">
        <v>797</v>
      </c>
      <c r="I505" s="22" t="s">
        <v>265</v>
      </c>
      <c r="J505" s="23">
        <v>300</v>
      </c>
      <c r="K505" s="23">
        <v>300</v>
      </c>
      <c r="L505" s="23">
        <v>300</v>
      </c>
    </row>
    <row r="506" spans="1:12" x14ac:dyDescent="0.25">
      <c r="A506" s="15"/>
      <c r="B506" s="61"/>
      <c r="C506" s="52"/>
      <c r="D506" s="16" t="s">
        <v>36</v>
      </c>
      <c r="E506" s="4">
        <v>31.7</v>
      </c>
      <c r="F506" s="4">
        <v>0</v>
      </c>
      <c r="G506" s="4">
        <v>0</v>
      </c>
      <c r="H506" s="61"/>
      <c r="I506" s="17"/>
      <c r="J506" s="18"/>
      <c r="K506" s="18"/>
      <c r="L506" s="18"/>
    </row>
    <row r="507" spans="1:12" x14ac:dyDescent="0.25">
      <c r="A507" s="15"/>
      <c r="B507" s="61"/>
      <c r="C507" s="52"/>
      <c r="D507" s="16" t="s">
        <v>130</v>
      </c>
      <c r="E507" s="4">
        <v>0.9</v>
      </c>
      <c r="F507" s="4">
        <v>0.5</v>
      </c>
      <c r="G507" s="4">
        <v>0.5</v>
      </c>
      <c r="H507" s="61"/>
      <c r="I507" s="17"/>
      <c r="J507" s="18"/>
      <c r="K507" s="18"/>
      <c r="L507" s="18"/>
    </row>
    <row r="508" spans="1:12" x14ac:dyDescent="0.25">
      <c r="A508" s="15"/>
      <c r="B508" s="61"/>
      <c r="C508" s="52"/>
      <c r="D508" s="16" t="s">
        <v>27</v>
      </c>
      <c r="E508" s="4">
        <v>126.5</v>
      </c>
      <c r="F508" s="4">
        <v>128.9</v>
      </c>
      <c r="G508" s="4">
        <v>131.9</v>
      </c>
      <c r="H508" s="61"/>
      <c r="I508" s="17"/>
      <c r="J508" s="18"/>
      <c r="K508" s="18"/>
      <c r="L508" s="18"/>
    </row>
    <row r="509" spans="1:12" ht="15.75" thickBot="1" x14ac:dyDescent="0.3">
      <c r="A509" s="15"/>
      <c r="B509" s="61"/>
      <c r="C509" s="52"/>
      <c r="D509" s="16" t="s">
        <v>123</v>
      </c>
      <c r="E509" s="4">
        <v>1</v>
      </c>
      <c r="F509" s="4">
        <v>1</v>
      </c>
      <c r="G509" s="4">
        <v>1</v>
      </c>
      <c r="H509" s="61"/>
      <c r="I509" s="17"/>
      <c r="J509" s="18"/>
      <c r="K509" s="18"/>
      <c r="L509" s="18"/>
    </row>
    <row r="510" spans="1:12" ht="63.75" x14ac:dyDescent="0.25">
      <c r="A510" s="19" t="s">
        <v>798</v>
      </c>
      <c r="B510" s="60" t="s">
        <v>799</v>
      </c>
      <c r="C510" s="51" t="s">
        <v>793</v>
      </c>
      <c r="D510" s="20"/>
      <c r="E510" s="21">
        <f>SUM(E511:E514)</f>
        <v>1150.5</v>
      </c>
      <c r="F510" s="21">
        <f>SUM(F511:F514)</f>
        <v>1171.0999999999999</v>
      </c>
      <c r="G510" s="21">
        <f>SUM(G511:G514)</f>
        <v>1196.7</v>
      </c>
      <c r="H510" s="60" t="s">
        <v>800</v>
      </c>
      <c r="I510" s="22" t="s">
        <v>265</v>
      </c>
      <c r="J510" s="23">
        <v>69</v>
      </c>
      <c r="K510" s="23">
        <v>65</v>
      </c>
      <c r="L510" s="23">
        <v>63</v>
      </c>
    </row>
    <row r="511" spans="1:12" ht="25.5" x14ac:dyDescent="0.25">
      <c r="A511" s="15"/>
      <c r="B511" s="61"/>
      <c r="C511" s="52"/>
      <c r="D511" s="16" t="s">
        <v>27</v>
      </c>
      <c r="E511" s="4">
        <v>229</v>
      </c>
      <c r="F511" s="4">
        <v>233</v>
      </c>
      <c r="G511" s="4">
        <v>238</v>
      </c>
      <c r="H511" s="61" t="s">
        <v>801</v>
      </c>
      <c r="I511" s="17" t="s">
        <v>265</v>
      </c>
      <c r="J511" s="63">
        <v>30000</v>
      </c>
      <c r="K511" s="63">
        <v>30000</v>
      </c>
      <c r="L511" s="63">
        <v>30000</v>
      </c>
    </row>
    <row r="512" spans="1:12" ht="25.5" x14ac:dyDescent="0.25">
      <c r="A512" s="15"/>
      <c r="B512" s="61"/>
      <c r="C512" s="52"/>
      <c r="D512" s="16" t="s">
        <v>497</v>
      </c>
      <c r="E512" s="4">
        <v>921.5</v>
      </c>
      <c r="F512" s="4">
        <v>938.1</v>
      </c>
      <c r="G512" s="4">
        <v>958.7</v>
      </c>
      <c r="H512" s="61" t="s">
        <v>802</v>
      </c>
      <c r="I512" s="17" t="s">
        <v>265</v>
      </c>
      <c r="J512" s="18">
        <v>1</v>
      </c>
      <c r="K512" s="18">
        <v>1</v>
      </c>
      <c r="L512" s="18">
        <v>1</v>
      </c>
    </row>
    <row r="513" spans="1:12" x14ac:dyDescent="0.25">
      <c r="A513" s="15"/>
      <c r="B513" s="61"/>
      <c r="C513" s="52"/>
      <c r="D513" s="16"/>
      <c r="E513" s="4">
        <v>0</v>
      </c>
      <c r="F513" s="4">
        <v>0</v>
      </c>
      <c r="G513" s="4">
        <v>0</v>
      </c>
      <c r="H513" s="61" t="s">
        <v>803</v>
      </c>
      <c r="I513" s="17" t="s">
        <v>265</v>
      </c>
      <c r="J513" s="63">
        <v>20000</v>
      </c>
      <c r="K513" s="63">
        <v>20000</v>
      </c>
      <c r="L513" s="63">
        <v>20000</v>
      </c>
    </row>
    <row r="514" spans="1:12" ht="39" thickBot="1" x14ac:dyDescent="0.3">
      <c r="A514" s="15"/>
      <c r="B514" s="61"/>
      <c r="C514" s="52"/>
      <c r="D514" s="16"/>
      <c r="E514" s="4">
        <v>0</v>
      </c>
      <c r="F514" s="4">
        <v>0</v>
      </c>
      <c r="G514" s="4">
        <v>0</v>
      </c>
      <c r="H514" s="61" t="s">
        <v>804</v>
      </c>
      <c r="I514" s="17" t="s">
        <v>265</v>
      </c>
      <c r="J514" s="18">
        <v>64</v>
      </c>
      <c r="K514" s="18">
        <v>64</v>
      </c>
      <c r="L514" s="18">
        <v>64</v>
      </c>
    </row>
    <row r="515" spans="1:12" ht="63.75" x14ac:dyDescent="0.25">
      <c r="A515" s="19" t="s">
        <v>805</v>
      </c>
      <c r="B515" s="60" t="s">
        <v>806</v>
      </c>
      <c r="C515" s="51" t="s">
        <v>793</v>
      </c>
      <c r="D515" s="20" t="s">
        <v>497</v>
      </c>
      <c r="E515" s="21">
        <f>SUM(E516:E517)+104</f>
        <v>104</v>
      </c>
      <c r="F515" s="21">
        <f>SUM(F516:F517)+105.9</f>
        <v>105.9</v>
      </c>
      <c r="G515" s="21">
        <f>SUM(G516:G517)+108.2</f>
        <v>108.2</v>
      </c>
      <c r="H515" s="60" t="s">
        <v>807</v>
      </c>
      <c r="I515" s="22" t="s">
        <v>265</v>
      </c>
      <c r="J515" s="66">
        <v>1300</v>
      </c>
      <c r="K515" s="66">
        <v>1350</v>
      </c>
      <c r="L515" s="66">
        <v>1350</v>
      </c>
    </row>
    <row r="516" spans="1:12" x14ac:dyDescent="0.25">
      <c r="A516" s="15"/>
      <c r="B516" s="61"/>
      <c r="C516" s="52"/>
      <c r="D516" s="16"/>
      <c r="E516" s="4">
        <v>0</v>
      </c>
      <c r="F516" s="4">
        <v>0</v>
      </c>
      <c r="G516" s="4">
        <v>0</v>
      </c>
      <c r="H516" s="61" t="s">
        <v>808</v>
      </c>
      <c r="I516" s="17" t="s">
        <v>265</v>
      </c>
      <c r="J516" s="18">
        <v>180</v>
      </c>
      <c r="K516" s="18">
        <v>150</v>
      </c>
      <c r="L516" s="18">
        <v>150</v>
      </c>
    </row>
    <row r="517" spans="1:12" ht="15.75" thickBot="1" x14ac:dyDescent="0.3">
      <c r="A517" s="15"/>
      <c r="B517" s="61"/>
      <c r="C517" s="52"/>
      <c r="D517" s="16"/>
      <c r="E517" s="4">
        <v>0</v>
      </c>
      <c r="F517" s="4">
        <v>0</v>
      </c>
      <c r="G517" s="4">
        <v>0</v>
      </c>
      <c r="H517" s="61" t="s">
        <v>809</v>
      </c>
      <c r="I517" s="17" t="s">
        <v>265</v>
      </c>
      <c r="J517" s="18">
        <v>10</v>
      </c>
      <c r="K517" s="18">
        <v>10</v>
      </c>
      <c r="L517" s="18">
        <v>10</v>
      </c>
    </row>
    <row r="518" spans="1:12" ht="26.25" thickBot="1" x14ac:dyDescent="0.3">
      <c r="A518" s="25" t="s">
        <v>810</v>
      </c>
      <c r="B518" s="59" t="s">
        <v>811</v>
      </c>
      <c r="C518" s="50"/>
      <c r="D518" s="26"/>
      <c r="E518" s="27">
        <f>E519+E523+E524+E529+E532+E534+E536+E537</f>
        <v>411.9</v>
      </c>
      <c r="F518" s="27">
        <f>F519+F523+F524+F529+F532+F534+F536+F537</f>
        <v>318.8</v>
      </c>
      <c r="G518" s="27">
        <f>G519+G523+G524+G529+G532+G534+G536+G537</f>
        <v>292</v>
      </c>
      <c r="H518" s="59"/>
      <c r="I518" s="28"/>
      <c r="J518" s="29"/>
      <c r="K518" s="29"/>
      <c r="L518" s="29"/>
    </row>
    <row r="519" spans="1:12" ht="25.5" x14ac:dyDescent="0.25">
      <c r="A519" s="19" t="s">
        <v>812</v>
      </c>
      <c r="B519" s="60" t="s">
        <v>813</v>
      </c>
      <c r="C519" s="51" t="s">
        <v>758</v>
      </c>
      <c r="D519" s="20" t="s">
        <v>27</v>
      </c>
      <c r="E519" s="21">
        <f>SUM(E520:E522)+40</f>
        <v>40</v>
      </c>
      <c r="F519" s="21">
        <f>SUM(F520:F522)+47</f>
        <v>47</v>
      </c>
      <c r="G519" s="21">
        <f>SUM(G520:G522)+47</f>
        <v>47</v>
      </c>
      <c r="H519" s="60" t="s">
        <v>814</v>
      </c>
      <c r="I519" s="22" t="s">
        <v>265</v>
      </c>
      <c r="J519" s="23">
        <v>2</v>
      </c>
      <c r="K519" s="23">
        <v>2</v>
      </c>
      <c r="L519" s="23">
        <v>2</v>
      </c>
    </row>
    <row r="520" spans="1:12" x14ac:dyDescent="0.25">
      <c r="A520" s="15"/>
      <c r="B520" s="61"/>
      <c r="C520" s="52"/>
      <c r="D520" s="16"/>
      <c r="E520" s="4">
        <v>0</v>
      </c>
      <c r="F520" s="4">
        <v>0</v>
      </c>
      <c r="G520" s="4">
        <v>0</v>
      </c>
      <c r="H520" s="61" t="s">
        <v>815</v>
      </c>
      <c r="I520" s="17" t="s">
        <v>265</v>
      </c>
      <c r="J520" s="18">
        <v>4</v>
      </c>
      <c r="K520" s="18">
        <v>4</v>
      </c>
      <c r="L520" s="18">
        <v>4</v>
      </c>
    </row>
    <row r="521" spans="1:12" x14ac:dyDescent="0.25">
      <c r="A521" s="15"/>
      <c r="B521" s="61"/>
      <c r="C521" s="52"/>
      <c r="D521" s="16"/>
      <c r="E521" s="4">
        <v>0</v>
      </c>
      <c r="F521" s="4">
        <v>0</v>
      </c>
      <c r="G521" s="4">
        <v>0</v>
      </c>
      <c r="H521" s="61" t="s">
        <v>816</v>
      </c>
      <c r="I521" s="17" t="s">
        <v>265</v>
      </c>
      <c r="J521" s="18">
        <v>2</v>
      </c>
      <c r="K521" s="18">
        <v>2</v>
      </c>
      <c r="L521" s="18">
        <v>2</v>
      </c>
    </row>
    <row r="522" spans="1:12" ht="15.75" thickBot="1" x14ac:dyDescent="0.3">
      <c r="A522" s="15"/>
      <c r="B522" s="61"/>
      <c r="C522" s="52"/>
      <c r="D522" s="16"/>
      <c r="E522" s="4">
        <v>0</v>
      </c>
      <c r="F522" s="4">
        <v>0</v>
      </c>
      <c r="G522" s="4">
        <v>0</v>
      </c>
      <c r="H522" s="61" t="s">
        <v>817</v>
      </c>
      <c r="I522" s="17" t="s">
        <v>265</v>
      </c>
      <c r="J522" s="63">
        <v>1200</v>
      </c>
      <c r="K522" s="63">
        <v>1200</v>
      </c>
      <c r="L522" s="63">
        <v>1200</v>
      </c>
    </row>
    <row r="523" spans="1:12" ht="26.25" thickBot="1" x14ac:dyDescent="0.3">
      <c r="A523" s="19" t="s">
        <v>818</v>
      </c>
      <c r="B523" s="60" t="s">
        <v>819</v>
      </c>
      <c r="C523" s="51" t="s">
        <v>758</v>
      </c>
      <c r="D523" s="20" t="s">
        <v>204</v>
      </c>
      <c r="E523" s="24">
        <v>10</v>
      </c>
      <c r="F523" s="24">
        <v>11</v>
      </c>
      <c r="G523" s="24">
        <v>12</v>
      </c>
      <c r="H523" s="60" t="s">
        <v>820</v>
      </c>
      <c r="I523" s="22" t="s">
        <v>265</v>
      </c>
      <c r="J523" s="23">
        <v>10</v>
      </c>
      <c r="K523" s="23">
        <v>10</v>
      </c>
      <c r="L523" s="23">
        <v>10</v>
      </c>
    </row>
    <row r="524" spans="1:12" ht="38.25" x14ac:dyDescent="0.25">
      <c r="A524" s="19" t="s">
        <v>821</v>
      </c>
      <c r="B524" s="60" t="s">
        <v>822</v>
      </c>
      <c r="C524" s="51" t="s">
        <v>823</v>
      </c>
      <c r="D524" s="20"/>
      <c r="E524" s="21">
        <f>SUM(E525:E528)</f>
        <v>25</v>
      </c>
      <c r="F524" s="21">
        <f>SUM(F525:F528)</f>
        <v>0</v>
      </c>
      <c r="G524" s="21">
        <f>SUM(G525:G528)</f>
        <v>0</v>
      </c>
      <c r="H524" s="60" t="s">
        <v>824</v>
      </c>
      <c r="I524" s="22" t="s">
        <v>265</v>
      </c>
      <c r="J524" s="23">
        <v>20</v>
      </c>
      <c r="K524" s="23"/>
      <c r="L524" s="23"/>
    </row>
    <row r="525" spans="1:12" x14ac:dyDescent="0.25">
      <c r="A525" s="15"/>
      <c r="B525" s="61"/>
      <c r="C525" s="52"/>
      <c r="D525" s="16" t="s">
        <v>36</v>
      </c>
      <c r="E525" s="4">
        <v>1</v>
      </c>
      <c r="F525" s="4">
        <v>0</v>
      </c>
      <c r="G525" s="4">
        <v>0</v>
      </c>
      <c r="H525" s="61"/>
      <c r="I525" s="17"/>
      <c r="J525" s="18"/>
      <c r="K525" s="18"/>
      <c r="L525" s="18"/>
    </row>
    <row r="526" spans="1:12" x14ac:dyDescent="0.25">
      <c r="A526" s="15"/>
      <c r="B526" s="61"/>
      <c r="C526" s="52"/>
      <c r="D526" s="16" t="s">
        <v>27</v>
      </c>
      <c r="E526" s="4">
        <v>7</v>
      </c>
      <c r="F526" s="4">
        <v>0</v>
      </c>
      <c r="G526" s="4">
        <v>0</v>
      </c>
      <c r="H526" s="61"/>
      <c r="I526" s="17"/>
      <c r="J526" s="18"/>
      <c r="K526" s="18"/>
      <c r="L526" s="18"/>
    </row>
    <row r="527" spans="1:12" x14ac:dyDescent="0.25">
      <c r="A527" s="15"/>
      <c r="B527" s="61"/>
      <c r="C527" s="52"/>
      <c r="D527" s="16" t="s">
        <v>126</v>
      </c>
      <c r="E527" s="4">
        <v>1.5</v>
      </c>
      <c r="F527" s="4">
        <v>0</v>
      </c>
      <c r="G527" s="4">
        <v>0</v>
      </c>
      <c r="H527" s="61"/>
      <c r="I527" s="17"/>
      <c r="J527" s="18"/>
      <c r="K527" s="18"/>
      <c r="L527" s="18"/>
    </row>
    <row r="528" spans="1:12" ht="15.75" thickBot="1" x14ac:dyDescent="0.3">
      <c r="A528" s="15"/>
      <c r="B528" s="61"/>
      <c r="C528" s="52"/>
      <c r="D528" s="16" t="s">
        <v>169</v>
      </c>
      <c r="E528" s="4">
        <v>15.5</v>
      </c>
      <c r="F528" s="4">
        <v>0</v>
      </c>
      <c r="G528" s="4">
        <v>0</v>
      </c>
      <c r="H528" s="61"/>
      <c r="I528" s="17"/>
      <c r="J528" s="18"/>
      <c r="K528" s="18"/>
      <c r="L528" s="18"/>
    </row>
    <row r="529" spans="1:12" ht="63.75" x14ac:dyDescent="0.25">
      <c r="A529" s="19" t="s">
        <v>825</v>
      </c>
      <c r="B529" s="60" t="s">
        <v>826</v>
      </c>
      <c r="C529" s="51" t="s">
        <v>827</v>
      </c>
      <c r="D529" s="20"/>
      <c r="E529" s="21">
        <f>SUM(E530:E531)</f>
        <v>69.5</v>
      </c>
      <c r="F529" s="21">
        <f>SUM(F530:F531)</f>
        <v>33.799999999999997</v>
      </c>
      <c r="G529" s="21">
        <f>SUM(G530:G531)</f>
        <v>0</v>
      </c>
      <c r="H529" s="60" t="s">
        <v>828</v>
      </c>
      <c r="I529" s="22" t="s">
        <v>265</v>
      </c>
      <c r="J529" s="66">
        <v>1200</v>
      </c>
      <c r="K529" s="23">
        <v>200</v>
      </c>
      <c r="L529" s="23"/>
    </row>
    <row r="530" spans="1:12" x14ac:dyDescent="0.25">
      <c r="A530" s="15"/>
      <c r="B530" s="61"/>
      <c r="C530" s="52"/>
      <c r="D530" s="16" t="s">
        <v>169</v>
      </c>
      <c r="E530" s="4">
        <v>59</v>
      </c>
      <c r="F530" s="4">
        <v>28.8</v>
      </c>
      <c r="G530" s="4">
        <v>0</v>
      </c>
      <c r="H530" s="61"/>
      <c r="I530" s="17"/>
      <c r="J530" s="18"/>
      <c r="K530" s="18"/>
      <c r="L530" s="18"/>
    </row>
    <row r="531" spans="1:12" ht="15.75" thickBot="1" x14ac:dyDescent="0.3">
      <c r="A531" s="15"/>
      <c r="B531" s="61"/>
      <c r="C531" s="52"/>
      <c r="D531" s="16" t="s">
        <v>126</v>
      </c>
      <c r="E531" s="4">
        <v>10.5</v>
      </c>
      <c r="F531" s="4">
        <v>5</v>
      </c>
      <c r="G531" s="4">
        <v>0</v>
      </c>
      <c r="H531" s="61"/>
      <c r="I531" s="17"/>
      <c r="J531" s="18"/>
      <c r="K531" s="18"/>
      <c r="L531" s="18"/>
    </row>
    <row r="532" spans="1:12" ht="25.5" x14ac:dyDescent="0.25">
      <c r="A532" s="19" t="s">
        <v>829</v>
      </c>
      <c r="B532" s="60" t="s">
        <v>830</v>
      </c>
      <c r="C532" s="51" t="s">
        <v>758</v>
      </c>
      <c r="D532" s="20" t="s">
        <v>27</v>
      </c>
      <c r="E532" s="21">
        <f>SUM(E533:E533)+114</f>
        <v>114</v>
      </c>
      <c r="F532" s="21">
        <f>SUM(F533:F533)+160</f>
        <v>160</v>
      </c>
      <c r="G532" s="21">
        <f>SUM(G533:G533)+166</f>
        <v>166</v>
      </c>
      <c r="H532" s="60" t="s">
        <v>831</v>
      </c>
      <c r="I532" s="22" t="s">
        <v>265</v>
      </c>
      <c r="J532" s="23">
        <v>4</v>
      </c>
      <c r="K532" s="23">
        <v>4</v>
      </c>
      <c r="L532" s="23">
        <v>4</v>
      </c>
    </row>
    <row r="533" spans="1:12" ht="15.75" thickBot="1" x14ac:dyDescent="0.3">
      <c r="A533" s="15"/>
      <c r="B533" s="61"/>
      <c r="C533" s="52"/>
      <c r="D533" s="16"/>
      <c r="E533" s="4">
        <v>0</v>
      </c>
      <c r="F533" s="4">
        <v>0</v>
      </c>
      <c r="G533" s="4">
        <v>0</v>
      </c>
      <c r="H533" s="61" t="s">
        <v>832</v>
      </c>
      <c r="I533" s="17" t="s">
        <v>265</v>
      </c>
      <c r="J533" s="18">
        <v>5</v>
      </c>
      <c r="K533" s="18">
        <v>5</v>
      </c>
      <c r="L533" s="18">
        <v>5</v>
      </c>
    </row>
    <row r="534" spans="1:12" ht="51" x14ac:dyDescent="0.25">
      <c r="A534" s="19" t="s">
        <v>833</v>
      </c>
      <c r="B534" s="60" t="s">
        <v>834</v>
      </c>
      <c r="C534" s="51" t="s">
        <v>835</v>
      </c>
      <c r="D534" s="20" t="s">
        <v>204</v>
      </c>
      <c r="E534" s="21">
        <f>SUM(E535:E535)+7</f>
        <v>7</v>
      </c>
      <c r="F534" s="21">
        <f>SUM(F535:F535)+7</f>
        <v>7</v>
      </c>
      <c r="G534" s="21">
        <f>SUM(G535:G535)+7</f>
        <v>7</v>
      </c>
      <c r="H534" s="60" t="s">
        <v>836</v>
      </c>
      <c r="I534" s="22" t="s">
        <v>265</v>
      </c>
      <c r="J534" s="23">
        <v>4</v>
      </c>
      <c r="K534" s="23">
        <v>4</v>
      </c>
      <c r="L534" s="23">
        <v>4</v>
      </c>
    </row>
    <row r="535" spans="1:12" ht="15.75" thickBot="1" x14ac:dyDescent="0.3">
      <c r="A535" s="15"/>
      <c r="B535" s="61"/>
      <c r="C535" s="52"/>
      <c r="D535" s="16"/>
      <c r="E535" s="4">
        <v>0</v>
      </c>
      <c r="F535" s="4">
        <v>0</v>
      </c>
      <c r="G535" s="4">
        <v>0</v>
      </c>
      <c r="H535" s="61" t="s">
        <v>837</v>
      </c>
      <c r="I535" s="17" t="s">
        <v>265</v>
      </c>
      <c r="J535" s="18">
        <v>68</v>
      </c>
      <c r="K535" s="18">
        <v>68</v>
      </c>
      <c r="L535" s="18">
        <v>68</v>
      </c>
    </row>
    <row r="536" spans="1:12" ht="51.75" thickBot="1" x14ac:dyDescent="0.3">
      <c r="A536" s="19" t="s">
        <v>838</v>
      </c>
      <c r="B536" s="60" t="s">
        <v>839</v>
      </c>
      <c r="C536" s="51" t="s">
        <v>139</v>
      </c>
      <c r="D536" s="20" t="s">
        <v>36</v>
      </c>
      <c r="E536" s="24">
        <v>46.4</v>
      </c>
      <c r="F536" s="24">
        <v>0</v>
      </c>
      <c r="G536" s="24">
        <v>0</v>
      </c>
      <c r="H536" s="60" t="s">
        <v>243</v>
      </c>
      <c r="I536" s="22" t="s">
        <v>22</v>
      </c>
      <c r="J536" s="23">
        <v>1</v>
      </c>
      <c r="K536" s="23"/>
      <c r="L536" s="23"/>
    </row>
    <row r="537" spans="1:12" ht="77.25" thickBot="1" x14ac:dyDescent="0.3">
      <c r="A537" s="19" t="s">
        <v>840</v>
      </c>
      <c r="B537" s="60" t="s">
        <v>841</v>
      </c>
      <c r="C537" s="51" t="s">
        <v>842</v>
      </c>
      <c r="D537" s="20" t="s">
        <v>27</v>
      </c>
      <c r="E537" s="24">
        <v>100</v>
      </c>
      <c r="F537" s="24">
        <v>60</v>
      </c>
      <c r="G537" s="24">
        <v>60</v>
      </c>
      <c r="H537" s="60" t="s">
        <v>843</v>
      </c>
      <c r="I537" s="22" t="s">
        <v>265</v>
      </c>
      <c r="J537" s="23">
        <v>5</v>
      </c>
      <c r="K537" s="23">
        <v>3</v>
      </c>
      <c r="L537" s="23">
        <v>3</v>
      </c>
    </row>
    <row r="538" spans="1:12" ht="77.25" thickBot="1" x14ac:dyDescent="0.3">
      <c r="A538" s="35" t="s">
        <v>844</v>
      </c>
      <c r="B538" s="71" t="s">
        <v>845</v>
      </c>
      <c r="C538" s="72" t="s">
        <v>846</v>
      </c>
      <c r="D538" s="73"/>
      <c r="E538" s="74">
        <f>SUM(E539:E539)</f>
        <v>49470.400000000001</v>
      </c>
      <c r="F538" s="74">
        <f>SUM(F539:F539)</f>
        <v>49252.400000000009</v>
      </c>
      <c r="G538" s="74">
        <f>SUM(G539:G539)</f>
        <v>47125.600000000006</v>
      </c>
      <c r="H538" s="57"/>
      <c r="I538" s="38"/>
      <c r="J538" s="39"/>
      <c r="K538" s="39"/>
      <c r="L538" s="39"/>
    </row>
    <row r="539" spans="1:12" ht="51" x14ac:dyDescent="0.25">
      <c r="A539" s="30" t="s">
        <v>847</v>
      </c>
      <c r="B539" s="58" t="s">
        <v>848</v>
      </c>
      <c r="C539" s="49"/>
      <c r="D539" s="31"/>
      <c r="E539" s="32">
        <f>E540+E541+E542+E594+E610+0.1</f>
        <v>49470.400000000001</v>
      </c>
      <c r="F539" s="32">
        <f>F540+F541+F542+F594+F610</f>
        <v>49252.400000000009</v>
      </c>
      <c r="G539" s="32">
        <f>G540+G541+G542+G594+G610</f>
        <v>47125.600000000006</v>
      </c>
      <c r="H539" s="58" t="s">
        <v>849</v>
      </c>
      <c r="I539" s="33" t="s">
        <v>18</v>
      </c>
      <c r="J539" s="34">
        <v>20.5</v>
      </c>
      <c r="K539" s="34">
        <v>20.5</v>
      </c>
      <c r="L539" s="34">
        <v>20.9</v>
      </c>
    </row>
    <row r="540" spans="1:12" ht="25.5" x14ac:dyDescent="0.25">
      <c r="A540" s="15"/>
      <c r="B540" s="61"/>
      <c r="C540" s="52"/>
      <c r="D540" s="16"/>
      <c r="E540" s="4">
        <v>0</v>
      </c>
      <c r="F540" s="4">
        <v>0</v>
      </c>
      <c r="G540" s="4">
        <v>0</v>
      </c>
      <c r="H540" s="61" t="s">
        <v>850</v>
      </c>
      <c r="I540" s="17" t="s">
        <v>18</v>
      </c>
      <c r="J540" s="18">
        <v>44.5</v>
      </c>
      <c r="K540" s="18">
        <v>44.5</v>
      </c>
      <c r="L540" s="18">
        <v>44.5</v>
      </c>
    </row>
    <row r="541" spans="1:12" ht="39" thickBot="1" x14ac:dyDescent="0.3">
      <c r="A541" s="15"/>
      <c r="B541" s="61"/>
      <c r="C541" s="52"/>
      <c r="D541" s="16"/>
      <c r="E541" s="4">
        <v>0</v>
      </c>
      <c r="F541" s="4">
        <v>0</v>
      </c>
      <c r="G541" s="4">
        <v>0</v>
      </c>
      <c r="H541" s="61" t="s">
        <v>851</v>
      </c>
      <c r="I541" s="17" t="s">
        <v>18</v>
      </c>
      <c r="J541" s="18">
        <v>16.7</v>
      </c>
      <c r="K541" s="18">
        <v>16.7</v>
      </c>
      <c r="L541" s="18">
        <v>16.7</v>
      </c>
    </row>
    <row r="542" spans="1:12" ht="26.25" thickBot="1" x14ac:dyDescent="0.3">
      <c r="A542" s="25" t="s">
        <v>852</v>
      </c>
      <c r="B542" s="59" t="s">
        <v>853</v>
      </c>
      <c r="C542" s="50"/>
      <c r="D542" s="26"/>
      <c r="E542" s="27">
        <f>E543+E547+E548+E552+E557+E566+E570+E573+E576+E578+E582+E586+E590</f>
        <v>11929.800000000001</v>
      </c>
      <c r="F542" s="27">
        <f>F543+F547+F548+F552+F557+F566+F570+F573+F576+F578+F582+F586+F590</f>
        <v>11370.599999999999</v>
      </c>
      <c r="G542" s="27">
        <f>G543+G547+G548+G552+G557+G566+G570+G573+G576+G578+G582+G586+G590</f>
        <v>11561.400000000001</v>
      </c>
      <c r="H542" s="59"/>
      <c r="I542" s="28"/>
      <c r="J542" s="29"/>
      <c r="K542" s="29"/>
      <c r="L542" s="29"/>
    </row>
    <row r="543" spans="1:12" ht="51" x14ac:dyDescent="0.25">
      <c r="A543" s="19" t="s">
        <v>854</v>
      </c>
      <c r="B543" s="60" t="s">
        <v>855</v>
      </c>
      <c r="C543" s="51" t="s">
        <v>856</v>
      </c>
      <c r="D543" s="20"/>
      <c r="E543" s="21">
        <f>SUM(E544:E546)</f>
        <v>2295.6</v>
      </c>
      <c r="F543" s="21">
        <f>SUM(F544:F546)</f>
        <v>2494.1</v>
      </c>
      <c r="G543" s="21">
        <f>SUM(G544:G546)</f>
        <v>2548.9</v>
      </c>
      <c r="H543" s="60" t="s">
        <v>857</v>
      </c>
      <c r="I543" s="22" t="s">
        <v>265</v>
      </c>
      <c r="J543" s="23">
        <v>3</v>
      </c>
      <c r="K543" s="23">
        <v>3</v>
      </c>
      <c r="L543" s="23">
        <v>3</v>
      </c>
    </row>
    <row r="544" spans="1:12" x14ac:dyDescent="0.25">
      <c r="A544" s="15"/>
      <c r="B544" s="61"/>
      <c r="C544" s="52"/>
      <c r="D544" s="16" t="s">
        <v>497</v>
      </c>
      <c r="E544" s="4">
        <v>1635.6</v>
      </c>
      <c r="F544" s="4">
        <v>1883.3</v>
      </c>
      <c r="G544" s="4">
        <v>1924.7</v>
      </c>
      <c r="H544" s="61" t="s">
        <v>858</v>
      </c>
      <c r="I544" s="17" t="s">
        <v>265</v>
      </c>
      <c r="J544" s="18">
        <v>610</v>
      </c>
      <c r="K544" s="18">
        <v>705</v>
      </c>
      <c r="L544" s="18">
        <v>780</v>
      </c>
    </row>
    <row r="545" spans="1:12" x14ac:dyDescent="0.25">
      <c r="A545" s="15"/>
      <c r="B545" s="61"/>
      <c r="C545" s="52"/>
      <c r="D545" s="16" t="s">
        <v>27</v>
      </c>
      <c r="E545" s="4">
        <v>600</v>
      </c>
      <c r="F545" s="4">
        <v>610.79999999999995</v>
      </c>
      <c r="G545" s="4">
        <v>624.20000000000005</v>
      </c>
      <c r="H545" s="61" t="s">
        <v>859</v>
      </c>
      <c r="I545" s="17" t="s">
        <v>265</v>
      </c>
      <c r="J545" s="18">
        <v>175</v>
      </c>
      <c r="K545" s="18">
        <v>200</v>
      </c>
      <c r="L545" s="18">
        <v>240</v>
      </c>
    </row>
    <row r="546" spans="1:12" ht="26.25" thickBot="1" x14ac:dyDescent="0.3">
      <c r="A546" s="15"/>
      <c r="B546" s="61"/>
      <c r="C546" s="52"/>
      <c r="D546" s="16" t="s">
        <v>36</v>
      </c>
      <c r="E546" s="4">
        <v>60</v>
      </c>
      <c r="F546" s="4">
        <v>0</v>
      </c>
      <c r="G546" s="4">
        <v>0</v>
      </c>
      <c r="H546" s="61" t="s">
        <v>860</v>
      </c>
      <c r="I546" s="17" t="s">
        <v>18</v>
      </c>
      <c r="J546" s="18">
        <v>100</v>
      </c>
      <c r="K546" s="18">
        <v>100</v>
      </c>
      <c r="L546" s="18">
        <v>100</v>
      </c>
    </row>
    <row r="547" spans="1:12" ht="39" thickBot="1" x14ac:dyDescent="0.3">
      <c r="A547" s="19" t="s">
        <v>861</v>
      </c>
      <c r="B547" s="60" t="s">
        <v>862</v>
      </c>
      <c r="C547" s="51" t="s">
        <v>856</v>
      </c>
      <c r="D547" s="20" t="s">
        <v>497</v>
      </c>
      <c r="E547" s="24">
        <v>144.80000000000001</v>
      </c>
      <c r="F547" s="24">
        <v>148.1</v>
      </c>
      <c r="G547" s="24">
        <v>151.4</v>
      </c>
      <c r="H547" s="60" t="s">
        <v>863</v>
      </c>
      <c r="I547" s="22" t="s">
        <v>265</v>
      </c>
      <c r="J547" s="23">
        <v>32</v>
      </c>
      <c r="K547" s="23">
        <v>32</v>
      </c>
      <c r="L547" s="23">
        <v>32</v>
      </c>
    </row>
    <row r="548" spans="1:12" ht="114.75" x14ac:dyDescent="0.25">
      <c r="A548" s="19" t="s">
        <v>864</v>
      </c>
      <c r="B548" s="60" t="s">
        <v>865</v>
      </c>
      <c r="C548" s="51" t="s">
        <v>866</v>
      </c>
      <c r="D548" s="20"/>
      <c r="E548" s="21">
        <f>SUM(E549:E551)</f>
        <v>257.89999999999998</v>
      </c>
      <c r="F548" s="21">
        <f>SUM(F549:F551)</f>
        <v>213.9</v>
      </c>
      <c r="G548" s="21">
        <f>SUM(G549:G551)</f>
        <v>216.9</v>
      </c>
      <c r="H548" s="60" t="s">
        <v>867</v>
      </c>
      <c r="I548" s="22" t="s">
        <v>18</v>
      </c>
      <c r="J548" s="23">
        <v>75</v>
      </c>
      <c r="K548" s="23">
        <v>80</v>
      </c>
      <c r="L548" s="23">
        <v>85</v>
      </c>
    </row>
    <row r="549" spans="1:12" ht="25.5" x14ac:dyDescent="0.25">
      <c r="A549" s="15"/>
      <c r="B549" s="61"/>
      <c r="C549" s="52"/>
      <c r="D549" s="16" t="s">
        <v>27</v>
      </c>
      <c r="E549" s="4">
        <v>75</v>
      </c>
      <c r="F549" s="4">
        <v>75</v>
      </c>
      <c r="G549" s="4">
        <v>75</v>
      </c>
      <c r="H549" s="61" t="s">
        <v>868</v>
      </c>
      <c r="I549" s="17" t="s">
        <v>18</v>
      </c>
      <c r="J549" s="18">
        <v>50</v>
      </c>
      <c r="K549" s="18">
        <v>60</v>
      </c>
      <c r="L549" s="18">
        <v>70</v>
      </c>
    </row>
    <row r="550" spans="1:12" ht="25.5" x14ac:dyDescent="0.25">
      <c r="A550" s="15"/>
      <c r="B550" s="61"/>
      <c r="C550" s="52"/>
      <c r="D550" s="16" t="s">
        <v>128</v>
      </c>
      <c r="E550" s="4">
        <v>136.5</v>
      </c>
      <c r="F550" s="4">
        <v>138.9</v>
      </c>
      <c r="G550" s="4">
        <v>141.9</v>
      </c>
      <c r="H550" s="61" t="s">
        <v>869</v>
      </c>
      <c r="I550" s="17" t="s">
        <v>18</v>
      </c>
      <c r="J550" s="18">
        <v>100</v>
      </c>
      <c r="K550" s="18">
        <v>100</v>
      </c>
      <c r="L550" s="18">
        <v>100</v>
      </c>
    </row>
    <row r="551" spans="1:12" ht="15.75" thickBot="1" x14ac:dyDescent="0.3">
      <c r="A551" s="15"/>
      <c r="B551" s="61"/>
      <c r="C551" s="52"/>
      <c r="D551" s="16" t="s">
        <v>36</v>
      </c>
      <c r="E551" s="4">
        <v>46.4</v>
      </c>
      <c r="F551" s="4"/>
      <c r="G551" s="4"/>
      <c r="H551" s="61"/>
      <c r="I551" s="17"/>
      <c r="J551" s="18"/>
      <c r="K551" s="18"/>
      <c r="L551" s="18"/>
    </row>
    <row r="552" spans="1:12" ht="25.5" x14ac:dyDescent="0.25">
      <c r="A552" s="19" t="s">
        <v>870</v>
      </c>
      <c r="B552" s="60" t="s">
        <v>871</v>
      </c>
      <c r="C552" s="51" t="s">
        <v>856</v>
      </c>
      <c r="D552" s="20"/>
      <c r="E552" s="21">
        <f>SUM(E553:E556)</f>
        <v>784.3</v>
      </c>
      <c r="F552" s="21">
        <f>SUM(F553:F556)</f>
        <v>757</v>
      </c>
      <c r="G552" s="21">
        <f>SUM(G553:G556)</f>
        <v>757</v>
      </c>
      <c r="H552" s="60" t="s">
        <v>857</v>
      </c>
      <c r="I552" s="22" t="s">
        <v>265</v>
      </c>
      <c r="J552" s="23">
        <v>9</v>
      </c>
      <c r="K552" s="23">
        <v>10</v>
      </c>
      <c r="L552" s="23">
        <v>10</v>
      </c>
    </row>
    <row r="553" spans="1:12" ht="25.5" x14ac:dyDescent="0.25">
      <c r="A553" s="15"/>
      <c r="B553" s="61"/>
      <c r="C553" s="52"/>
      <c r="D553" s="16" t="s">
        <v>497</v>
      </c>
      <c r="E553" s="4">
        <v>220</v>
      </c>
      <c r="F553" s="4">
        <v>220</v>
      </c>
      <c r="G553" s="4">
        <v>220</v>
      </c>
      <c r="H553" s="61" t="s">
        <v>872</v>
      </c>
      <c r="I553" s="17" t="s">
        <v>18</v>
      </c>
      <c r="J553" s="18">
        <v>100</v>
      </c>
      <c r="K553" s="18">
        <v>100</v>
      </c>
      <c r="L553" s="18">
        <v>100</v>
      </c>
    </row>
    <row r="554" spans="1:12" ht="25.5" x14ac:dyDescent="0.25">
      <c r="A554" s="15"/>
      <c r="B554" s="61"/>
      <c r="C554" s="52"/>
      <c r="D554" s="16" t="s">
        <v>27</v>
      </c>
      <c r="E554" s="4">
        <v>205</v>
      </c>
      <c r="F554" s="4">
        <v>205</v>
      </c>
      <c r="G554" s="4">
        <v>205</v>
      </c>
      <c r="H554" s="61" t="s">
        <v>873</v>
      </c>
      <c r="I554" s="17" t="s">
        <v>18</v>
      </c>
      <c r="J554" s="18">
        <v>100</v>
      </c>
      <c r="K554" s="18">
        <v>100</v>
      </c>
      <c r="L554" s="18">
        <v>100</v>
      </c>
    </row>
    <row r="555" spans="1:12" x14ac:dyDescent="0.25">
      <c r="A555" s="15"/>
      <c r="B555" s="61"/>
      <c r="C555" s="52"/>
      <c r="D555" s="16" t="s">
        <v>128</v>
      </c>
      <c r="E555" s="4">
        <v>331</v>
      </c>
      <c r="F555" s="4">
        <v>332</v>
      </c>
      <c r="G555" s="4">
        <v>332</v>
      </c>
      <c r="H555" s="61"/>
      <c r="I555" s="17"/>
      <c r="J555" s="18"/>
      <c r="K555" s="18"/>
      <c r="L555" s="18"/>
    </row>
    <row r="556" spans="1:12" ht="15.75" thickBot="1" x14ac:dyDescent="0.3">
      <c r="A556" s="15"/>
      <c r="B556" s="61"/>
      <c r="C556" s="52"/>
      <c r="D556" s="16" t="s">
        <v>36</v>
      </c>
      <c r="E556" s="4">
        <v>28.3</v>
      </c>
      <c r="F556" s="4"/>
      <c r="G556" s="4"/>
      <c r="H556" s="61"/>
      <c r="I556" s="17"/>
      <c r="J556" s="18"/>
      <c r="K556" s="18"/>
      <c r="L556" s="18"/>
    </row>
    <row r="557" spans="1:12" ht="191.25" x14ac:dyDescent="0.25">
      <c r="A557" s="19" t="s">
        <v>874</v>
      </c>
      <c r="B557" s="60" t="s">
        <v>875</v>
      </c>
      <c r="C557" s="51" t="s">
        <v>876</v>
      </c>
      <c r="D557" s="20"/>
      <c r="E557" s="21">
        <f>SUM(E558:E565)</f>
        <v>5928.5</v>
      </c>
      <c r="F557" s="21">
        <f>SUM(F558:F565)</f>
        <v>5914.8</v>
      </c>
      <c r="G557" s="21">
        <f>SUM(G558:G565)</f>
        <v>6007.7999999999993</v>
      </c>
      <c r="H557" s="60" t="s">
        <v>877</v>
      </c>
      <c r="I557" s="22" t="s">
        <v>265</v>
      </c>
      <c r="J557" s="23">
        <v>19</v>
      </c>
      <c r="K557" s="23">
        <v>19</v>
      </c>
      <c r="L557" s="23">
        <v>19</v>
      </c>
    </row>
    <row r="558" spans="1:12" ht="25.5" x14ac:dyDescent="0.25">
      <c r="A558" s="15"/>
      <c r="B558" s="61"/>
      <c r="C558" s="52"/>
      <c r="D558" s="16" t="s">
        <v>36</v>
      </c>
      <c r="E558" s="4">
        <v>59.6</v>
      </c>
      <c r="F558" s="4">
        <v>0</v>
      </c>
      <c r="G558" s="4">
        <v>0</v>
      </c>
      <c r="H558" s="61" t="s">
        <v>878</v>
      </c>
      <c r="I558" s="17" t="s">
        <v>265</v>
      </c>
      <c r="J558" s="63">
        <v>16300</v>
      </c>
      <c r="K558" s="63">
        <v>16600</v>
      </c>
      <c r="L558" s="63">
        <v>16900</v>
      </c>
    </row>
    <row r="559" spans="1:12" x14ac:dyDescent="0.25">
      <c r="A559" s="15"/>
      <c r="B559" s="61"/>
      <c r="C559" s="52"/>
      <c r="D559" s="16" t="s">
        <v>126</v>
      </c>
      <c r="E559" s="4">
        <v>223.1</v>
      </c>
      <c r="F559" s="4">
        <v>223.1</v>
      </c>
      <c r="G559" s="4">
        <v>228</v>
      </c>
      <c r="H559" s="61" t="s">
        <v>879</v>
      </c>
      <c r="I559" s="17" t="s">
        <v>265</v>
      </c>
      <c r="J559" s="18">
        <v>7</v>
      </c>
      <c r="K559" s="18">
        <v>7</v>
      </c>
      <c r="L559" s="18">
        <v>7</v>
      </c>
    </row>
    <row r="560" spans="1:12" x14ac:dyDescent="0.25">
      <c r="A560" s="15"/>
      <c r="B560" s="61"/>
      <c r="C560" s="52"/>
      <c r="D560" s="16" t="s">
        <v>132</v>
      </c>
      <c r="E560" s="4">
        <v>160.69999999999999</v>
      </c>
      <c r="F560" s="4">
        <v>106.5</v>
      </c>
      <c r="G560" s="4">
        <v>86.2</v>
      </c>
      <c r="H560" s="61" t="s">
        <v>880</v>
      </c>
      <c r="I560" s="17" t="s">
        <v>265</v>
      </c>
      <c r="J560" s="18">
        <v>450</v>
      </c>
      <c r="K560" s="18">
        <v>450</v>
      </c>
      <c r="L560" s="18">
        <v>450</v>
      </c>
    </row>
    <row r="561" spans="1:12" x14ac:dyDescent="0.25">
      <c r="A561" s="15"/>
      <c r="B561" s="61"/>
      <c r="C561" s="52"/>
      <c r="D561" s="16" t="s">
        <v>123</v>
      </c>
      <c r="E561" s="4">
        <v>535.79999999999995</v>
      </c>
      <c r="F561" s="4">
        <v>550.9</v>
      </c>
      <c r="G561" s="4">
        <v>566</v>
      </c>
      <c r="H561" s="61" t="s">
        <v>881</v>
      </c>
      <c r="I561" s="17" t="s">
        <v>265</v>
      </c>
      <c r="J561" s="18">
        <v>14</v>
      </c>
      <c r="K561" s="18">
        <v>14</v>
      </c>
      <c r="L561" s="18">
        <v>14</v>
      </c>
    </row>
    <row r="562" spans="1:12" x14ac:dyDescent="0.25">
      <c r="A562" s="15"/>
      <c r="B562" s="61"/>
      <c r="C562" s="52"/>
      <c r="D562" s="16" t="s">
        <v>130</v>
      </c>
      <c r="E562" s="4">
        <v>35.1</v>
      </c>
      <c r="F562" s="4">
        <v>35.299999999999997</v>
      </c>
      <c r="G562" s="4">
        <v>35.5</v>
      </c>
      <c r="H562" s="61" t="s">
        <v>882</v>
      </c>
      <c r="I562" s="17" t="s">
        <v>265</v>
      </c>
      <c r="J562" s="18">
        <v>420</v>
      </c>
      <c r="K562" s="18">
        <v>480</v>
      </c>
      <c r="L562" s="18">
        <v>500</v>
      </c>
    </row>
    <row r="563" spans="1:12" ht="25.5" x14ac:dyDescent="0.25">
      <c r="A563" s="15"/>
      <c r="B563" s="61"/>
      <c r="C563" s="52"/>
      <c r="D563" s="16" t="s">
        <v>128</v>
      </c>
      <c r="E563" s="4">
        <v>42.5</v>
      </c>
      <c r="F563" s="4">
        <v>16.5</v>
      </c>
      <c r="G563" s="4">
        <v>0</v>
      </c>
      <c r="H563" s="61" t="s">
        <v>883</v>
      </c>
      <c r="I563" s="17" t="s">
        <v>265</v>
      </c>
      <c r="J563" s="18">
        <v>5</v>
      </c>
      <c r="K563" s="18">
        <v>7</v>
      </c>
      <c r="L563" s="18">
        <v>7</v>
      </c>
    </row>
    <row r="564" spans="1:12" ht="25.5" x14ac:dyDescent="0.25">
      <c r="A564" s="15"/>
      <c r="B564" s="61"/>
      <c r="C564" s="52"/>
      <c r="D564" s="16" t="s">
        <v>27</v>
      </c>
      <c r="E564" s="4">
        <v>4166.2</v>
      </c>
      <c r="F564" s="4">
        <v>4264.3</v>
      </c>
      <c r="G564" s="4">
        <v>4358.2</v>
      </c>
      <c r="H564" s="61" t="s">
        <v>884</v>
      </c>
      <c r="I564" s="17" t="s">
        <v>265</v>
      </c>
      <c r="J564" s="18">
        <v>47</v>
      </c>
      <c r="K564" s="18">
        <v>140</v>
      </c>
      <c r="L564" s="18">
        <v>140</v>
      </c>
    </row>
    <row r="565" spans="1:12" ht="15.75" thickBot="1" x14ac:dyDescent="0.3">
      <c r="A565" s="15"/>
      <c r="B565" s="61"/>
      <c r="C565" s="52"/>
      <c r="D565" s="16" t="s">
        <v>497</v>
      </c>
      <c r="E565" s="4">
        <v>705.5</v>
      </c>
      <c r="F565" s="4">
        <v>718.2</v>
      </c>
      <c r="G565" s="4">
        <v>733.9</v>
      </c>
      <c r="H565" s="61"/>
      <c r="I565" s="17"/>
      <c r="J565" s="18"/>
      <c r="K565" s="18"/>
      <c r="L565" s="18"/>
    </row>
    <row r="566" spans="1:12" ht="25.5" x14ac:dyDescent="0.25">
      <c r="A566" s="19" t="s">
        <v>885</v>
      </c>
      <c r="B566" s="60" t="s">
        <v>886</v>
      </c>
      <c r="C566" s="51" t="s">
        <v>856</v>
      </c>
      <c r="D566" s="20" t="s">
        <v>27</v>
      </c>
      <c r="E566" s="21">
        <f>SUM(E567:E569)+791.6</f>
        <v>791.6</v>
      </c>
      <c r="F566" s="21">
        <f>SUM(F567:F569)+805.8</f>
        <v>805.8</v>
      </c>
      <c r="G566" s="21">
        <f>SUM(G567:G569)+823.6</f>
        <v>823.6</v>
      </c>
      <c r="H566" s="60" t="s">
        <v>887</v>
      </c>
      <c r="I566" s="22" t="s">
        <v>265</v>
      </c>
      <c r="J566" s="23">
        <v>213</v>
      </c>
      <c r="K566" s="23">
        <v>205</v>
      </c>
      <c r="L566" s="23">
        <v>205</v>
      </c>
    </row>
    <row r="567" spans="1:12" x14ac:dyDescent="0.25">
      <c r="A567" s="15"/>
      <c r="B567" s="61"/>
      <c r="C567" s="52"/>
      <c r="D567" s="16"/>
      <c r="E567" s="4">
        <v>0</v>
      </c>
      <c r="F567" s="4">
        <v>0</v>
      </c>
      <c r="G567" s="4">
        <v>0</v>
      </c>
      <c r="H567" s="61" t="s">
        <v>888</v>
      </c>
      <c r="I567" s="17" t="s">
        <v>265</v>
      </c>
      <c r="J567" s="18">
        <v>16</v>
      </c>
      <c r="K567" s="18">
        <v>14</v>
      </c>
      <c r="L567" s="18">
        <v>13</v>
      </c>
    </row>
    <row r="568" spans="1:12" ht="25.5" x14ac:dyDescent="0.25">
      <c r="A568" s="15"/>
      <c r="B568" s="61"/>
      <c r="C568" s="52"/>
      <c r="D568" s="16"/>
      <c r="E568" s="4">
        <v>0</v>
      </c>
      <c r="F568" s="4">
        <v>0</v>
      </c>
      <c r="G568" s="4">
        <v>0</v>
      </c>
      <c r="H568" s="61" t="s">
        <v>889</v>
      </c>
      <c r="I568" s="17" t="s">
        <v>265</v>
      </c>
      <c r="J568" s="18">
        <v>8</v>
      </c>
      <c r="K568" s="18">
        <v>8</v>
      </c>
      <c r="L568" s="18">
        <v>8</v>
      </c>
    </row>
    <row r="569" spans="1:12" ht="15.75" thickBot="1" x14ac:dyDescent="0.3">
      <c r="A569" s="15"/>
      <c r="B569" s="61"/>
      <c r="C569" s="52"/>
      <c r="D569" s="16"/>
      <c r="E569" s="4">
        <v>0</v>
      </c>
      <c r="F569" s="4">
        <v>0</v>
      </c>
      <c r="G569" s="4">
        <v>0</v>
      </c>
      <c r="H569" s="61" t="s">
        <v>890</v>
      </c>
      <c r="I569" s="17" t="s">
        <v>265</v>
      </c>
      <c r="J569" s="18">
        <v>1</v>
      </c>
      <c r="K569" s="18">
        <v>1</v>
      </c>
      <c r="L569" s="18"/>
    </row>
    <row r="570" spans="1:12" ht="25.5" x14ac:dyDescent="0.25">
      <c r="A570" s="19" t="s">
        <v>891</v>
      </c>
      <c r="B570" s="60" t="s">
        <v>892</v>
      </c>
      <c r="C570" s="51" t="s">
        <v>856</v>
      </c>
      <c r="D570" s="20"/>
      <c r="E570" s="21">
        <f>SUM(E571:E572)</f>
        <v>239.6</v>
      </c>
      <c r="F570" s="21">
        <f>SUM(F571:F572)</f>
        <v>243.89999999999998</v>
      </c>
      <c r="G570" s="21">
        <f>SUM(G571:G572)</f>
        <v>249.20000000000002</v>
      </c>
      <c r="H570" s="60" t="s">
        <v>893</v>
      </c>
      <c r="I570" s="22" t="s">
        <v>265</v>
      </c>
      <c r="J570" s="23">
        <v>14</v>
      </c>
      <c r="K570" s="23">
        <v>14</v>
      </c>
      <c r="L570" s="23">
        <v>14</v>
      </c>
    </row>
    <row r="571" spans="1:12" x14ac:dyDescent="0.25">
      <c r="A571" s="15"/>
      <c r="B571" s="61"/>
      <c r="C571" s="52"/>
      <c r="D571" s="16" t="s">
        <v>27</v>
      </c>
      <c r="E571" s="4">
        <v>50.4</v>
      </c>
      <c r="F571" s="4">
        <v>51.3</v>
      </c>
      <c r="G571" s="4">
        <v>52.4</v>
      </c>
      <c r="H571" s="61" t="s">
        <v>894</v>
      </c>
      <c r="I571" s="17" t="s">
        <v>265</v>
      </c>
      <c r="J571" s="18">
        <v>940</v>
      </c>
      <c r="K571" s="18">
        <v>940</v>
      </c>
      <c r="L571" s="18">
        <v>940</v>
      </c>
    </row>
    <row r="572" spans="1:12" ht="15.75" thickBot="1" x14ac:dyDescent="0.3">
      <c r="A572" s="15"/>
      <c r="B572" s="61"/>
      <c r="C572" s="52"/>
      <c r="D572" s="16" t="s">
        <v>128</v>
      </c>
      <c r="E572" s="4">
        <v>189.2</v>
      </c>
      <c r="F572" s="4">
        <v>192.6</v>
      </c>
      <c r="G572" s="4">
        <v>196.8</v>
      </c>
      <c r="H572" s="61"/>
      <c r="I572" s="17"/>
      <c r="J572" s="18"/>
      <c r="K572" s="18"/>
      <c r="L572" s="18"/>
    </row>
    <row r="573" spans="1:12" ht="25.5" x14ac:dyDescent="0.25">
      <c r="A573" s="19" t="s">
        <v>895</v>
      </c>
      <c r="B573" s="60" t="s">
        <v>896</v>
      </c>
      <c r="C573" s="51" t="s">
        <v>856</v>
      </c>
      <c r="D573" s="20"/>
      <c r="E573" s="21">
        <f>SUM(E574:E575)</f>
        <v>266.8</v>
      </c>
      <c r="F573" s="21">
        <f>SUM(F574:F575)</f>
        <v>268.10000000000002</v>
      </c>
      <c r="G573" s="21">
        <f>SUM(G574:G575)</f>
        <v>270.10000000000002</v>
      </c>
      <c r="H573" s="60" t="s">
        <v>897</v>
      </c>
      <c r="I573" s="22" t="s">
        <v>265</v>
      </c>
      <c r="J573" s="23">
        <v>240</v>
      </c>
      <c r="K573" s="23">
        <v>250</v>
      </c>
      <c r="L573" s="23">
        <v>260</v>
      </c>
    </row>
    <row r="574" spans="1:12" ht="38.25" x14ac:dyDescent="0.25">
      <c r="A574" s="15"/>
      <c r="B574" s="61"/>
      <c r="C574" s="52"/>
      <c r="D574" s="16" t="s">
        <v>126</v>
      </c>
      <c r="E574" s="4">
        <v>182.5</v>
      </c>
      <c r="F574" s="4">
        <v>182.5</v>
      </c>
      <c r="G574" s="4">
        <v>182.5</v>
      </c>
      <c r="H574" s="61" t="s">
        <v>898</v>
      </c>
      <c r="I574" s="17" t="s">
        <v>18</v>
      </c>
      <c r="J574" s="18">
        <v>25</v>
      </c>
      <c r="K574" s="18">
        <v>30</v>
      </c>
      <c r="L574" s="18">
        <v>35</v>
      </c>
    </row>
    <row r="575" spans="1:12" ht="26.25" thickBot="1" x14ac:dyDescent="0.3">
      <c r="A575" s="15"/>
      <c r="B575" s="61"/>
      <c r="C575" s="52"/>
      <c r="D575" s="16" t="s">
        <v>27</v>
      </c>
      <c r="E575" s="4">
        <v>84.3</v>
      </c>
      <c r="F575" s="4">
        <v>85.6</v>
      </c>
      <c r="G575" s="4">
        <v>87.6</v>
      </c>
      <c r="H575" s="61" t="s">
        <v>899</v>
      </c>
      <c r="I575" s="17" t="s">
        <v>18</v>
      </c>
      <c r="J575" s="18">
        <v>55</v>
      </c>
      <c r="K575" s="18">
        <v>60</v>
      </c>
      <c r="L575" s="18">
        <v>60</v>
      </c>
    </row>
    <row r="576" spans="1:12" ht="63.75" x14ac:dyDescent="0.25">
      <c r="A576" s="19" t="s">
        <v>900</v>
      </c>
      <c r="B576" s="60" t="s">
        <v>901</v>
      </c>
      <c r="C576" s="51" t="s">
        <v>902</v>
      </c>
      <c r="D576" s="20" t="s">
        <v>27</v>
      </c>
      <c r="E576" s="21">
        <f>SUM(E577:E577)+200</f>
        <v>200</v>
      </c>
      <c r="F576" s="21">
        <f>SUM(F577:F577)+203.6</f>
        <v>203.6</v>
      </c>
      <c r="G576" s="21">
        <f>SUM(G577:G577)+208.1</f>
        <v>208.1</v>
      </c>
      <c r="H576" s="60" t="s">
        <v>903</v>
      </c>
      <c r="I576" s="22" t="s">
        <v>265</v>
      </c>
      <c r="J576" s="23">
        <v>800</v>
      </c>
      <c r="K576" s="23">
        <v>800</v>
      </c>
      <c r="L576" s="23">
        <v>800</v>
      </c>
    </row>
    <row r="577" spans="1:12" ht="26.25" thickBot="1" x14ac:dyDescent="0.3">
      <c r="A577" s="15"/>
      <c r="B577" s="61"/>
      <c r="C577" s="52"/>
      <c r="D577" s="16"/>
      <c r="E577" s="4">
        <v>0</v>
      </c>
      <c r="F577" s="4">
        <v>0</v>
      </c>
      <c r="G577" s="4">
        <v>0</v>
      </c>
      <c r="H577" s="61" t="s">
        <v>904</v>
      </c>
      <c r="I577" s="17" t="s">
        <v>18</v>
      </c>
      <c r="J577" s="18">
        <v>100</v>
      </c>
      <c r="K577" s="18">
        <v>100</v>
      </c>
      <c r="L577" s="18">
        <v>100</v>
      </c>
    </row>
    <row r="578" spans="1:12" ht="140.25" x14ac:dyDescent="0.25">
      <c r="A578" s="19" t="s">
        <v>905</v>
      </c>
      <c r="B578" s="60" t="s">
        <v>906</v>
      </c>
      <c r="C578" s="51" t="s">
        <v>907</v>
      </c>
      <c r="D578" s="20"/>
      <c r="E578" s="21">
        <f>SUM(E579:E581)</f>
        <v>164.3</v>
      </c>
      <c r="F578" s="21">
        <f>SUM(F579:F581)</f>
        <v>0</v>
      </c>
      <c r="G578" s="21">
        <f>SUM(G579:G581)</f>
        <v>0</v>
      </c>
      <c r="H578" s="60" t="s">
        <v>908</v>
      </c>
      <c r="I578" s="22" t="s">
        <v>18</v>
      </c>
      <c r="J578" s="23">
        <v>95</v>
      </c>
      <c r="K578" s="23"/>
      <c r="L578" s="23"/>
    </row>
    <row r="579" spans="1:12" x14ac:dyDescent="0.25">
      <c r="A579" s="15"/>
      <c r="B579" s="61"/>
      <c r="C579" s="52"/>
      <c r="D579" s="16" t="s">
        <v>36</v>
      </c>
      <c r="E579" s="4">
        <v>14.2</v>
      </c>
      <c r="F579" s="4">
        <v>0</v>
      </c>
      <c r="G579" s="4">
        <v>0</v>
      </c>
      <c r="H579" s="61" t="s">
        <v>894</v>
      </c>
      <c r="I579" s="17" t="s">
        <v>265</v>
      </c>
      <c r="J579" s="18">
        <v>230</v>
      </c>
      <c r="K579" s="18"/>
      <c r="L579" s="18"/>
    </row>
    <row r="580" spans="1:12" x14ac:dyDescent="0.25">
      <c r="A580" s="15"/>
      <c r="B580" s="61"/>
      <c r="C580" s="52"/>
      <c r="D580" s="16" t="s">
        <v>169</v>
      </c>
      <c r="E580" s="4">
        <v>0.1</v>
      </c>
      <c r="F580" s="4"/>
      <c r="G580" s="4"/>
      <c r="H580" s="61"/>
      <c r="I580" s="17"/>
      <c r="J580" s="18"/>
      <c r="K580" s="18"/>
      <c r="L580" s="18"/>
    </row>
    <row r="581" spans="1:12" ht="15.75" thickBot="1" x14ac:dyDescent="0.3">
      <c r="A581" s="15"/>
      <c r="B581" s="61"/>
      <c r="C581" s="52"/>
      <c r="D581" s="16" t="s">
        <v>27</v>
      </c>
      <c r="E581" s="4">
        <v>150</v>
      </c>
      <c r="F581" s="4"/>
      <c r="G581" s="4"/>
      <c r="H581" s="61"/>
      <c r="I581" s="17"/>
      <c r="J581" s="18"/>
      <c r="K581" s="18"/>
      <c r="L581" s="18"/>
    </row>
    <row r="582" spans="1:12" ht="51" x14ac:dyDescent="0.25">
      <c r="A582" s="19" t="s">
        <v>909</v>
      </c>
      <c r="B582" s="60" t="s">
        <v>910</v>
      </c>
      <c r="C582" s="51" t="s">
        <v>911</v>
      </c>
      <c r="D582" s="20"/>
      <c r="E582" s="21">
        <f>SUM(E583:E585)</f>
        <v>283.60000000000002</v>
      </c>
      <c r="F582" s="21">
        <f>SUM(F583:F585)</f>
        <v>0</v>
      </c>
      <c r="G582" s="21">
        <f>SUM(G583:G585)</f>
        <v>0</v>
      </c>
      <c r="H582" s="60" t="s">
        <v>894</v>
      </c>
      <c r="I582" s="22" t="s">
        <v>265</v>
      </c>
      <c r="J582" s="23">
        <v>385</v>
      </c>
      <c r="K582" s="23"/>
      <c r="L582" s="23"/>
    </row>
    <row r="583" spans="1:12" x14ac:dyDescent="0.25">
      <c r="A583" s="15"/>
      <c r="B583" s="61"/>
      <c r="C583" s="52"/>
      <c r="D583" s="16" t="s">
        <v>36</v>
      </c>
      <c r="E583" s="4">
        <v>3.1</v>
      </c>
      <c r="F583" s="4">
        <v>0</v>
      </c>
      <c r="G583" s="4">
        <v>0</v>
      </c>
      <c r="H583" s="61"/>
      <c r="I583" s="17"/>
      <c r="J583" s="18"/>
      <c r="K583" s="18"/>
      <c r="L583" s="18"/>
    </row>
    <row r="584" spans="1:12" x14ac:dyDescent="0.25">
      <c r="A584" s="15"/>
      <c r="B584" s="61"/>
      <c r="C584" s="52"/>
      <c r="D584" s="16" t="s">
        <v>169</v>
      </c>
      <c r="E584" s="4">
        <v>274</v>
      </c>
      <c r="F584" s="4">
        <v>0</v>
      </c>
      <c r="G584" s="4">
        <v>0</v>
      </c>
      <c r="H584" s="61"/>
      <c r="I584" s="17"/>
      <c r="J584" s="18"/>
      <c r="K584" s="18"/>
      <c r="L584" s="18"/>
    </row>
    <row r="585" spans="1:12" ht="15.75" thickBot="1" x14ac:dyDescent="0.3">
      <c r="A585" s="15"/>
      <c r="B585" s="61"/>
      <c r="C585" s="52"/>
      <c r="D585" s="16" t="s">
        <v>27</v>
      </c>
      <c r="E585" s="4">
        <v>6.5</v>
      </c>
      <c r="F585" s="4">
        <v>0</v>
      </c>
      <c r="G585" s="4">
        <v>0</v>
      </c>
      <c r="H585" s="61"/>
      <c r="I585" s="17"/>
      <c r="J585" s="18"/>
      <c r="K585" s="18"/>
      <c r="L585" s="18"/>
    </row>
    <row r="586" spans="1:12" ht="51" x14ac:dyDescent="0.25">
      <c r="A586" s="19" t="s">
        <v>912</v>
      </c>
      <c r="B586" s="60" t="s">
        <v>913</v>
      </c>
      <c r="C586" s="51" t="s">
        <v>911</v>
      </c>
      <c r="D586" s="20"/>
      <c r="E586" s="21">
        <f>SUM(E587:E589)</f>
        <v>257.2</v>
      </c>
      <c r="F586" s="21">
        <f>SUM(F587:F589)</f>
        <v>0</v>
      </c>
      <c r="G586" s="21">
        <f>SUM(G587:G589)</f>
        <v>0</v>
      </c>
      <c r="H586" s="60" t="s">
        <v>914</v>
      </c>
      <c r="I586" s="22" t="s">
        <v>22</v>
      </c>
      <c r="J586" s="23">
        <v>1</v>
      </c>
      <c r="K586" s="23"/>
      <c r="L586" s="23"/>
    </row>
    <row r="587" spans="1:12" ht="25.5" x14ac:dyDescent="0.25">
      <c r="A587" s="15"/>
      <c r="B587" s="61"/>
      <c r="C587" s="52"/>
      <c r="D587" s="16" t="s">
        <v>27</v>
      </c>
      <c r="E587" s="4">
        <v>204.1</v>
      </c>
      <c r="F587" s="4">
        <v>0</v>
      </c>
      <c r="G587" s="4">
        <v>0</v>
      </c>
      <c r="H587" s="61" t="s">
        <v>915</v>
      </c>
      <c r="I587" s="17" t="s">
        <v>22</v>
      </c>
      <c r="J587" s="18">
        <v>1</v>
      </c>
      <c r="K587" s="18"/>
      <c r="L587" s="18"/>
    </row>
    <row r="588" spans="1:12" x14ac:dyDescent="0.25">
      <c r="A588" s="15"/>
      <c r="B588" s="61"/>
      <c r="C588" s="52"/>
      <c r="D588" s="16" t="s">
        <v>36</v>
      </c>
      <c r="E588" s="4">
        <v>53.1</v>
      </c>
      <c r="F588" s="4">
        <v>0</v>
      </c>
      <c r="G588" s="4">
        <v>0</v>
      </c>
      <c r="H588" s="61" t="s">
        <v>916</v>
      </c>
      <c r="I588" s="17" t="s">
        <v>22</v>
      </c>
      <c r="J588" s="18">
        <v>70</v>
      </c>
      <c r="K588" s="18"/>
      <c r="L588" s="18"/>
    </row>
    <row r="589" spans="1:12" ht="26.25" thickBot="1" x14ac:dyDescent="0.3">
      <c r="A589" s="15"/>
      <c r="B589" s="61"/>
      <c r="C589" s="52"/>
      <c r="D589" s="16"/>
      <c r="E589" s="4">
        <v>0</v>
      </c>
      <c r="F589" s="4">
        <v>0</v>
      </c>
      <c r="G589" s="4">
        <v>0</v>
      </c>
      <c r="H589" s="61" t="s">
        <v>917</v>
      </c>
      <c r="I589" s="17" t="s">
        <v>22</v>
      </c>
      <c r="J589" s="18">
        <v>1</v>
      </c>
      <c r="K589" s="18"/>
      <c r="L589" s="18"/>
    </row>
    <row r="590" spans="1:12" ht="114.75" x14ac:dyDescent="0.25">
      <c r="A590" s="19" t="s">
        <v>918</v>
      </c>
      <c r="B590" s="60" t="s">
        <v>919</v>
      </c>
      <c r="C590" s="51" t="s">
        <v>920</v>
      </c>
      <c r="D590" s="20" t="s">
        <v>27</v>
      </c>
      <c r="E590" s="21">
        <f>SUM(E591:E593)+315.6</f>
        <v>315.60000000000002</v>
      </c>
      <c r="F590" s="21">
        <f>SUM(F591:F593)+321.3</f>
        <v>321.3</v>
      </c>
      <c r="G590" s="21">
        <f>SUM(G591:G593)+328.4</f>
        <v>328.4</v>
      </c>
      <c r="H590" s="60" t="s">
        <v>921</v>
      </c>
      <c r="I590" s="22" t="s">
        <v>265</v>
      </c>
      <c r="J590" s="23">
        <v>8</v>
      </c>
      <c r="K590" s="23">
        <v>8</v>
      </c>
      <c r="L590" s="23">
        <v>8</v>
      </c>
    </row>
    <row r="591" spans="1:12" x14ac:dyDescent="0.25">
      <c r="A591" s="15"/>
      <c r="B591" s="61"/>
      <c r="C591" s="52"/>
      <c r="D591" s="16"/>
      <c r="E591" s="4">
        <v>0</v>
      </c>
      <c r="F591" s="4">
        <v>0</v>
      </c>
      <c r="G591" s="4">
        <v>0</v>
      </c>
      <c r="H591" s="61" t="s">
        <v>922</v>
      </c>
      <c r="I591" s="17" t="s">
        <v>265</v>
      </c>
      <c r="J591" s="18">
        <v>40</v>
      </c>
      <c r="K591" s="18">
        <v>40</v>
      </c>
      <c r="L591" s="18">
        <v>40</v>
      </c>
    </row>
    <row r="592" spans="1:12" x14ac:dyDescent="0.25">
      <c r="A592" s="15"/>
      <c r="B592" s="61"/>
      <c r="C592" s="52"/>
      <c r="D592" s="16"/>
      <c r="E592" s="4">
        <v>0</v>
      </c>
      <c r="F592" s="4">
        <v>0</v>
      </c>
      <c r="G592" s="4">
        <v>0</v>
      </c>
      <c r="H592" s="61" t="s">
        <v>923</v>
      </c>
      <c r="I592" s="17" t="s">
        <v>265</v>
      </c>
      <c r="J592" s="18">
        <v>30</v>
      </c>
      <c r="K592" s="18">
        <v>30</v>
      </c>
      <c r="L592" s="18">
        <v>30</v>
      </c>
    </row>
    <row r="593" spans="1:12" ht="15.75" thickBot="1" x14ac:dyDescent="0.3">
      <c r="A593" s="15"/>
      <c r="B593" s="61"/>
      <c r="C593" s="52"/>
      <c r="D593" s="16"/>
      <c r="E593" s="4">
        <v>0</v>
      </c>
      <c r="F593" s="4">
        <v>0</v>
      </c>
      <c r="G593" s="4">
        <v>0</v>
      </c>
      <c r="H593" s="61" t="s">
        <v>924</v>
      </c>
      <c r="I593" s="17" t="s">
        <v>265</v>
      </c>
      <c r="J593" s="18">
        <v>200</v>
      </c>
      <c r="K593" s="18">
        <v>200</v>
      </c>
      <c r="L593" s="18">
        <v>200</v>
      </c>
    </row>
    <row r="594" spans="1:12" ht="51.75" thickBot="1" x14ac:dyDescent="0.3">
      <c r="A594" s="25" t="s">
        <v>925</v>
      </c>
      <c r="B594" s="59" t="s">
        <v>926</v>
      </c>
      <c r="C594" s="50"/>
      <c r="D594" s="26"/>
      <c r="E594" s="27">
        <f>E595+E596+E600+E601+E605+E609</f>
        <v>2541.4</v>
      </c>
      <c r="F594" s="27">
        <f>F595+F596+F600+F601+F605+F609</f>
        <v>3424.7</v>
      </c>
      <c r="G594" s="27">
        <f>G595+G596+G600+G601+G605+G609</f>
        <v>1070</v>
      </c>
      <c r="H594" s="59"/>
      <c r="I594" s="28"/>
      <c r="J594" s="29"/>
      <c r="K594" s="29"/>
      <c r="L594" s="29"/>
    </row>
    <row r="595" spans="1:12" ht="102.75" thickBot="1" x14ac:dyDescent="0.3">
      <c r="A595" s="19" t="s">
        <v>927</v>
      </c>
      <c r="B595" s="60" t="s">
        <v>928</v>
      </c>
      <c r="C595" s="51" t="s">
        <v>929</v>
      </c>
      <c r="D595" s="20" t="s">
        <v>36</v>
      </c>
      <c r="E595" s="24">
        <v>180.5</v>
      </c>
      <c r="F595" s="24">
        <v>0</v>
      </c>
      <c r="G595" s="24">
        <v>0</v>
      </c>
      <c r="H595" s="60" t="s">
        <v>1153</v>
      </c>
      <c r="I595" s="22" t="s">
        <v>18</v>
      </c>
      <c r="J595" s="23">
        <v>100</v>
      </c>
      <c r="K595" s="23"/>
      <c r="L595" s="23"/>
    </row>
    <row r="596" spans="1:12" ht="102" x14ac:dyDescent="0.25">
      <c r="A596" s="19" t="s">
        <v>930</v>
      </c>
      <c r="B596" s="60" t="s">
        <v>931</v>
      </c>
      <c r="C596" s="51" t="s">
        <v>929</v>
      </c>
      <c r="D596" s="20"/>
      <c r="E596" s="21">
        <f>SUM(E597:E599)</f>
        <v>29.4</v>
      </c>
      <c r="F596" s="21">
        <f>SUM(F597:F599)</f>
        <v>870.6</v>
      </c>
      <c r="G596" s="21">
        <f>SUM(G597:G599)</f>
        <v>0</v>
      </c>
      <c r="H596" s="60" t="s">
        <v>767</v>
      </c>
      <c r="I596" s="22" t="s">
        <v>22</v>
      </c>
      <c r="J596" s="23">
        <v>1</v>
      </c>
      <c r="K596" s="23"/>
      <c r="L596" s="23"/>
    </row>
    <row r="597" spans="1:12" ht="25.5" x14ac:dyDescent="0.25">
      <c r="A597" s="15"/>
      <c r="B597" s="61"/>
      <c r="C597" s="52"/>
      <c r="D597" s="16" t="s">
        <v>27</v>
      </c>
      <c r="E597" s="4">
        <v>29.4</v>
      </c>
      <c r="F597" s="4">
        <v>393.1</v>
      </c>
      <c r="G597" s="4">
        <v>0</v>
      </c>
      <c r="H597" s="61" t="s">
        <v>748</v>
      </c>
      <c r="I597" s="17" t="s">
        <v>22</v>
      </c>
      <c r="J597" s="18"/>
      <c r="K597" s="18">
        <v>1</v>
      </c>
      <c r="L597" s="18"/>
    </row>
    <row r="598" spans="1:12" x14ac:dyDescent="0.25">
      <c r="A598" s="15"/>
      <c r="B598" s="61"/>
      <c r="C598" s="52"/>
      <c r="D598" s="16" t="s">
        <v>126</v>
      </c>
      <c r="E598" s="4"/>
      <c r="F598" s="4">
        <v>110.2</v>
      </c>
      <c r="G598" s="4"/>
      <c r="H598" s="61"/>
      <c r="I598" s="17"/>
      <c r="J598" s="18"/>
      <c r="K598" s="18"/>
      <c r="L598" s="18"/>
    </row>
    <row r="599" spans="1:12" ht="15.75" thickBot="1" x14ac:dyDescent="0.3">
      <c r="A599" s="15"/>
      <c r="B599" s="61"/>
      <c r="C599" s="52"/>
      <c r="D599" s="16" t="s">
        <v>147</v>
      </c>
      <c r="E599" s="4"/>
      <c r="F599" s="4">
        <v>367.3</v>
      </c>
      <c r="G599" s="4"/>
      <c r="H599" s="61"/>
      <c r="I599" s="17"/>
      <c r="J599" s="18"/>
      <c r="K599" s="18"/>
      <c r="L599" s="18"/>
    </row>
    <row r="600" spans="1:12" ht="77.25" thickBot="1" x14ac:dyDescent="0.3">
      <c r="A600" s="19" t="s">
        <v>932</v>
      </c>
      <c r="B600" s="60" t="s">
        <v>933</v>
      </c>
      <c r="C600" s="51" t="s">
        <v>934</v>
      </c>
      <c r="D600" s="20" t="s">
        <v>27</v>
      </c>
      <c r="E600" s="24">
        <v>0</v>
      </c>
      <c r="F600" s="24">
        <v>1930</v>
      </c>
      <c r="G600" s="24">
        <v>1070</v>
      </c>
      <c r="H600" s="60" t="s">
        <v>324</v>
      </c>
      <c r="I600" s="22" t="s">
        <v>18</v>
      </c>
      <c r="J600" s="23"/>
      <c r="K600" s="23">
        <v>50</v>
      </c>
      <c r="L600" s="23">
        <v>100</v>
      </c>
    </row>
    <row r="601" spans="1:12" ht="51" x14ac:dyDescent="0.25">
      <c r="A601" s="19" t="s">
        <v>935</v>
      </c>
      <c r="B601" s="60" t="s">
        <v>936</v>
      </c>
      <c r="C601" s="51" t="s">
        <v>139</v>
      </c>
      <c r="D601" s="20"/>
      <c r="E601" s="21">
        <f>SUM(E602:E604)</f>
        <v>1938.6000000000001</v>
      </c>
      <c r="F601" s="21">
        <f>SUM(F602:F604)</f>
        <v>624.1</v>
      </c>
      <c r="G601" s="21">
        <f>SUM(G602:G604)</f>
        <v>0</v>
      </c>
      <c r="H601" s="60" t="s">
        <v>937</v>
      </c>
      <c r="I601" s="22" t="s">
        <v>22</v>
      </c>
      <c r="J601" s="23">
        <v>1</v>
      </c>
      <c r="K601" s="23"/>
      <c r="L601" s="23"/>
    </row>
    <row r="602" spans="1:12" x14ac:dyDescent="0.25">
      <c r="A602" s="15"/>
      <c r="B602" s="61"/>
      <c r="C602" s="52"/>
      <c r="D602" s="16" t="s">
        <v>36</v>
      </c>
      <c r="E602" s="4">
        <v>69.7</v>
      </c>
      <c r="F602" s="4">
        <v>0</v>
      </c>
      <c r="G602" s="4">
        <v>0</v>
      </c>
      <c r="H602" s="61" t="s">
        <v>324</v>
      </c>
      <c r="I602" s="17" t="s">
        <v>18</v>
      </c>
      <c r="J602" s="18">
        <v>50</v>
      </c>
      <c r="K602" s="18">
        <v>100</v>
      </c>
      <c r="L602" s="18"/>
    </row>
    <row r="603" spans="1:12" ht="25.5" x14ac:dyDescent="0.25">
      <c r="A603" s="15"/>
      <c r="B603" s="61"/>
      <c r="C603" s="52"/>
      <c r="D603" s="16" t="s">
        <v>27</v>
      </c>
      <c r="E603" s="4">
        <v>4.2</v>
      </c>
      <c r="F603" s="4">
        <v>4.2</v>
      </c>
      <c r="G603" s="4">
        <v>0</v>
      </c>
      <c r="H603" s="61" t="s">
        <v>938</v>
      </c>
      <c r="I603" s="17" t="s">
        <v>22</v>
      </c>
      <c r="J603" s="18"/>
      <c r="K603" s="18">
        <v>4</v>
      </c>
      <c r="L603" s="18"/>
    </row>
    <row r="604" spans="1:12" ht="15.75" thickBot="1" x14ac:dyDescent="0.3">
      <c r="A604" s="15"/>
      <c r="B604" s="61"/>
      <c r="C604" s="52"/>
      <c r="D604" s="16" t="s">
        <v>169</v>
      </c>
      <c r="E604" s="4">
        <v>1864.7</v>
      </c>
      <c r="F604" s="4">
        <v>619.9</v>
      </c>
      <c r="G604" s="4"/>
      <c r="H604" s="61"/>
      <c r="I604" s="17"/>
      <c r="J604" s="18"/>
      <c r="K604" s="18"/>
      <c r="L604" s="18"/>
    </row>
    <row r="605" spans="1:12" ht="51" x14ac:dyDescent="0.25">
      <c r="A605" s="19" t="s">
        <v>939</v>
      </c>
      <c r="B605" s="60" t="s">
        <v>940</v>
      </c>
      <c r="C605" s="51" t="s">
        <v>911</v>
      </c>
      <c r="D605" s="20"/>
      <c r="E605" s="21">
        <f>SUM(E606:E608)</f>
        <v>342.90000000000003</v>
      </c>
      <c r="F605" s="21">
        <f>SUM(F606:F608)</f>
        <v>0</v>
      </c>
      <c r="G605" s="21">
        <f>SUM(G606:G608)</f>
        <v>0</v>
      </c>
      <c r="H605" s="60" t="s">
        <v>914</v>
      </c>
      <c r="I605" s="22" t="s">
        <v>22</v>
      </c>
      <c r="J605" s="23">
        <v>1</v>
      </c>
      <c r="K605" s="23"/>
      <c r="L605" s="23"/>
    </row>
    <row r="606" spans="1:12" ht="25.5" x14ac:dyDescent="0.25">
      <c r="A606" s="15"/>
      <c r="B606" s="61"/>
      <c r="C606" s="52"/>
      <c r="D606" s="16" t="s">
        <v>36</v>
      </c>
      <c r="E606" s="4">
        <v>6.6</v>
      </c>
      <c r="F606" s="4">
        <v>0</v>
      </c>
      <c r="G606" s="4">
        <v>0</v>
      </c>
      <c r="H606" s="61" t="s">
        <v>941</v>
      </c>
      <c r="I606" s="17" t="s">
        <v>22</v>
      </c>
      <c r="J606" s="18">
        <v>2</v>
      </c>
      <c r="K606" s="18"/>
      <c r="L606" s="18"/>
    </row>
    <row r="607" spans="1:12" x14ac:dyDescent="0.25">
      <c r="A607" s="15"/>
      <c r="B607" s="61"/>
      <c r="C607" s="52"/>
      <c r="D607" s="16" t="s">
        <v>169</v>
      </c>
      <c r="E607" s="4">
        <v>285.3</v>
      </c>
      <c r="F607" s="4"/>
      <c r="G607" s="4"/>
      <c r="H607" s="61"/>
      <c r="I607" s="17"/>
      <c r="J607" s="18"/>
      <c r="K607" s="18"/>
      <c r="L607" s="18"/>
    </row>
    <row r="608" spans="1:12" ht="15.75" thickBot="1" x14ac:dyDescent="0.3">
      <c r="A608" s="15"/>
      <c r="B608" s="61"/>
      <c r="C608" s="52"/>
      <c r="D608" s="16" t="s">
        <v>27</v>
      </c>
      <c r="E608" s="4">
        <v>51</v>
      </c>
      <c r="F608" s="4"/>
      <c r="G608" s="4"/>
      <c r="H608" s="61"/>
      <c r="I608" s="17"/>
      <c r="J608" s="18"/>
      <c r="K608" s="18"/>
      <c r="L608" s="18"/>
    </row>
    <row r="609" spans="1:12" ht="90" thickBot="1" x14ac:dyDescent="0.3">
      <c r="A609" s="19" t="s">
        <v>942</v>
      </c>
      <c r="B609" s="60" t="s">
        <v>943</v>
      </c>
      <c r="C609" s="51" t="s">
        <v>944</v>
      </c>
      <c r="D609" s="20" t="s">
        <v>36</v>
      </c>
      <c r="E609" s="24">
        <v>50</v>
      </c>
      <c r="F609" s="24">
        <v>0</v>
      </c>
      <c r="G609" s="24">
        <v>0</v>
      </c>
      <c r="H609" s="60"/>
      <c r="I609" s="22"/>
      <c r="J609" s="23"/>
      <c r="K609" s="23"/>
      <c r="L609" s="23"/>
    </row>
    <row r="610" spans="1:12" ht="26.25" thickBot="1" x14ac:dyDescent="0.3">
      <c r="A610" s="25" t="s">
        <v>945</v>
      </c>
      <c r="B610" s="59" t="s">
        <v>946</v>
      </c>
      <c r="C610" s="50"/>
      <c r="D610" s="26"/>
      <c r="E610" s="27">
        <f>E611+E616+E618+E620+E621+E622+E623+E624</f>
        <v>34999.1</v>
      </c>
      <c r="F610" s="27">
        <f>F611+F616+F618+F620+F621+F622+F623+F624</f>
        <v>34457.100000000006</v>
      </c>
      <c r="G610" s="27">
        <f>G611+G616+G618+G620+G621+G622+G623+G624</f>
        <v>34494.200000000004</v>
      </c>
      <c r="H610" s="59"/>
      <c r="I610" s="28"/>
      <c r="J610" s="29"/>
      <c r="K610" s="29"/>
      <c r="L610" s="29"/>
    </row>
    <row r="611" spans="1:12" ht="38.25" x14ac:dyDescent="0.25">
      <c r="A611" s="19" t="s">
        <v>947</v>
      </c>
      <c r="B611" s="60" t="s">
        <v>948</v>
      </c>
      <c r="C611" s="51" t="s">
        <v>949</v>
      </c>
      <c r="D611" s="20"/>
      <c r="E611" s="21">
        <f>SUM(E612:E615)</f>
        <v>4016</v>
      </c>
      <c r="F611" s="21">
        <f>SUM(F612:F615)</f>
        <v>3446.7</v>
      </c>
      <c r="G611" s="21">
        <f>SUM(G612:G615)</f>
        <v>3446.7</v>
      </c>
      <c r="H611" s="60" t="s">
        <v>950</v>
      </c>
      <c r="I611" s="22" t="s">
        <v>265</v>
      </c>
      <c r="J611" s="64">
        <v>17000</v>
      </c>
      <c r="K611" s="64">
        <v>17000</v>
      </c>
      <c r="L611" s="64">
        <v>17000</v>
      </c>
    </row>
    <row r="612" spans="1:12" x14ac:dyDescent="0.25">
      <c r="A612" s="15"/>
      <c r="B612" s="61"/>
      <c r="C612" s="52"/>
      <c r="D612" s="16" t="s">
        <v>27</v>
      </c>
      <c r="E612" s="4">
        <v>473</v>
      </c>
      <c r="F612" s="4">
        <v>2773</v>
      </c>
      <c r="G612" s="4">
        <v>2773</v>
      </c>
      <c r="H612" s="61" t="s">
        <v>951</v>
      </c>
      <c r="I612" s="17" t="s">
        <v>265</v>
      </c>
      <c r="J612" s="65">
        <v>1701</v>
      </c>
      <c r="K612" s="65">
        <v>1701</v>
      </c>
      <c r="L612" s="65">
        <v>1700</v>
      </c>
    </row>
    <row r="613" spans="1:12" x14ac:dyDescent="0.25">
      <c r="A613" s="15"/>
      <c r="B613" s="61"/>
      <c r="C613" s="52"/>
      <c r="D613" s="16" t="s">
        <v>36</v>
      </c>
      <c r="E613" s="4">
        <v>2300</v>
      </c>
      <c r="F613" s="4"/>
      <c r="G613" s="4"/>
      <c r="H613" s="61"/>
      <c r="I613" s="17"/>
      <c r="J613" s="65"/>
      <c r="K613" s="65"/>
      <c r="L613" s="65"/>
    </row>
    <row r="614" spans="1:12" x14ac:dyDescent="0.25">
      <c r="A614" s="15"/>
      <c r="B614" s="61"/>
      <c r="C614" s="52"/>
      <c r="D614" s="16" t="s">
        <v>126</v>
      </c>
      <c r="E614" s="4">
        <v>569.29999999999995</v>
      </c>
      <c r="F614" s="4"/>
      <c r="G614" s="4"/>
      <c r="H614" s="61"/>
      <c r="I614" s="17"/>
      <c r="J614" s="65"/>
      <c r="K614" s="65"/>
      <c r="L614" s="65"/>
    </row>
    <row r="615" spans="1:12" ht="15.75" thickBot="1" x14ac:dyDescent="0.3">
      <c r="A615" s="15"/>
      <c r="B615" s="61"/>
      <c r="C615" s="52"/>
      <c r="D615" s="16" t="s">
        <v>497</v>
      </c>
      <c r="E615" s="4">
        <v>673.7</v>
      </c>
      <c r="F615" s="4">
        <v>673.7</v>
      </c>
      <c r="G615" s="4">
        <v>673.7</v>
      </c>
      <c r="H615" s="61"/>
      <c r="I615" s="17"/>
      <c r="J615" s="65"/>
      <c r="K615" s="65"/>
      <c r="L615" s="65"/>
    </row>
    <row r="616" spans="1:12" ht="38.25" x14ac:dyDescent="0.25">
      <c r="A616" s="19" t="s">
        <v>952</v>
      </c>
      <c r="B616" s="60" t="s">
        <v>953</v>
      </c>
      <c r="C616" s="51" t="s">
        <v>949</v>
      </c>
      <c r="D616" s="20" t="s">
        <v>128</v>
      </c>
      <c r="E616" s="21">
        <f>SUM(E617:E617)+20494.5</f>
        <v>20494.5</v>
      </c>
      <c r="F616" s="21">
        <f>SUM(F617:F617)+20492</f>
        <v>20492</v>
      </c>
      <c r="G616" s="21">
        <f>SUM(G617:G617)+20492</f>
        <v>20492</v>
      </c>
      <c r="H616" s="60" t="s">
        <v>954</v>
      </c>
      <c r="I616" s="22" t="s">
        <v>265</v>
      </c>
      <c r="J616" s="64">
        <v>19000</v>
      </c>
      <c r="K616" s="64">
        <v>19000</v>
      </c>
      <c r="L616" s="64">
        <v>19000</v>
      </c>
    </row>
    <row r="617" spans="1:12" ht="15.75" thickBot="1" x14ac:dyDescent="0.3">
      <c r="A617" s="15"/>
      <c r="B617" s="61"/>
      <c r="C617" s="52"/>
      <c r="D617" s="16"/>
      <c r="E617" s="4">
        <v>0</v>
      </c>
      <c r="F617" s="4">
        <v>0</v>
      </c>
      <c r="G617" s="4">
        <v>0</v>
      </c>
      <c r="H617" s="61" t="s">
        <v>955</v>
      </c>
      <c r="I617" s="17" t="s">
        <v>265</v>
      </c>
      <c r="J617" s="18">
        <v>33</v>
      </c>
      <c r="K617" s="18">
        <v>33</v>
      </c>
      <c r="L617" s="18">
        <v>33</v>
      </c>
    </row>
    <row r="618" spans="1:12" ht="38.25" x14ac:dyDescent="0.25">
      <c r="A618" s="19" t="s">
        <v>956</v>
      </c>
      <c r="B618" s="60" t="s">
        <v>957</v>
      </c>
      <c r="C618" s="51" t="s">
        <v>949</v>
      </c>
      <c r="D618" s="20" t="s">
        <v>128</v>
      </c>
      <c r="E618" s="21">
        <f>SUM(E619:E619)+7496.5</f>
        <v>7496.5</v>
      </c>
      <c r="F618" s="21">
        <f>SUM(F619:F619)+7496.5</f>
        <v>7496.5</v>
      </c>
      <c r="G618" s="21">
        <f>SUM(G619:G619)+7496.5</f>
        <v>7496.5</v>
      </c>
      <c r="H618" s="60" t="s">
        <v>954</v>
      </c>
      <c r="I618" s="22" t="s">
        <v>265</v>
      </c>
      <c r="J618" s="66">
        <v>3650</v>
      </c>
      <c r="K618" s="66">
        <v>3650</v>
      </c>
      <c r="L618" s="66">
        <v>3650</v>
      </c>
    </row>
    <row r="619" spans="1:12" ht="15.75" thickBot="1" x14ac:dyDescent="0.3">
      <c r="A619" s="15"/>
      <c r="B619" s="61"/>
      <c r="C619" s="52"/>
      <c r="D619" s="16"/>
      <c r="E619" s="4">
        <v>0</v>
      </c>
      <c r="F619" s="4">
        <v>0</v>
      </c>
      <c r="G619" s="4">
        <v>0</v>
      </c>
      <c r="H619" s="61" t="s">
        <v>955</v>
      </c>
      <c r="I619" s="17" t="s">
        <v>265</v>
      </c>
      <c r="J619" s="18">
        <v>33</v>
      </c>
      <c r="K619" s="18">
        <v>33</v>
      </c>
      <c r="L619" s="18">
        <v>33</v>
      </c>
    </row>
    <row r="620" spans="1:12" ht="39" thickBot="1" x14ac:dyDescent="0.3">
      <c r="A620" s="19" t="s">
        <v>958</v>
      </c>
      <c r="B620" s="60" t="s">
        <v>959</v>
      </c>
      <c r="C620" s="51" t="s">
        <v>949</v>
      </c>
      <c r="D620" s="20"/>
      <c r="E620" s="24">
        <v>0</v>
      </c>
      <c r="F620" s="24">
        <v>0</v>
      </c>
      <c r="G620" s="24">
        <v>0</v>
      </c>
      <c r="H620" s="60"/>
      <c r="I620" s="22"/>
      <c r="J620" s="23"/>
      <c r="K620" s="23"/>
      <c r="L620" s="23"/>
    </row>
    <row r="621" spans="1:12" ht="51.75" thickBot="1" x14ac:dyDescent="0.3">
      <c r="A621" s="19" t="s">
        <v>960</v>
      </c>
      <c r="B621" s="60" t="s">
        <v>961</v>
      </c>
      <c r="C621" s="51" t="s">
        <v>949</v>
      </c>
      <c r="D621" s="20" t="s">
        <v>497</v>
      </c>
      <c r="E621" s="24">
        <v>0.7</v>
      </c>
      <c r="F621" s="24">
        <v>0.7</v>
      </c>
      <c r="G621" s="24">
        <v>0.7</v>
      </c>
      <c r="H621" s="60" t="s">
        <v>954</v>
      </c>
      <c r="I621" s="22" t="s">
        <v>265</v>
      </c>
      <c r="J621" s="23">
        <v>1</v>
      </c>
      <c r="K621" s="23">
        <v>1</v>
      </c>
      <c r="L621" s="23">
        <v>1</v>
      </c>
    </row>
    <row r="622" spans="1:12" ht="39" thickBot="1" x14ac:dyDescent="0.3">
      <c r="A622" s="19" t="s">
        <v>962</v>
      </c>
      <c r="B622" s="60" t="s">
        <v>963</v>
      </c>
      <c r="C622" s="51" t="s">
        <v>949</v>
      </c>
      <c r="D622" s="20" t="s">
        <v>27</v>
      </c>
      <c r="E622" s="24">
        <v>5.2</v>
      </c>
      <c r="F622" s="24">
        <v>5.2</v>
      </c>
      <c r="G622" s="24">
        <v>5.2</v>
      </c>
      <c r="H622" s="60" t="s">
        <v>954</v>
      </c>
      <c r="I622" s="22" t="s">
        <v>265</v>
      </c>
      <c r="J622" s="23">
        <v>2</v>
      </c>
      <c r="K622" s="23">
        <v>2</v>
      </c>
      <c r="L622" s="23">
        <v>2</v>
      </c>
    </row>
    <row r="623" spans="1:12" ht="39" thickBot="1" x14ac:dyDescent="0.3">
      <c r="A623" s="19" t="s">
        <v>964</v>
      </c>
      <c r="B623" s="60" t="s">
        <v>965</v>
      </c>
      <c r="C623" s="51" t="s">
        <v>949</v>
      </c>
      <c r="D623" s="20" t="s">
        <v>497</v>
      </c>
      <c r="E623" s="24">
        <v>1329.2</v>
      </c>
      <c r="F623" s="24">
        <v>1329.2</v>
      </c>
      <c r="G623" s="24">
        <v>1329.2</v>
      </c>
      <c r="H623" s="60" t="s">
        <v>954</v>
      </c>
      <c r="I623" s="22" t="s">
        <v>265</v>
      </c>
      <c r="J623" s="66">
        <v>4150</v>
      </c>
      <c r="K623" s="66">
        <v>4150</v>
      </c>
      <c r="L623" s="66">
        <v>4150</v>
      </c>
    </row>
    <row r="624" spans="1:12" ht="51" x14ac:dyDescent="0.25">
      <c r="A624" s="19" t="s">
        <v>966</v>
      </c>
      <c r="B624" s="60" t="s">
        <v>967</v>
      </c>
      <c r="C624" s="51" t="s">
        <v>394</v>
      </c>
      <c r="D624" s="20"/>
      <c r="E624" s="21">
        <f>SUM(E625:E626)</f>
        <v>1657</v>
      </c>
      <c r="F624" s="21">
        <f>SUM(F625:F626)</f>
        <v>1686.8</v>
      </c>
      <c r="G624" s="21">
        <f>SUM(G625:G626)</f>
        <v>1723.9</v>
      </c>
      <c r="H624" s="60" t="s">
        <v>968</v>
      </c>
      <c r="I624" s="22" t="s">
        <v>18</v>
      </c>
      <c r="J624" s="23">
        <v>100</v>
      </c>
      <c r="K624" s="23">
        <v>100</v>
      </c>
      <c r="L624" s="23">
        <v>100</v>
      </c>
    </row>
    <row r="625" spans="1:12" x14ac:dyDescent="0.25">
      <c r="A625" s="15"/>
      <c r="B625" s="61"/>
      <c r="C625" s="52"/>
      <c r="D625" s="16" t="s">
        <v>36</v>
      </c>
      <c r="E625" s="4">
        <v>1145.3</v>
      </c>
      <c r="F625" s="4">
        <v>0</v>
      </c>
      <c r="G625" s="4">
        <v>0</v>
      </c>
      <c r="H625" s="61"/>
      <c r="I625" s="17"/>
      <c r="J625" s="18"/>
      <c r="K625" s="18"/>
      <c r="L625" s="18"/>
    </row>
    <row r="626" spans="1:12" ht="15.75" thickBot="1" x14ac:dyDescent="0.3">
      <c r="A626" s="15"/>
      <c r="B626" s="61"/>
      <c r="C626" s="52"/>
      <c r="D626" s="16" t="s">
        <v>27</v>
      </c>
      <c r="E626" s="4">
        <v>511.7</v>
      </c>
      <c r="F626" s="4">
        <v>1686.8</v>
      </c>
      <c r="G626" s="4">
        <v>1723.9</v>
      </c>
      <c r="H626" s="61"/>
      <c r="I626" s="17"/>
      <c r="J626" s="18"/>
      <c r="K626" s="18"/>
      <c r="L626" s="18"/>
    </row>
    <row r="627" spans="1:12" ht="26.25" thickBot="1" x14ac:dyDescent="0.3">
      <c r="A627" s="81" t="s">
        <v>969</v>
      </c>
      <c r="B627" s="71" t="s">
        <v>970</v>
      </c>
      <c r="C627" s="72" t="s">
        <v>971</v>
      </c>
      <c r="D627" s="73"/>
      <c r="E627" s="74">
        <f>E628+E700</f>
        <v>18721.5</v>
      </c>
      <c r="F627" s="74">
        <f>F628+F700</f>
        <v>17643.8</v>
      </c>
      <c r="G627" s="74">
        <f>G628+G700</f>
        <v>16908.800000000003</v>
      </c>
      <c r="H627" s="57"/>
      <c r="I627" s="38"/>
      <c r="J627" s="39"/>
      <c r="K627" s="39"/>
      <c r="L627" s="39"/>
    </row>
    <row r="628" spans="1:12" ht="25.5" x14ac:dyDescent="0.25">
      <c r="A628" s="30" t="s">
        <v>972</v>
      </c>
      <c r="B628" s="58" t="s">
        <v>973</v>
      </c>
      <c r="C628" s="49" t="s">
        <v>971</v>
      </c>
      <c r="D628" s="31"/>
      <c r="E628" s="32">
        <f>E629+E630+E631+E656+E679+E689+E696</f>
        <v>18273.5</v>
      </c>
      <c r="F628" s="32">
        <f>F629+F630+F631+F656+F679+F689+F696</f>
        <v>17278.599999999999</v>
      </c>
      <c r="G628" s="32">
        <f>G629+G630+G631+G656+G679+G689+G696</f>
        <v>16542.900000000001</v>
      </c>
      <c r="H628" s="58" t="s">
        <v>974</v>
      </c>
      <c r="I628" s="33" t="s">
        <v>18</v>
      </c>
      <c r="J628" s="34">
        <v>80</v>
      </c>
      <c r="K628" s="34">
        <v>80</v>
      </c>
      <c r="L628" s="34">
        <v>80</v>
      </c>
    </row>
    <row r="629" spans="1:12" x14ac:dyDescent="0.25">
      <c r="A629" s="15"/>
      <c r="B629" s="61"/>
      <c r="C629" s="52"/>
      <c r="D629" s="16"/>
      <c r="E629" s="4">
        <v>0</v>
      </c>
      <c r="F629" s="4">
        <v>0</v>
      </c>
      <c r="G629" s="4">
        <v>0</v>
      </c>
      <c r="H629" s="61" t="s">
        <v>975</v>
      </c>
      <c r="I629" s="17" t="s">
        <v>22</v>
      </c>
      <c r="J629" s="63">
        <v>11000</v>
      </c>
      <c r="K629" s="63">
        <v>12000</v>
      </c>
      <c r="L629" s="63">
        <v>14000</v>
      </c>
    </row>
    <row r="630" spans="1:12" ht="15.75" thickBot="1" x14ac:dyDescent="0.3">
      <c r="A630" s="15"/>
      <c r="B630" s="61"/>
      <c r="C630" s="52"/>
      <c r="D630" s="16"/>
      <c r="E630" s="4">
        <v>0</v>
      </c>
      <c r="F630" s="4">
        <v>0</v>
      </c>
      <c r="G630" s="4">
        <v>0</v>
      </c>
      <c r="H630" s="61" t="s">
        <v>976</v>
      </c>
      <c r="I630" s="17" t="s">
        <v>22</v>
      </c>
      <c r="J630" s="18">
        <v>24</v>
      </c>
      <c r="K630" s="18">
        <v>25</v>
      </c>
      <c r="L630" s="18">
        <v>27</v>
      </c>
    </row>
    <row r="631" spans="1:12" ht="26.25" thickBot="1" x14ac:dyDescent="0.3">
      <c r="A631" s="25" t="s">
        <v>977</v>
      </c>
      <c r="B631" s="59" t="s">
        <v>978</v>
      </c>
      <c r="C631" s="50"/>
      <c r="D631" s="26"/>
      <c r="E631" s="27">
        <f>E632+E643+E646+E647+E650+E651+E652</f>
        <v>9614.4</v>
      </c>
      <c r="F631" s="27">
        <f>F632+F643+F646+F647+F650+F651+F652</f>
        <v>9757.8999999999978</v>
      </c>
      <c r="G631" s="27">
        <f>G632+G643+G646+G647+G650+G651+G652</f>
        <v>10011.600000000002</v>
      </c>
      <c r="H631" s="59"/>
      <c r="I631" s="28"/>
      <c r="J631" s="29"/>
      <c r="K631" s="29"/>
      <c r="L631" s="29"/>
    </row>
    <row r="632" spans="1:12" ht="25.5" x14ac:dyDescent="0.25">
      <c r="A632" s="19" t="s">
        <v>979</v>
      </c>
      <c r="B632" s="60" t="s">
        <v>980</v>
      </c>
      <c r="C632" s="51" t="s">
        <v>981</v>
      </c>
      <c r="D632" s="20"/>
      <c r="E632" s="21">
        <f>SUM(E633:E642)</f>
        <v>7470.3</v>
      </c>
      <c r="F632" s="21">
        <f>SUM(F633:F642)</f>
        <v>7604.7</v>
      </c>
      <c r="G632" s="21">
        <f>SUM(G633:G642)</f>
        <v>7772</v>
      </c>
      <c r="H632" s="60" t="s">
        <v>982</v>
      </c>
      <c r="I632" s="22" t="s">
        <v>265</v>
      </c>
      <c r="J632" s="23">
        <v>181</v>
      </c>
      <c r="K632" s="23">
        <v>181</v>
      </c>
      <c r="L632" s="23">
        <v>181</v>
      </c>
    </row>
    <row r="633" spans="1:12" ht="25.5" x14ac:dyDescent="0.25">
      <c r="A633" s="15"/>
      <c r="B633" s="61"/>
      <c r="C633" s="52"/>
      <c r="D633" s="16" t="s">
        <v>27</v>
      </c>
      <c r="E633" s="4">
        <v>7468.8</v>
      </c>
      <c r="F633" s="4">
        <v>7603.2</v>
      </c>
      <c r="G633" s="4">
        <v>7770.5</v>
      </c>
      <c r="H633" s="61" t="s">
        <v>983</v>
      </c>
      <c r="I633" s="17" t="s">
        <v>265</v>
      </c>
      <c r="J633" s="18">
        <v>85</v>
      </c>
      <c r="K633" s="18">
        <v>85</v>
      </c>
      <c r="L633" s="18">
        <v>85</v>
      </c>
    </row>
    <row r="634" spans="1:12" x14ac:dyDescent="0.25">
      <c r="A634" s="15"/>
      <c r="B634" s="61"/>
      <c r="C634" s="52"/>
      <c r="D634" s="16" t="s">
        <v>123</v>
      </c>
      <c r="E634" s="4">
        <v>1.5</v>
      </c>
      <c r="F634" s="4">
        <v>1.5</v>
      </c>
      <c r="G634" s="4">
        <v>1.5</v>
      </c>
      <c r="H634" s="61" t="s">
        <v>984</v>
      </c>
      <c r="I634" s="17" t="s">
        <v>18</v>
      </c>
      <c r="J634" s="18">
        <v>100</v>
      </c>
      <c r="K634" s="18">
        <v>100</v>
      </c>
      <c r="L634" s="18">
        <v>100</v>
      </c>
    </row>
    <row r="635" spans="1:12" x14ac:dyDescent="0.25">
      <c r="A635" s="15"/>
      <c r="B635" s="61"/>
      <c r="C635" s="52"/>
      <c r="D635" s="16"/>
      <c r="E635" s="4">
        <v>0</v>
      </c>
      <c r="F635" s="4">
        <v>0</v>
      </c>
      <c r="G635" s="4">
        <v>0</v>
      </c>
      <c r="H635" s="61" t="s">
        <v>985</v>
      </c>
      <c r="I635" s="17" t="s">
        <v>22</v>
      </c>
      <c r="J635" s="18">
        <v>40</v>
      </c>
      <c r="K635" s="18">
        <v>40</v>
      </c>
      <c r="L635" s="18">
        <v>40</v>
      </c>
    </row>
    <row r="636" spans="1:12" x14ac:dyDescent="0.25">
      <c r="A636" s="15"/>
      <c r="B636" s="61"/>
      <c r="C636" s="52"/>
      <c r="D636" s="16"/>
      <c r="E636" s="4">
        <v>0</v>
      </c>
      <c r="F636" s="4">
        <v>0</v>
      </c>
      <c r="G636" s="4">
        <v>0</v>
      </c>
      <c r="H636" s="61" t="s">
        <v>986</v>
      </c>
      <c r="I636" s="17" t="s">
        <v>22</v>
      </c>
      <c r="J636" s="18">
        <v>3</v>
      </c>
      <c r="K636" s="18">
        <v>3</v>
      </c>
      <c r="L636" s="18">
        <v>3</v>
      </c>
    </row>
    <row r="637" spans="1:12" x14ac:dyDescent="0.25">
      <c r="A637" s="15"/>
      <c r="B637" s="61"/>
      <c r="C637" s="52"/>
      <c r="D637" s="16"/>
      <c r="E637" s="4">
        <v>0</v>
      </c>
      <c r="F637" s="4">
        <v>0</v>
      </c>
      <c r="G637" s="4">
        <v>0</v>
      </c>
      <c r="H637" s="61" t="s">
        <v>987</v>
      </c>
      <c r="I637" s="17" t="s">
        <v>22</v>
      </c>
      <c r="J637" s="18">
        <v>5</v>
      </c>
      <c r="K637" s="18">
        <v>3</v>
      </c>
      <c r="L637" s="18">
        <v>10</v>
      </c>
    </row>
    <row r="638" spans="1:12" x14ac:dyDescent="0.25">
      <c r="A638" s="15"/>
      <c r="B638" s="61"/>
      <c r="C638" s="52"/>
      <c r="D638" s="16"/>
      <c r="E638" s="4">
        <v>0</v>
      </c>
      <c r="F638" s="4">
        <v>0</v>
      </c>
      <c r="G638" s="4">
        <v>0</v>
      </c>
      <c r="H638" s="61" t="s">
        <v>988</v>
      </c>
      <c r="I638" s="17" t="s">
        <v>22</v>
      </c>
      <c r="J638" s="18">
        <v>1</v>
      </c>
      <c r="K638" s="18">
        <v>1</v>
      </c>
      <c r="L638" s="18">
        <v>3</v>
      </c>
    </row>
    <row r="639" spans="1:12" x14ac:dyDescent="0.25">
      <c r="A639" s="15"/>
      <c r="B639" s="61"/>
      <c r="C639" s="52"/>
      <c r="D639" s="16"/>
      <c r="E639" s="4">
        <v>0</v>
      </c>
      <c r="F639" s="4">
        <v>0</v>
      </c>
      <c r="G639" s="4">
        <v>0</v>
      </c>
      <c r="H639" s="61" t="s">
        <v>989</v>
      </c>
      <c r="I639" s="17" t="s">
        <v>22</v>
      </c>
      <c r="J639" s="18">
        <v>300</v>
      </c>
      <c r="K639" s="18">
        <v>300</v>
      </c>
      <c r="L639" s="18">
        <v>330</v>
      </c>
    </row>
    <row r="640" spans="1:12" ht="25.5" x14ac:dyDescent="0.25">
      <c r="A640" s="15"/>
      <c r="B640" s="61"/>
      <c r="C640" s="52"/>
      <c r="D640" s="16"/>
      <c r="E640" s="4">
        <v>0</v>
      </c>
      <c r="F640" s="4">
        <v>0</v>
      </c>
      <c r="G640" s="4">
        <v>0</v>
      </c>
      <c r="H640" s="61" t="s">
        <v>990</v>
      </c>
      <c r="I640" s="17" t="s">
        <v>265</v>
      </c>
      <c r="J640" s="63">
        <v>15000</v>
      </c>
      <c r="K640" s="63">
        <v>18000</v>
      </c>
      <c r="L640" s="63">
        <v>15000</v>
      </c>
    </row>
    <row r="641" spans="1:12" ht="25.5" x14ac:dyDescent="0.25">
      <c r="A641" s="15"/>
      <c r="B641" s="61"/>
      <c r="C641" s="52"/>
      <c r="D641" s="16"/>
      <c r="E641" s="4">
        <v>0</v>
      </c>
      <c r="F641" s="4">
        <v>0</v>
      </c>
      <c r="G641" s="4">
        <v>0</v>
      </c>
      <c r="H641" s="61" t="s">
        <v>991</v>
      </c>
      <c r="I641" s="17" t="s">
        <v>265</v>
      </c>
      <c r="J641" s="63">
        <v>2500</v>
      </c>
      <c r="K641" s="63">
        <v>3800</v>
      </c>
      <c r="L641" s="63">
        <v>5720</v>
      </c>
    </row>
    <row r="642" spans="1:12" ht="15.75" thickBot="1" x14ac:dyDescent="0.3">
      <c r="A642" s="15"/>
      <c r="B642" s="61"/>
      <c r="C642" s="52"/>
      <c r="D642" s="16"/>
      <c r="E642" s="4">
        <v>0</v>
      </c>
      <c r="F642" s="4">
        <v>0</v>
      </c>
      <c r="G642" s="4">
        <v>0</v>
      </c>
      <c r="H642" s="61" t="s">
        <v>992</v>
      </c>
      <c r="I642" s="17" t="s">
        <v>265</v>
      </c>
      <c r="J642" s="18">
        <v>260</v>
      </c>
      <c r="K642" s="18">
        <v>280</v>
      </c>
      <c r="L642" s="18">
        <v>280</v>
      </c>
    </row>
    <row r="643" spans="1:12" ht="38.25" x14ac:dyDescent="0.25">
      <c r="A643" s="19" t="s">
        <v>993</v>
      </c>
      <c r="B643" s="60" t="s">
        <v>994</v>
      </c>
      <c r="C643" s="51" t="s">
        <v>981</v>
      </c>
      <c r="D643" s="20" t="s">
        <v>27</v>
      </c>
      <c r="E643" s="21">
        <f>SUM(E644:E645)+627.8</f>
        <v>627.79999999999995</v>
      </c>
      <c r="F643" s="21">
        <f>SUM(F644:F645)+639.1</f>
        <v>639.1</v>
      </c>
      <c r="G643" s="21">
        <f>SUM(G644:G645)+653.2</f>
        <v>653.20000000000005</v>
      </c>
      <c r="H643" s="60" t="s">
        <v>995</v>
      </c>
      <c r="I643" s="22" t="s">
        <v>265</v>
      </c>
      <c r="J643" s="23">
        <v>8</v>
      </c>
      <c r="K643" s="23">
        <v>8</v>
      </c>
      <c r="L643" s="23">
        <v>8</v>
      </c>
    </row>
    <row r="644" spans="1:12" x14ac:dyDescent="0.25">
      <c r="A644" s="15"/>
      <c r="B644" s="61"/>
      <c r="C644" s="52"/>
      <c r="D644" s="16"/>
      <c r="E644" s="4">
        <v>0</v>
      </c>
      <c r="F644" s="4">
        <v>0</v>
      </c>
      <c r="G644" s="4">
        <v>0</v>
      </c>
      <c r="H644" s="61" t="s">
        <v>996</v>
      </c>
      <c r="I644" s="17" t="s">
        <v>18</v>
      </c>
      <c r="J644" s="18">
        <v>100</v>
      </c>
      <c r="K644" s="18">
        <v>100</v>
      </c>
      <c r="L644" s="18">
        <v>100</v>
      </c>
    </row>
    <row r="645" spans="1:12" ht="15.75" thickBot="1" x14ac:dyDescent="0.3">
      <c r="A645" s="15"/>
      <c r="B645" s="61"/>
      <c r="C645" s="52"/>
      <c r="D645" s="16"/>
      <c r="E645" s="4">
        <v>0</v>
      </c>
      <c r="F645" s="4">
        <v>0</v>
      </c>
      <c r="G645" s="4">
        <v>0</v>
      </c>
      <c r="H645" s="61" t="s">
        <v>997</v>
      </c>
      <c r="I645" s="17" t="s">
        <v>18</v>
      </c>
      <c r="J645" s="18">
        <v>100</v>
      </c>
      <c r="K645" s="18">
        <v>100</v>
      </c>
      <c r="L645" s="18">
        <v>100</v>
      </c>
    </row>
    <row r="646" spans="1:12" ht="26.25" thickBot="1" x14ac:dyDescent="0.3">
      <c r="A646" s="19" t="s">
        <v>998</v>
      </c>
      <c r="B646" s="60" t="s">
        <v>999</v>
      </c>
      <c r="C646" s="51" t="s">
        <v>1000</v>
      </c>
      <c r="D646" s="20" t="s">
        <v>27</v>
      </c>
      <c r="E646" s="24">
        <v>302.89999999999998</v>
      </c>
      <c r="F646" s="24">
        <v>308.39999999999998</v>
      </c>
      <c r="G646" s="24">
        <v>315.2</v>
      </c>
      <c r="H646" s="60" t="s">
        <v>1001</v>
      </c>
      <c r="I646" s="22" t="s">
        <v>265</v>
      </c>
      <c r="J646" s="23">
        <v>6</v>
      </c>
      <c r="K646" s="23">
        <v>6</v>
      </c>
      <c r="L646" s="23">
        <v>6</v>
      </c>
    </row>
    <row r="647" spans="1:12" x14ac:dyDescent="0.25">
      <c r="A647" s="19" t="s">
        <v>1002</v>
      </c>
      <c r="B647" s="60" t="s">
        <v>1003</v>
      </c>
      <c r="C647" s="51"/>
      <c r="D647" s="20"/>
      <c r="E647" s="21">
        <f>SUM(E648:E649)</f>
        <v>1073.3</v>
      </c>
      <c r="F647" s="21">
        <f>SUM(F648:F649)</f>
        <v>1084.3</v>
      </c>
      <c r="G647" s="21">
        <f>SUM(G648:G649)</f>
        <v>1108.2</v>
      </c>
      <c r="H647" s="60" t="s">
        <v>1004</v>
      </c>
      <c r="I647" s="22" t="s">
        <v>18</v>
      </c>
      <c r="J647" s="23">
        <v>100</v>
      </c>
      <c r="K647" s="23">
        <v>100</v>
      </c>
      <c r="L647" s="23">
        <v>100</v>
      </c>
    </row>
    <row r="648" spans="1:12" x14ac:dyDescent="0.25">
      <c r="A648" s="15"/>
      <c r="B648" s="61"/>
      <c r="C648" s="52"/>
      <c r="D648" s="16" t="s">
        <v>27</v>
      </c>
      <c r="E648" s="4">
        <v>1061.3</v>
      </c>
      <c r="F648" s="4">
        <v>1084.3</v>
      </c>
      <c r="G648" s="4">
        <v>1108.2</v>
      </c>
      <c r="H648" s="61"/>
      <c r="I648" s="17"/>
      <c r="J648" s="18"/>
      <c r="K648" s="18"/>
      <c r="L648" s="18"/>
    </row>
    <row r="649" spans="1:12" ht="15.75" thickBot="1" x14ac:dyDescent="0.3">
      <c r="A649" s="15"/>
      <c r="B649" s="61"/>
      <c r="C649" s="52"/>
      <c r="D649" s="16" t="s">
        <v>36</v>
      </c>
      <c r="E649" s="4">
        <v>12</v>
      </c>
      <c r="F649" s="4">
        <v>0</v>
      </c>
      <c r="G649" s="4">
        <v>0</v>
      </c>
      <c r="H649" s="61"/>
      <c r="I649" s="17"/>
      <c r="J649" s="18"/>
      <c r="K649" s="18"/>
      <c r="L649" s="18"/>
    </row>
    <row r="650" spans="1:12" ht="39" thickBot="1" x14ac:dyDescent="0.3">
      <c r="A650" s="19" t="s">
        <v>1005</v>
      </c>
      <c r="B650" s="60" t="s">
        <v>1006</v>
      </c>
      <c r="C650" s="51" t="s">
        <v>316</v>
      </c>
      <c r="D650" s="20" t="s">
        <v>27</v>
      </c>
      <c r="E650" s="24">
        <v>70.099999999999994</v>
      </c>
      <c r="F650" s="24">
        <v>71.400000000000006</v>
      </c>
      <c r="G650" s="24">
        <v>73</v>
      </c>
      <c r="H650" s="60" t="s">
        <v>1007</v>
      </c>
      <c r="I650" s="22" t="s">
        <v>18</v>
      </c>
      <c r="J650" s="23">
        <v>100</v>
      </c>
      <c r="K650" s="23">
        <v>100</v>
      </c>
      <c r="L650" s="23">
        <v>100</v>
      </c>
    </row>
    <row r="651" spans="1:12" ht="39" thickBot="1" x14ac:dyDescent="0.3">
      <c r="A651" s="19" t="s">
        <v>1008</v>
      </c>
      <c r="B651" s="60" t="s">
        <v>1009</v>
      </c>
      <c r="C651" s="51" t="s">
        <v>258</v>
      </c>
      <c r="D651" s="20" t="s">
        <v>27</v>
      </c>
      <c r="E651" s="24">
        <v>20</v>
      </c>
      <c r="F651" s="24">
        <v>20</v>
      </c>
      <c r="G651" s="24">
        <v>20</v>
      </c>
      <c r="H651" s="60" t="s">
        <v>1010</v>
      </c>
      <c r="I651" s="22" t="s">
        <v>18</v>
      </c>
      <c r="J651" s="23">
        <v>100</v>
      </c>
      <c r="K651" s="23">
        <v>100</v>
      </c>
      <c r="L651" s="23">
        <v>100</v>
      </c>
    </row>
    <row r="652" spans="1:12" ht="38.25" x14ac:dyDescent="0.25">
      <c r="A652" s="19" t="s">
        <v>1011</v>
      </c>
      <c r="B652" s="60" t="s">
        <v>1012</v>
      </c>
      <c r="C652" s="51" t="s">
        <v>1013</v>
      </c>
      <c r="D652" s="20" t="s">
        <v>27</v>
      </c>
      <c r="E652" s="21">
        <f>SUM(E653:E655)+50</f>
        <v>50</v>
      </c>
      <c r="F652" s="21">
        <f>SUM(F653:F655)+30</f>
        <v>30</v>
      </c>
      <c r="G652" s="21">
        <f>SUM(G653:G655)+70</f>
        <v>70</v>
      </c>
      <c r="H652" s="60" t="s">
        <v>1014</v>
      </c>
      <c r="I652" s="22" t="s">
        <v>265</v>
      </c>
      <c r="J652" s="23">
        <v>1</v>
      </c>
      <c r="K652" s="23"/>
      <c r="L652" s="23"/>
    </row>
    <row r="653" spans="1:12" x14ac:dyDescent="0.25">
      <c r="A653" s="15"/>
      <c r="B653" s="61"/>
      <c r="C653" s="52"/>
      <c r="D653" s="16"/>
      <c r="E653" s="4">
        <v>0</v>
      </c>
      <c r="F653" s="4">
        <v>0</v>
      </c>
      <c r="G653" s="4">
        <v>0</v>
      </c>
      <c r="H653" s="61" t="s">
        <v>1015</v>
      </c>
      <c r="I653" s="17" t="s">
        <v>22</v>
      </c>
      <c r="J653" s="18"/>
      <c r="K653" s="18">
        <v>1</v>
      </c>
      <c r="L653" s="18"/>
    </row>
    <row r="654" spans="1:12" x14ac:dyDescent="0.25">
      <c r="A654" s="15"/>
      <c r="B654" s="61"/>
      <c r="C654" s="52"/>
      <c r="D654" s="16"/>
      <c r="E654" s="4">
        <v>0</v>
      </c>
      <c r="F654" s="4">
        <v>0</v>
      </c>
      <c r="G654" s="4">
        <v>0</v>
      </c>
      <c r="H654" s="61" t="s">
        <v>1016</v>
      </c>
      <c r="I654" s="17" t="s">
        <v>22</v>
      </c>
      <c r="J654" s="18"/>
      <c r="K654" s="18"/>
      <c r="L654" s="18">
        <v>1</v>
      </c>
    </row>
    <row r="655" spans="1:12" ht="15.75" thickBot="1" x14ac:dyDescent="0.3">
      <c r="A655" s="15"/>
      <c r="B655" s="61"/>
      <c r="C655" s="52"/>
      <c r="D655" s="16"/>
      <c r="E655" s="4">
        <v>0</v>
      </c>
      <c r="F655" s="4">
        <v>0</v>
      </c>
      <c r="G655" s="4">
        <v>0</v>
      </c>
      <c r="H655" s="61" t="s">
        <v>1017</v>
      </c>
      <c r="I655" s="17" t="s">
        <v>22</v>
      </c>
      <c r="J655" s="18"/>
      <c r="K655" s="18"/>
      <c r="L655" s="18">
        <v>1</v>
      </c>
    </row>
    <row r="656" spans="1:12" ht="26.25" thickBot="1" x14ac:dyDescent="0.3">
      <c r="A656" s="25" t="s">
        <v>1018</v>
      </c>
      <c r="B656" s="59" t="s">
        <v>1019</v>
      </c>
      <c r="C656" s="50"/>
      <c r="D656" s="26"/>
      <c r="E656" s="27">
        <f>E657+E658+E659+E660+E661+E662+E663+E664+E665+E666+E667+E668+E669+E670+E671+E672+E673+E674+E676+E678</f>
        <v>543.5</v>
      </c>
      <c r="F656" s="27">
        <f>F657+F658+F659+F660+F661+F662+F663+F664+F665+F666+F667+F668+F669+F670+F671+F672+F673+F674+F676+F678</f>
        <v>550.69999999999993</v>
      </c>
      <c r="G656" s="27">
        <f>G657+G658+G659+G660+G661+G662+G663+G664+G665+G666+G667+G668+G669+G670+G671+G672+G673+G674+G676+G678</f>
        <v>556.80000000000007</v>
      </c>
      <c r="H656" s="59"/>
      <c r="I656" s="28"/>
      <c r="J656" s="29"/>
      <c r="K656" s="29"/>
      <c r="L656" s="29"/>
    </row>
    <row r="657" spans="1:12" ht="26.25" thickBot="1" x14ac:dyDescent="0.3">
      <c r="A657" s="19" t="s">
        <v>1020</v>
      </c>
      <c r="B657" s="60" t="s">
        <v>1021</v>
      </c>
      <c r="C657" s="51" t="s">
        <v>971</v>
      </c>
      <c r="D657" s="20" t="s">
        <v>497</v>
      </c>
      <c r="E657" s="24">
        <v>15.4</v>
      </c>
      <c r="F657" s="24">
        <v>15.7</v>
      </c>
      <c r="G657" s="24">
        <v>16</v>
      </c>
      <c r="H657" s="60" t="s">
        <v>1022</v>
      </c>
      <c r="I657" s="22" t="s">
        <v>18</v>
      </c>
      <c r="J657" s="23">
        <v>100</v>
      </c>
      <c r="K657" s="23">
        <v>100</v>
      </c>
      <c r="L657" s="23">
        <v>100</v>
      </c>
    </row>
    <row r="658" spans="1:12" ht="26.25" thickBot="1" x14ac:dyDescent="0.3">
      <c r="A658" s="19" t="s">
        <v>1023</v>
      </c>
      <c r="B658" s="60" t="s">
        <v>1024</v>
      </c>
      <c r="C658" s="51" t="s">
        <v>394</v>
      </c>
      <c r="D658" s="20" t="s">
        <v>497</v>
      </c>
      <c r="E658" s="24">
        <v>0.2</v>
      </c>
      <c r="F658" s="24">
        <v>0.3</v>
      </c>
      <c r="G658" s="24">
        <v>0.3</v>
      </c>
      <c r="H658" s="60" t="s">
        <v>1022</v>
      </c>
      <c r="I658" s="22" t="s">
        <v>18</v>
      </c>
      <c r="J658" s="23">
        <v>100</v>
      </c>
      <c r="K658" s="23">
        <v>100</v>
      </c>
      <c r="L658" s="23">
        <v>100</v>
      </c>
    </row>
    <row r="659" spans="1:12" ht="15.75" thickBot="1" x14ac:dyDescent="0.3">
      <c r="A659" s="19" t="s">
        <v>1025</v>
      </c>
      <c r="B659" s="60" t="s">
        <v>1026</v>
      </c>
      <c r="C659" s="51" t="s">
        <v>1027</v>
      </c>
      <c r="D659" s="20" t="s">
        <v>497</v>
      </c>
      <c r="E659" s="24">
        <v>31.5</v>
      </c>
      <c r="F659" s="24">
        <v>31.5</v>
      </c>
      <c r="G659" s="24">
        <v>31.9</v>
      </c>
      <c r="H659" s="60" t="s">
        <v>1022</v>
      </c>
      <c r="I659" s="22" t="s">
        <v>18</v>
      </c>
      <c r="J659" s="23">
        <v>100</v>
      </c>
      <c r="K659" s="23">
        <v>100</v>
      </c>
      <c r="L659" s="23">
        <v>100</v>
      </c>
    </row>
    <row r="660" spans="1:12" ht="39" thickBot="1" x14ac:dyDescent="0.3">
      <c r="A660" s="19" t="s">
        <v>1028</v>
      </c>
      <c r="B660" s="60" t="s">
        <v>1029</v>
      </c>
      <c r="C660" s="51" t="s">
        <v>1030</v>
      </c>
      <c r="D660" s="20" t="s">
        <v>497</v>
      </c>
      <c r="E660" s="24">
        <v>56.5</v>
      </c>
      <c r="F660" s="24">
        <v>56.5</v>
      </c>
      <c r="G660" s="24">
        <v>57.3</v>
      </c>
      <c r="H660" s="60" t="s">
        <v>1022</v>
      </c>
      <c r="I660" s="22" t="s">
        <v>18</v>
      </c>
      <c r="J660" s="23">
        <v>100</v>
      </c>
      <c r="K660" s="23">
        <v>100</v>
      </c>
      <c r="L660" s="23">
        <v>100</v>
      </c>
    </row>
    <row r="661" spans="1:12" ht="39" thickBot="1" x14ac:dyDescent="0.3">
      <c r="A661" s="19" t="s">
        <v>1031</v>
      </c>
      <c r="B661" s="60" t="s">
        <v>1032</v>
      </c>
      <c r="C661" s="51" t="s">
        <v>1030</v>
      </c>
      <c r="D661" s="20" t="s">
        <v>497</v>
      </c>
      <c r="E661" s="24">
        <v>1.7</v>
      </c>
      <c r="F661" s="24">
        <v>1.7</v>
      </c>
      <c r="G661" s="24">
        <v>1.7</v>
      </c>
      <c r="H661" s="60" t="s">
        <v>1022</v>
      </c>
      <c r="I661" s="22" t="s">
        <v>18</v>
      </c>
      <c r="J661" s="23">
        <v>100</v>
      </c>
      <c r="K661" s="23">
        <v>100</v>
      </c>
      <c r="L661" s="23">
        <v>100</v>
      </c>
    </row>
    <row r="662" spans="1:12" ht="15.75" thickBot="1" x14ac:dyDescent="0.3">
      <c r="A662" s="19" t="s">
        <v>1033</v>
      </c>
      <c r="B662" s="60" t="s">
        <v>1034</v>
      </c>
      <c r="C662" s="51" t="s">
        <v>90</v>
      </c>
      <c r="D662" s="20" t="s">
        <v>497</v>
      </c>
      <c r="E662" s="24">
        <v>15.6</v>
      </c>
      <c r="F662" s="24">
        <v>15.6</v>
      </c>
      <c r="G662" s="24">
        <v>15.9</v>
      </c>
      <c r="H662" s="60" t="s">
        <v>1022</v>
      </c>
      <c r="I662" s="22" t="s">
        <v>18</v>
      </c>
      <c r="J662" s="23">
        <v>100</v>
      </c>
      <c r="K662" s="23">
        <v>100</v>
      </c>
      <c r="L662" s="23">
        <v>100</v>
      </c>
    </row>
    <row r="663" spans="1:12" ht="51.75" thickBot="1" x14ac:dyDescent="0.3">
      <c r="A663" s="19" t="s">
        <v>1035</v>
      </c>
      <c r="B663" s="60" t="s">
        <v>1036</v>
      </c>
      <c r="C663" s="51" t="s">
        <v>1037</v>
      </c>
      <c r="D663" s="20" t="s">
        <v>497</v>
      </c>
      <c r="E663" s="24">
        <v>26.7</v>
      </c>
      <c r="F663" s="24">
        <v>26.7</v>
      </c>
      <c r="G663" s="24">
        <v>26.7</v>
      </c>
      <c r="H663" s="60" t="s">
        <v>1022</v>
      </c>
      <c r="I663" s="22" t="s">
        <v>18</v>
      </c>
      <c r="J663" s="23">
        <v>100</v>
      </c>
      <c r="K663" s="23">
        <v>100</v>
      </c>
      <c r="L663" s="23">
        <v>100</v>
      </c>
    </row>
    <row r="664" spans="1:12" ht="26.25" thickBot="1" x14ac:dyDescent="0.3">
      <c r="A664" s="19" t="s">
        <v>1038</v>
      </c>
      <c r="B664" s="60" t="s">
        <v>1039</v>
      </c>
      <c r="C664" s="51" t="s">
        <v>971</v>
      </c>
      <c r="D664" s="20" t="s">
        <v>497</v>
      </c>
      <c r="E664" s="24">
        <v>78.599999999999994</v>
      </c>
      <c r="F664" s="24">
        <v>78.599999999999994</v>
      </c>
      <c r="G664" s="24">
        <v>78.900000000000006</v>
      </c>
      <c r="H664" s="60" t="s">
        <v>1022</v>
      </c>
      <c r="I664" s="22" t="s">
        <v>18</v>
      </c>
      <c r="J664" s="23">
        <v>100</v>
      </c>
      <c r="K664" s="23">
        <v>100</v>
      </c>
      <c r="L664" s="23">
        <v>100</v>
      </c>
    </row>
    <row r="665" spans="1:12" ht="39" thickBot="1" x14ac:dyDescent="0.3">
      <c r="A665" s="19" t="s">
        <v>1040</v>
      </c>
      <c r="B665" s="60" t="s">
        <v>1041</v>
      </c>
      <c r="C665" s="51" t="s">
        <v>258</v>
      </c>
      <c r="D665" s="20" t="s">
        <v>497</v>
      </c>
      <c r="E665" s="24">
        <v>33.700000000000003</v>
      </c>
      <c r="F665" s="24">
        <v>33.700000000000003</v>
      </c>
      <c r="G665" s="24">
        <v>33.700000000000003</v>
      </c>
      <c r="H665" s="60" t="s">
        <v>1022</v>
      </c>
      <c r="I665" s="22" t="s">
        <v>18</v>
      </c>
      <c r="J665" s="23">
        <v>100</v>
      </c>
      <c r="K665" s="23">
        <v>100</v>
      </c>
      <c r="L665" s="23">
        <v>100</v>
      </c>
    </row>
    <row r="666" spans="1:12" ht="39" thickBot="1" x14ac:dyDescent="0.3">
      <c r="A666" s="19" t="s">
        <v>1042</v>
      </c>
      <c r="B666" s="60" t="s">
        <v>1043</v>
      </c>
      <c r="C666" s="51" t="s">
        <v>258</v>
      </c>
      <c r="D666" s="20" t="s">
        <v>497</v>
      </c>
      <c r="E666" s="24">
        <v>74.099999999999994</v>
      </c>
      <c r="F666" s="24">
        <v>74.099999999999994</v>
      </c>
      <c r="G666" s="24">
        <v>75.3</v>
      </c>
      <c r="H666" s="60" t="s">
        <v>1022</v>
      </c>
      <c r="I666" s="22" t="s">
        <v>18</v>
      </c>
      <c r="J666" s="23">
        <v>100</v>
      </c>
      <c r="K666" s="23">
        <v>100</v>
      </c>
      <c r="L666" s="23">
        <v>100</v>
      </c>
    </row>
    <row r="667" spans="1:12" ht="26.25" thickBot="1" x14ac:dyDescent="0.3">
      <c r="A667" s="19" t="s">
        <v>1044</v>
      </c>
      <c r="B667" s="60" t="s">
        <v>1045</v>
      </c>
      <c r="C667" s="51" t="s">
        <v>191</v>
      </c>
      <c r="D667" s="20" t="s">
        <v>497</v>
      </c>
      <c r="E667" s="24">
        <v>6.6</v>
      </c>
      <c r="F667" s="24">
        <v>7.7</v>
      </c>
      <c r="G667" s="24">
        <v>7.9</v>
      </c>
      <c r="H667" s="60" t="s">
        <v>1022</v>
      </c>
      <c r="I667" s="22" t="s">
        <v>18</v>
      </c>
      <c r="J667" s="23">
        <v>100</v>
      </c>
      <c r="K667" s="23">
        <v>100</v>
      </c>
      <c r="L667" s="23">
        <v>100</v>
      </c>
    </row>
    <row r="668" spans="1:12" ht="26.25" thickBot="1" x14ac:dyDescent="0.3">
      <c r="A668" s="19" t="s">
        <v>1046</v>
      </c>
      <c r="B668" s="60" t="s">
        <v>1047</v>
      </c>
      <c r="C668" s="51" t="s">
        <v>856</v>
      </c>
      <c r="D668" s="20" t="s">
        <v>497</v>
      </c>
      <c r="E668" s="24">
        <v>5.8</v>
      </c>
      <c r="F668" s="24">
        <v>5.8</v>
      </c>
      <c r="G668" s="24">
        <v>5.8</v>
      </c>
      <c r="H668" s="60" t="s">
        <v>1022</v>
      </c>
      <c r="I668" s="22" t="s">
        <v>18</v>
      </c>
      <c r="J668" s="23">
        <v>100</v>
      </c>
      <c r="K668" s="23">
        <v>100</v>
      </c>
      <c r="L668" s="23">
        <v>100</v>
      </c>
    </row>
    <row r="669" spans="1:12" ht="39" thickBot="1" x14ac:dyDescent="0.3">
      <c r="A669" s="19" t="s">
        <v>1048</v>
      </c>
      <c r="B669" s="60" t="s">
        <v>1049</v>
      </c>
      <c r="C669" s="51" t="s">
        <v>949</v>
      </c>
      <c r="D669" s="20" t="s">
        <v>497</v>
      </c>
      <c r="E669" s="24">
        <v>20.2</v>
      </c>
      <c r="F669" s="24">
        <v>20.3</v>
      </c>
      <c r="G669" s="24">
        <v>20.399999999999999</v>
      </c>
      <c r="H669" s="60" t="s">
        <v>1022</v>
      </c>
      <c r="I669" s="22" t="s">
        <v>18</v>
      </c>
      <c r="J669" s="23">
        <v>100</v>
      </c>
      <c r="K669" s="23">
        <v>100</v>
      </c>
      <c r="L669" s="23">
        <v>100</v>
      </c>
    </row>
    <row r="670" spans="1:12" ht="39" thickBot="1" x14ac:dyDescent="0.3">
      <c r="A670" s="19" t="s">
        <v>1050</v>
      </c>
      <c r="B670" s="60" t="s">
        <v>1051</v>
      </c>
      <c r="C670" s="51" t="s">
        <v>949</v>
      </c>
      <c r="D670" s="20"/>
      <c r="E670" s="24">
        <v>0</v>
      </c>
      <c r="F670" s="24">
        <v>0</v>
      </c>
      <c r="G670" s="24">
        <v>0</v>
      </c>
      <c r="H670" s="60"/>
      <c r="I670" s="22"/>
      <c r="J670" s="23"/>
      <c r="K670" s="23"/>
      <c r="L670" s="23"/>
    </row>
    <row r="671" spans="1:12" ht="39" thickBot="1" x14ac:dyDescent="0.3">
      <c r="A671" s="19" t="s">
        <v>1052</v>
      </c>
      <c r="B671" s="60" t="s">
        <v>1053</v>
      </c>
      <c r="C671" s="51" t="s">
        <v>949</v>
      </c>
      <c r="D671" s="20" t="s">
        <v>497</v>
      </c>
      <c r="E671" s="24">
        <v>53.2</v>
      </c>
      <c r="F671" s="24">
        <v>53.4</v>
      </c>
      <c r="G671" s="24">
        <v>53.6</v>
      </c>
      <c r="H671" s="60" t="s">
        <v>1022</v>
      </c>
      <c r="I671" s="22" t="s">
        <v>18</v>
      </c>
      <c r="J671" s="23">
        <v>100</v>
      </c>
      <c r="K671" s="23">
        <v>100</v>
      </c>
      <c r="L671" s="23">
        <v>100</v>
      </c>
    </row>
    <row r="672" spans="1:12" ht="26.25" thickBot="1" x14ac:dyDescent="0.3">
      <c r="A672" s="19" t="s">
        <v>1054</v>
      </c>
      <c r="B672" s="60" t="s">
        <v>1055</v>
      </c>
      <c r="C672" s="51" t="s">
        <v>856</v>
      </c>
      <c r="D672" s="20" t="s">
        <v>497</v>
      </c>
      <c r="E672" s="24">
        <v>49.1</v>
      </c>
      <c r="F672" s="24">
        <v>52.7</v>
      </c>
      <c r="G672" s="24">
        <v>53.9</v>
      </c>
      <c r="H672" s="60" t="s">
        <v>1022</v>
      </c>
      <c r="I672" s="22" t="s">
        <v>18</v>
      </c>
      <c r="J672" s="23">
        <v>100</v>
      </c>
      <c r="K672" s="23">
        <v>100</v>
      </c>
      <c r="L672" s="23">
        <v>100</v>
      </c>
    </row>
    <row r="673" spans="1:12" ht="39" thickBot="1" x14ac:dyDescent="0.3">
      <c r="A673" s="19" t="s">
        <v>1056</v>
      </c>
      <c r="B673" s="60" t="s">
        <v>1057</v>
      </c>
      <c r="C673" s="51" t="s">
        <v>949</v>
      </c>
      <c r="D673" s="20" t="s">
        <v>497</v>
      </c>
      <c r="E673" s="24">
        <v>1.9</v>
      </c>
      <c r="F673" s="24">
        <v>1.9</v>
      </c>
      <c r="G673" s="24">
        <v>1.9</v>
      </c>
      <c r="H673" s="60" t="s">
        <v>1022</v>
      </c>
      <c r="I673" s="22" t="s">
        <v>18</v>
      </c>
      <c r="J673" s="23">
        <v>100</v>
      </c>
      <c r="K673" s="23">
        <v>100</v>
      </c>
      <c r="L673" s="23">
        <v>100</v>
      </c>
    </row>
    <row r="674" spans="1:12" ht="25.5" x14ac:dyDescent="0.25">
      <c r="A674" s="19" t="s">
        <v>1058</v>
      </c>
      <c r="B674" s="60" t="s">
        <v>1059</v>
      </c>
      <c r="C674" s="51" t="s">
        <v>758</v>
      </c>
      <c r="D674" s="20" t="s">
        <v>497</v>
      </c>
      <c r="E674" s="21">
        <f>SUM(E675:E675)+9.4</f>
        <v>9.4</v>
      </c>
      <c r="F674" s="21">
        <f>SUM(F675:F675)+9.3</f>
        <v>9.3000000000000007</v>
      </c>
      <c r="G674" s="21">
        <f>SUM(G675:G675)+9.5</f>
        <v>9.5</v>
      </c>
      <c r="H674" s="60" t="s">
        <v>1060</v>
      </c>
      <c r="I674" s="22" t="s">
        <v>22</v>
      </c>
      <c r="J674" s="23">
        <v>10</v>
      </c>
      <c r="K674" s="23">
        <v>10</v>
      </c>
      <c r="L674" s="23">
        <v>10</v>
      </c>
    </row>
    <row r="675" spans="1:12" ht="15.75" thickBot="1" x14ac:dyDescent="0.3">
      <c r="A675" s="15"/>
      <c r="B675" s="61"/>
      <c r="C675" s="52"/>
      <c r="D675" s="16"/>
      <c r="E675" s="4">
        <v>0</v>
      </c>
      <c r="F675" s="4">
        <v>0</v>
      </c>
      <c r="G675" s="4">
        <v>0</v>
      </c>
      <c r="H675" s="61" t="s">
        <v>1061</v>
      </c>
      <c r="I675" s="17" t="s">
        <v>22</v>
      </c>
      <c r="J675" s="18">
        <v>50</v>
      </c>
      <c r="K675" s="18">
        <v>50</v>
      </c>
      <c r="L675" s="18">
        <v>50</v>
      </c>
    </row>
    <row r="676" spans="1:12" ht="25.5" x14ac:dyDescent="0.25">
      <c r="A676" s="19" t="s">
        <v>1062</v>
      </c>
      <c r="B676" s="60" t="s">
        <v>1063</v>
      </c>
      <c r="C676" s="51" t="s">
        <v>981</v>
      </c>
      <c r="D676" s="20"/>
      <c r="E676" s="21">
        <f>SUM(E677:E677)</f>
        <v>24.9</v>
      </c>
      <c r="F676" s="21">
        <f>SUM(F677:F677)</f>
        <v>24.9</v>
      </c>
      <c r="G676" s="21">
        <f>SUM(G677:G677)</f>
        <v>24.9</v>
      </c>
      <c r="H676" s="60" t="s">
        <v>1022</v>
      </c>
      <c r="I676" s="22" t="s">
        <v>18</v>
      </c>
      <c r="J676" s="23">
        <v>100</v>
      </c>
      <c r="K676" s="23">
        <v>100</v>
      </c>
      <c r="L676" s="23">
        <v>100</v>
      </c>
    </row>
    <row r="677" spans="1:12" ht="15.75" thickBot="1" x14ac:dyDescent="0.3">
      <c r="A677" s="15"/>
      <c r="B677" s="61"/>
      <c r="C677" s="52"/>
      <c r="D677" s="16" t="s">
        <v>126</v>
      </c>
      <c r="E677" s="4">
        <v>24.9</v>
      </c>
      <c r="F677" s="4">
        <v>24.9</v>
      </c>
      <c r="G677" s="4">
        <v>24.9</v>
      </c>
      <c r="H677" s="61"/>
      <c r="I677" s="17"/>
      <c r="J677" s="18"/>
      <c r="K677" s="18"/>
      <c r="L677" s="18"/>
    </row>
    <row r="678" spans="1:12" ht="26.25" thickBot="1" x14ac:dyDescent="0.3">
      <c r="A678" s="19" t="s">
        <v>1064</v>
      </c>
      <c r="B678" s="60" t="s">
        <v>1065</v>
      </c>
      <c r="C678" s="51" t="s">
        <v>981</v>
      </c>
      <c r="D678" s="20" t="s">
        <v>497</v>
      </c>
      <c r="E678" s="24">
        <v>38.4</v>
      </c>
      <c r="F678" s="24">
        <v>40.299999999999997</v>
      </c>
      <c r="G678" s="24">
        <v>41.2</v>
      </c>
      <c r="H678" s="60" t="s">
        <v>1066</v>
      </c>
      <c r="I678" s="22" t="s">
        <v>18</v>
      </c>
      <c r="J678" s="23">
        <v>100</v>
      </c>
      <c r="K678" s="23">
        <v>100</v>
      </c>
      <c r="L678" s="23">
        <v>100</v>
      </c>
    </row>
    <row r="679" spans="1:12" ht="39" thickBot="1" x14ac:dyDescent="0.3">
      <c r="A679" s="25" t="s">
        <v>1067</v>
      </c>
      <c r="B679" s="59" t="s">
        <v>1068</v>
      </c>
      <c r="C679" s="50"/>
      <c r="D679" s="26"/>
      <c r="E679" s="27">
        <f>E680+E681+E685+E686</f>
        <v>715.19999999999993</v>
      </c>
      <c r="F679" s="27">
        <f>F680+F681+F685+F686</f>
        <v>0</v>
      </c>
      <c r="G679" s="27">
        <f>G680+G681+G685+G686</f>
        <v>0</v>
      </c>
      <c r="H679" s="59"/>
      <c r="I679" s="28"/>
      <c r="J679" s="29"/>
      <c r="K679" s="29"/>
      <c r="L679" s="29"/>
    </row>
    <row r="680" spans="1:12" ht="39" thickBot="1" x14ac:dyDescent="0.3">
      <c r="A680" s="19" t="s">
        <v>1069</v>
      </c>
      <c r="B680" s="60" t="s">
        <v>1070</v>
      </c>
      <c r="C680" s="51" t="s">
        <v>971</v>
      </c>
      <c r="D680" s="20"/>
      <c r="E680" s="24">
        <v>0</v>
      </c>
      <c r="F680" s="24">
        <v>0</v>
      </c>
      <c r="G680" s="24">
        <v>0</v>
      </c>
      <c r="H680" s="60" t="s">
        <v>1071</v>
      </c>
      <c r="I680" s="22" t="s">
        <v>22</v>
      </c>
      <c r="J680" s="23">
        <v>10</v>
      </c>
      <c r="K680" s="23">
        <v>10</v>
      </c>
      <c r="L680" s="23">
        <v>10</v>
      </c>
    </row>
    <row r="681" spans="1:12" ht="25.5" x14ac:dyDescent="0.25">
      <c r="A681" s="19" t="s">
        <v>1072</v>
      </c>
      <c r="B681" s="60" t="s">
        <v>1073</v>
      </c>
      <c r="C681" s="51" t="s">
        <v>139</v>
      </c>
      <c r="D681" s="20"/>
      <c r="E681" s="21">
        <f>SUM(E682:E684)</f>
        <v>548.29999999999995</v>
      </c>
      <c r="F681" s="21">
        <f>SUM(F682:F684)</f>
        <v>0</v>
      </c>
      <c r="G681" s="21">
        <f>SUM(G682:G684)</f>
        <v>0</v>
      </c>
      <c r="H681" s="60" t="s">
        <v>1074</v>
      </c>
      <c r="I681" s="22" t="s">
        <v>22</v>
      </c>
      <c r="J681" s="23">
        <v>2</v>
      </c>
      <c r="K681" s="23"/>
      <c r="L681" s="23"/>
    </row>
    <row r="682" spans="1:12" x14ac:dyDescent="0.25">
      <c r="A682" s="15"/>
      <c r="B682" s="61"/>
      <c r="C682" s="52"/>
      <c r="D682" s="16" t="s">
        <v>36</v>
      </c>
      <c r="E682" s="4">
        <v>6.2</v>
      </c>
      <c r="F682" s="4">
        <v>0</v>
      </c>
      <c r="G682" s="4">
        <v>0</v>
      </c>
      <c r="H682" s="61"/>
      <c r="I682" s="17"/>
      <c r="J682" s="18"/>
      <c r="K682" s="18"/>
      <c r="L682" s="18"/>
    </row>
    <row r="683" spans="1:12" x14ac:dyDescent="0.25">
      <c r="A683" s="15"/>
      <c r="B683" s="61"/>
      <c r="C683" s="52"/>
      <c r="D683" s="16" t="s">
        <v>169</v>
      </c>
      <c r="E683" s="4">
        <v>452.6</v>
      </c>
      <c r="F683" s="4">
        <v>0</v>
      </c>
      <c r="G683" s="4">
        <v>0</v>
      </c>
      <c r="H683" s="61"/>
      <c r="I683" s="17"/>
      <c r="J683" s="18"/>
      <c r="K683" s="18"/>
      <c r="L683" s="18"/>
    </row>
    <row r="684" spans="1:12" ht="15.75" thickBot="1" x14ac:dyDescent="0.3">
      <c r="A684" s="15"/>
      <c r="B684" s="61"/>
      <c r="C684" s="52"/>
      <c r="D684" s="16" t="s">
        <v>126</v>
      </c>
      <c r="E684" s="4">
        <v>89.5</v>
      </c>
      <c r="F684" s="4">
        <v>0</v>
      </c>
      <c r="G684" s="4">
        <v>0</v>
      </c>
      <c r="H684" s="61"/>
      <c r="I684" s="17"/>
      <c r="J684" s="18"/>
      <c r="K684" s="18"/>
      <c r="L684" s="18"/>
    </row>
    <row r="685" spans="1:12" ht="39" thickBot="1" x14ac:dyDescent="0.3">
      <c r="A685" s="19" t="s">
        <v>1075</v>
      </c>
      <c r="B685" s="60" t="s">
        <v>1076</v>
      </c>
      <c r="C685" s="51" t="s">
        <v>1077</v>
      </c>
      <c r="D685" s="20"/>
      <c r="E685" s="24">
        <v>0</v>
      </c>
      <c r="F685" s="24">
        <v>0</v>
      </c>
      <c r="G685" s="24">
        <v>0</v>
      </c>
      <c r="H685" s="60"/>
      <c r="I685" s="22"/>
      <c r="J685" s="23"/>
      <c r="K685" s="23"/>
      <c r="L685" s="23"/>
    </row>
    <row r="686" spans="1:12" ht="38.25" x14ac:dyDescent="0.25">
      <c r="A686" s="19" t="s">
        <v>1078</v>
      </c>
      <c r="B686" s="60" t="s">
        <v>1079</v>
      </c>
      <c r="C686" s="51" t="s">
        <v>139</v>
      </c>
      <c r="D686" s="20"/>
      <c r="E686" s="21">
        <f>SUM(E687:E688)</f>
        <v>166.9</v>
      </c>
      <c r="F686" s="21">
        <f>SUM(F687:F688)</f>
        <v>0</v>
      </c>
      <c r="G686" s="21">
        <f>SUM(G687:G688)</f>
        <v>0</v>
      </c>
      <c r="H686" s="60" t="s">
        <v>342</v>
      </c>
      <c r="I686" s="22" t="s">
        <v>265</v>
      </c>
      <c r="J686" s="23">
        <v>18</v>
      </c>
      <c r="K686" s="23"/>
      <c r="L686" s="23"/>
    </row>
    <row r="687" spans="1:12" x14ac:dyDescent="0.25">
      <c r="A687" s="15"/>
      <c r="B687" s="61"/>
      <c r="C687" s="52"/>
      <c r="D687" s="16" t="s">
        <v>27</v>
      </c>
      <c r="E687" s="4">
        <v>161.1</v>
      </c>
      <c r="F687" s="4">
        <v>0</v>
      </c>
      <c r="G687" s="4">
        <v>0</v>
      </c>
      <c r="H687" s="61"/>
      <c r="I687" s="17"/>
      <c r="J687" s="18"/>
      <c r="K687" s="18"/>
      <c r="L687" s="18"/>
    </row>
    <row r="688" spans="1:12" ht="15.75" thickBot="1" x14ac:dyDescent="0.3">
      <c r="A688" s="15"/>
      <c r="B688" s="61"/>
      <c r="C688" s="52"/>
      <c r="D688" s="16" t="s">
        <v>36</v>
      </c>
      <c r="E688" s="4">
        <v>5.8</v>
      </c>
      <c r="F688" s="4">
        <v>0</v>
      </c>
      <c r="G688" s="4">
        <v>0</v>
      </c>
      <c r="H688" s="61"/>
      <c r="I688" s="17"/>
      <c r="J688" s="18"/>
      <c r="K688" s="18"/>
      <c r="L688" s="18"/>
    </row>
    <row r="689" spans="1:12" ht="15.75" thickBot="1" x14ac:dyDescent="0.3">
      <c r="A689" s="25" t="s">
        <v>1080</v>
      </c>
      <c r="B689" s="59" t="s">
        <v>1081</v>
      </c>
      <c r="C689" s="50"/>
      <c r="D689" s="26"/>
      <c r="E689" s="27">
        <f>E690+E693</f>
        <v>7390.4</v>
      </c>
      <c r="F689" s="27">
        <f>F690+F693</f>
        <v>6970</v>
      </c>
      <c r="G689" s="27">
        <f>G690+G693</f>
        <v>5974.5</v>
      </c>
      <c r="H689" s="59"/>
      <c r="I689" s="28"/>
      <c r="J689" s="29"/>
      <c r="K689" s="29"/>
      <c r="L689" s="29"/>
    </row>
    <row r="690" spans="1:12" ht="38.25" x14ac:dyDescent="0.25">
      <c r="A690" s="19" t="s">
        <v>1082</v>
      </c>
      <c r="B690" s="60" t="s">
        <v>1083</v>
      </c>
      <c r="C690" s="51" t="s">
        <v>1013</v>
      </c>
      <c r="D690" s="20"/>
      <c r="E690" s="21">
        <f>SUM(E691:E692)</f>
        <v>4790.3999999999996</v>
      </c>
      <c r="F690" s="21">
        <f>SUM(F691:F692)</f>
        <v>4323.2</v>
      </c>
      <c r="G690" s="21">
        <f>SUM(G691:G692)</f>
        <v>3269.5</v>
      </c>
      <c r="H690" s="60" t="s">
        <v>1084</v>
      </c>
      <c r="I690" s="22" t="s">
        <v>265</v>
      </c>
      <c r="J690" s="23">
        <v>7</v>
      </c>
      <c r="K690" s="23">
        <v>7</v>
      </c>
      <c r="L690" s="23">
        <v>6</v>
      </c>
    </row>
    <row r="691" spans="1:12" x14ac:dyDescent="0.25">
      <c r="A691" s="15"/>
      <c r="B691" s="61"/>
      <c r="C691" s="52"/>
      <c r="D691" s="16" t="s">
        <v>27</v>
      </c>
      <c r="E691" s="4">
        <v>4290.3999999999996</v>
      </c>
      <c r="F691" s="4">
        <v>4323.2</v>
      </c>
      <c r="G691" s="4">
        <v>3269.5</v>
      </c>
      <c r="H691" s="61" t="s">
        <v>1085</v>
      </c>
      <c r="I691" s="17" t="s">
        <v>18</v>
      </c>
      <c r="J691" s="18">
        <v>100</v>
      </c>
      <c r="K691" s="18">
        <v>100</v>
      </c>
      <c r="L691" s="18">
        <v>100</v>
      </c>
    </row>
    <row r="692" spans="1:12" ht="15.75" thickBot="1" x14ac:dyDescent="0.3">
      <c r="A692" s="15"/>
      <c r="B692" s="61"/>
      <c r="C692" s="52"/>
      <c r="D692" s="16" t="s">
        <v>36</v>
      </c>
      <c r="E692" s="4">
        <v>500</v>
      </c>
      <c r="F692" s="4"/>
      <c r="G692" s="4"/>
      <c r="H692" s="61"/>
      <c r="I692" s="17"/>
      <c r="J692" s="18"/>
      <c r="K692" s="18"/>
      <c r="L692" s="18"/>
    </row>
    <row r="693" spans="1:12" ht="25.5" x14ac:dyDescent="0.25">
      <c r="A693" s="19" t="s">
        <v>1086</v>
      </c>
      <c r="B693" s="60" t="s">
        <v>1087</v>
      </c>
      <c r="C693" s="51" t="s">
        <v>394</v>
      </c>
      <c r="D693" s="20"/>
      <c r="E693" s="21">
        <f>SUM(E694:E695)</f>
        <v>2600</v>
      </c>
      <c r="F693" s="21">
        <f>SUM(F694:F695)</f>
        <v>2646.8</v>
      </c>
      <c r="G693" s="21">
        <f>SUM(G694:G695)</f>
        <v>2705</v>
      </c>
      <c r="H693" s="60" t="s">
        <v>968</v>
      </c>
      <c r="I693" s="22" t="s">
        <v>18</v>
      </c>
      <c r="J693" s="23">
        <v>100</v>
      </c>
      <c r="K693" s="23">
        <v>100</v>
      </c>
      <c r="L693" s="23">
        <v>100</v>
      </c>
    </row>
    <row r="694" spans="1:12" x14ac:dyDescent="0.25">
      <c r="A694" s="15"/>
      <c r="B694" s="61"/>
      <c r="C694" s="52"/>
      <c r="D694" s="16" t="s">
        <v>27</v>
      </c>
      <c r="E694" s="4">
        <v>700</v>
      </c>
      <c r="F694" s="4">
        <v>2646.8</v>
      </c>
      <c r="G694" s="4">
        <v>2705</v>
      </c>
      <c r="H694" s="61"/>
      <c r="I694" s="17"/>
      <c r="J694" s="18"/>
      <c r="K694" s="18"/>
      <c r="L694" s="18"/>
    </row>
    <row r="695" spans="1:12" ht="15.75" thickBot="1" x14ac:dyDescent="0.3">
      <c r="A695" s="15"/>
      <c r="B695" s="61"/>
      <c r="C695" s="52"/>
      <c r="D695" s="16" t="s">
        <v>36</v>
      </c>
      <c r="E695" s="4">
        <v>1900</v>
      </c>
      <c r="F695" s="4">
        <v>0</v>
      </c>
      <c r="G695" s="4">
        <v>0</v>
      </c>
      <c r="H695" s="61"/>
      <c r="I695" s="17"/>
      <c r="J695" s="18"/>
      <c r="K695" s="18"/>
      <c r="L695" s="18"/>
    </row>
    <row r="696" spans="1:12" ht="26.25" thickBot="1" x14ac:dyDescent="0.3">
      <c r="A696" s="25" t="s">
        <v>1088</v>
      </c>
      <c r="B696" s="59" t="s">
        <v>1089</v>
      </c>
      <c r="C696" s="50" t="s">
        <v>971</v>
      </c>
      <c r="D696" s="26"/>
      <c r="E696" s="27">
        <f>SUM(E697:E699)</f>
        <v>10</v>
      </c>
      <c r="F696" s="27">
        <f>SUM(F697:F699)</f>
        <v>0</v>
      </c>
      <c r="G696" s="27">
        <f>SUM(G697:G699)</f>
        <v>0</v>
      </c>
      <c r="H696" s="59"/>
      <c r="I696" s="28"/>
      <c r="J696" s="29"/>
      <c r="K696" s="29"/>
      <c r="L696" s="29"/>
    </row>
    <row r="697" spans="1:12" ht="39" thickBot="1" x14ac:dyDescent="0.3">
      <c r="A697" s="19" t="s">
        <v>1090</v>
      </c>
      <c r="B697" s="60" t="s">
        <v>1091</v>
      </c>
      <c r="C697" s="51" t="s">
        <v>971</v>
      </c>
      <c r="D697" s="20"/>
      <c r="E697" s="24">
        <v>0</v>
      </c>
      <c r="F697" s="24">
        <v>0</v>
      </c>
      <c r="G697" s="24">
        <v>0</v>
      </c>
      <c r="H697" s="60" t="s">
        <v>1092</v>
      </c>
      <c r="I697" s="22" t="s">
        <v>18</v>
      </c>
      <c r="J697" s="23">
        <v>100</v>
      </c>
      <c r="K697" s="23">
        <v>100</v>
      </c>
      <c r="L697" s="23">
        <v>100</v>
      </c>
    </row>
    <row r="698" spans="1:12" ht="39" thickBot="1" x14ac:dyDescent="0.3">
      <c r="A698" s="19" t="s">
        <v>1093</v>
      </c>
      <c r="B698" s="60" t="s">
        <v>1094</v>
      </c>
      <c r="C698" s="51" t="s">
        <v>971</v>
      </c>
      <c r="D698" s="20"/>
      <c r="E698" s="24">
        <v>0</v>
      </c>
      <c r="F698" s="24">
        <v>0</v>
      </c>
      <c r="G698" s="24">
        <v>0</v>
      </c>
      <c r="H698" s="60" t="s">
        <v>1095</v>
      </c>
      <c r="I698" s="22" t="s">
        <v>22</v>
      </c>
      <c r="J698" s="23">
        <v>1</v>
      </c>
      <c r="K698" s="23">
        <v>2</v>
      </c>
      <c r="L698" s="23">
        <v>2</v>
      </c>
    </row>
    <row r="699" spans="1:12" ht="26.25" thickBot="1" x14ac:dyDescent="0.3">
      <c r="A699" s="19" t="s">
        <v>1096</v>
      </c>
      <c r="B699" s="60" t="s">
        <v>1097</v>
      </c>
      <c r="C699" s="51" t="s">
        <v>971</v>
      </c>
      <c r="D699" s="20" t="s">
        <v>36</v>
      </c>
      <c r="E699" s="24">
        <v>10</v>
      </c>
      <c r="F699" s="24">
        <v>0</v>
      </c>
      <c r="G699" s="24">
        <v>0</v>
      </c>
      <c r="H699" s="60" t="s">
        <v>1098</v>
      </c>
      <c r="I699" s="22" t="s">
        <v>22</v>
      </c>
      <c r="J699" s="23">
        <v>3</v>
      </c>
      <c r="K699" s="23">
        <v>3</v>
      </c>
      <c r="L699" s="23">
        <v>4</v>
      </c>
    </row>
    <row r="700" spans="1:12" ht="25.5" x14ac:dyDescent="0.25">
      <c r="A700" s="30" t="s">
        <v>1099</v>
      </c>
      <c r="B700" s="58" t="s">
        <v>1100</v>
      </c>
      <c r="C700" s="49"/>
      <c r="D700" s="31"/>
      <c r="E700" s="32">
        <f>SUM(E701:E702)</f>
        <v>448</v>
      </c>
      <c r="F700" s="32">
        <f>SUM(F701:F702)</f>
        <v>365.2</v>
      </c>
      <c r="G700" s="32">
        <f>SUM(G701:G702)</f>
        <v>365.9</v>
      </c>
      <c r="H700" s="58" t="s">
        <v>1101</v>
      </c>
      <c r="I700" s="33" t="s">
        <v>18</v>
      </c>
      <c r="J700" s="34">
        <v>100</v>
      </c>
      <c r="K700" s="34">
        <v>100</v>
      </c>
      <c r="L700" s="34">
        <v>100</v>
      </c>
    </row>
    <row r="701" spans="1:12" ht="15.75" thickBot="1" x14ac:dyDescent="0.3">
      <c r="A701" s="15"/>
      <c r="B701" s="61"/>
      <c r="C701" s="52"/>
      <c r="D701" s="16"/>
      <c r="E701" s="4">
        <v>0</v>
      </c>
      <c r="F701" s="4">
        <v>0</v>
      </c>
      <c r="G701" s="4">
        <v>0</v>
      </c>
      <c r="H701" s="61" t="s">
        <v>1102</v>
      </c>
      <c r="I701" s="17" t="s">
        <v>22</v>
      </c>
      <c r="J701" s="18">
        <v>38</v>
      </c>
      <c r="K701" s="18">
        <v>39</v>
      </c>
      <c r="L701" s="18">
        <v>39</v>
      </c>
    </row>
    <row r="702" spans="1:12" ht="39" thickBot="1" x14ac:dyDescent="0.3">
      <c r="A702" s="25" t="s">
        <v>1103</v>
      </c>
      <c r="B702" s="59" t="s">
        <v>1104</v>
      </c>
      <c r="C702" s="50"/>
      <c r="D702" s="26"/>
      <c r="E702" s="27">
        <f>E703+E704+E705+E707+E709+E712+E715+E718</f>
        <v>448</v>
      </c>
      <c r="F702" s="27">
        <f>F703+F704+F705+F707+F709+F712+F715+F718</f>
        <v>365.2</v>
      </c>
      <c r="G702" s="27">
        <f>G703+G704+G705+G707+G709+G712+G715+G718</f>
        <v>365.9</v>
      </c>
      <c r="H702" s="59"/>
      <c r="I702" s="28"/>
      <c r="J702" s="29"/>
      <c r="K702" s="29"/>
      <c r="L702" s="29"/>
    </row>
    <row r="703" spans="1:12" ht="39" thickBot="1" x14ac:dyDescent="0.3">
      <c r="A703" s="19" t="s">
        <v>1105</v>
      </c>
      <c r="B703" s="60" t="s">
        <v>1106</v>
      </c>
      <c r="C703" s="51" t="s">
        <v>258</v>
      </c>
      <c r="D703" s="20" t="s">
        <v>27</v>
      </c>
      <c r="E703" s="24">
        <v>43</v>
      </c>
      <c r="F703" s="24">
        <v>45</v>
      </c>
      <c r="G703" s="24">
        <v>45</v>
      </c>
      <c r="H703" s="60" t="s">
        <v>1107</v>
      </c>
      <c r="I703" s="22" t="s">
        <v>265</v>
      </c>
      <c r="J703" s="23">
        <v>7</v>
      </c>
      <c r="K703" s="23">
        <v>7</v>
      </c>
      <c r="L703" s="23">
        <v>7</v>
      </c>
    </row>
    <row r="704" spans="1:12" ht="39" thickBot="1" x14ac:dyDescent="0.3">
      <c r="A704" s="19" t="s">
        <v>1108</v>
      </c>
      <c r="B704" s="60" t="s">
        <v>1109</v>
      </c>
      <c r="C704" s="51" t="s">
        <v>258</v>
      </c>
      <c r="D704" s="20"/>
      <c r="E704" s="24">
        <v>0</v>
      </c>
      <c r="F704" s="24">
        <v>0</v>
      </c>
      <c r="G704" s="24">
        <v>0</v>
      </c>
      <c r="H704" s="60"/>
      <c r="I704" s="22"/>
      <c r="J704" s="23"/>
      <c r="K704" s="23"/>
      <c r="L704" s="23"/>
    </row>
    <row r="705" spans="1:12" ht="63.75" x14ac:dyDescent="0.25">
      <c r="A705" s="19" t="s">
        <v>1110</v>
      </c>
      <c r="B705" s="60" t="s">
        <v>1111</v>
      </c>
      <c r="C705" s="51" t="s">
        <v>1112</v>
      </c>
      <c r="D705" s="20"/>
      <c r="E705" s="21">
        <f>SUM(E706:E706)</f>
        <v>73.5</v>
      </c>
      <c r="F705" s="21">
        <f>SUM(F706:F706)</f>
        <v>73.5</v>
      </c>
      <c r="G705" s="21">
        <f>SUM(G706:G706)</f>
        <v>73.5</v>
      </c>
      <c r="H705" s="60" t="s">
        <v>1113</v>
      </c>
      <c r="I705" s="22" t="s">
        <v>22</v>
      </c>
      <c r="J705" s="23">
        <v>10</v>
      </c>
      <c r="K705" s="23">
        <v>11</v>
      </c>
      <c r="L705" s="23">
        <v>10</v>
      </c>
    </row>
    <row r="706" spans="1:12" ht="15.75" thickBot="1" x14ac:dyDescent="0.3">
      <c r="A706" s="15"/>
      <c r="B706" s="61"/>
      <c r="C706" s="52"/>
      <c r="D706" s="16" t="s">
        <v>126</v>
      </c>
      <c r="E706" s="4">
        <v>73.5</v>
      </c>
      <c r="F706" s="4">
        <v>73.5</v>
      </c>
      <c r="G706" s="4">
        <v>73.5</v>
      </c>
      <c r="H706" s="61"/>
      <c r="I706" s="17"/>
      <c r="J706" s="18"/>
      <c r="K706" s="18"/>
      <c r="L706" s="18"/>
    </row>
    <row r="707" spans="1:12" ht="63.75" x14ac:dyDescent="0.25">
      <c r="A707" s="19" t="s">
        <v>1114</v>
      </c>
      <c r="B707" s="60" t="s">
        <v>1115</v>
      </c>
      <c r="C707" s="51" t="s">
        <v>1112</v>
      </c>
      <c r="D707" s="20" t="s">
        <v>27</v>
      </c>
      <c r="E707" s="21">
        <f>SUM(E708:E708)+30.5</f>
        <v>30.5</v>
      </c>
      <c r="F707" s="21">
        <f>SUM(F708:F708)+31.2</f>
        <v>31.2</v>
      </c>
      <c r="G707" s="21">
        <f>SUM(G708:G708)+31.7</f>
        <v>31.7</v>
      </c>
      <c r="H707" s="60" t="s">
        <v>1113</v>
      </c>
      <c r="I707" s="22" t="s">
        <v>22</v>
      </c>
      <c r="J707" s="23">
        <v>10</v>
      </c>
      <c r="K707" s="23">
        <v>11</v>
      </c>
      <c r="L707" s="23">
        <v>12</v>
      </c>
    </row>
    <row r="708" spans="1:12" ht="15.75" thickBot="1" x14ac:dyDescent="0.3">
      <c r="A708" s="15"/>
      <c r="B708" s="61"/>
      <c r="C708" s="52"/>
      <c r="D708" s="16"/>
      <c r="E708" s="4">
        <v>0</v>
      </c>
      <c r="F708" s="4">
        <v>0</v>
      </c>
      <c r="G708" s="4">
        <v>0</v>
      </c>
      <c r="H708" s="61" t="s">
        <v>1116</v>
      </c>
      <c r="I708" s="17" t="s">
        <v>22</v>
      </c>
      <c r="J708" s="18">
        <v>1</v>
      </c>
      <c r="K708" s="18"/>
      <c r="L708" s="18"/>
    </row>
    <row r="709" spans="1:12" ht="25.5" x14ac:dyDescent="0.25">
      <c r="A709" s="19" t="s">
        <v>1117</v>
      </c>
      <c r="B709" s="60" t="s">
        <v>1118</v>
      </c>
      <c r="C709" s="51" t="s">
        <v>139</v>
      </c>
      <c r="D709" s="20"/>
      <c r="E709" s="21">
        <f>SUM(E710:E711)</f>
        <v>51.7</v>
      </c>
      <c r="F709" s="21">
        <f>SUM(F710:F711)</f>
        <v>0</v>
      </c>
      <c r="G709" s="21">
        <f>SUM(G710:G711)</f>
        <v>0</v>
      </c>
      <c r="H709" s="60" t="s">
        <v>1119</v>
      </c>
      <c r="I709" s="22" t="s">
        <v>22</v>
      </c>
      <c r="J709" s="23">
        <v>5</v>
      </c>
      <c r="K709" s="23"/>
      <c r="L709" s="23"/>
    </row>
    <row r="710" spans="1:12" x14ac:dyDescent="0.25">
      <c r="A710" s="15"/>
      <c r="B710" s="61"/>
      <c r="C710" s="52"/>
      <c r="D710" s="16" t="s">
        <v>36</v>
      </c>
      <c r="E710" s="4">
        <v>24.4</v>
      </c>
      <c r="F710" s="4">
        <v>0</v>
      </c>
      <c r="G710" s="4">
        <v>0</v>
      </c>
      <c r="H710" s="61"/>
      <c r="I710" s="17"/>
      <c r="J710" s="18"/>
      <c r="K710" s="18"/>
      <c r="L710" s="18"/>
    </row>
    <row r="711" spans="1:12" ht="15.75" thickBot="1" x14ac:dyDescent="0.3">
      <c r="A711" s="15"/>
      <c r="B711" s="61"/>
      <c r="C711" s="52"/>
      <c r="D711" s="16" t="s">
        <v>27</v>
      </c>
      <c r="E711" s="4">
        <v>27.3</v>
      </c>
      <c r="F711" s="4">
        <v>0</v>
      </c>
      <c r="G711" s="4">
        <v>0</v>
      </c>
      <c r="H711" s="61"/>
      <c r="I711" s="17"/>
      <c r="J711" s="18"/>
      <c r="K711" s="18"/>
      <c r="L711" s="18"/>
    </row>
    <row r="712" spans="1:12" ht="76.5" x14ac:dyDescent="0.25">
      <c r="A712" s="19" t="s">
        <v>1120</v>
      </c>
      <c r="B712" s="60" t="s">
        <v>1121</v>
      </c>
      <c r="C712" s="51" t="s">
        <v>1122</v>
      </c>
      <c r="D712" s="20"/>
      <c r="E712" s="21">
        <f>SUM(E713:E714)</f>
        <v>234</v>
      </c>
      <c r="F712" s="21">
        <f>SUM(F713:F714)</f>
        <v>200</v>
      </c>
      <c r="G712" s="21">
        <f>SUM(G713:G714)</f>
        <v>200</v>
      </c>
      <c r="H712" s="60" t="s">
        <v>1113</v>
      </c>
      <c r="I712" s="22" t="s">
        <v>22</v>
      </c>
      <c r="J712" s="23">
        <v>2</v>
      </c>
      <c r="K712" s="23">
        <v>2</v>
      </c>
      <c r="L712" s="23">
        <v>2</v>
      </c>
    </row>
    <row r="713" spans="1:12" x14ac:dyDescent="0.25">
      <c r="A713" s="15"/>
      <c r="B713" s="61"/>
      <c r="C713" s="52"/>
      <c r="D713" s="16" t="s">
        <v>27</v>
      </c>
      <c r="E713" s="4">
        <v>200</v>
      </c>
      <c r="F713" s="4">
        <v>200</v>
      </c>
      <c r="G713" s="4">
        <v>200</v>
      </c>
      <c r="H713" s="61"/>
      <c r="I713" s="17"/>
      <c r="J713" s="18"/>
      <c r="K713" s="18"/>
      <c r="L713" s="18"/>
    </row>
    <row r="714" spans="1:12" ht="15.75" thickBot="1" x14ac:dyDescent="0.3">
      <c r="A714" s="15"/>
      <c r="B714" s="61"/>
      <c r="C714" s="52"/>
      <c r="D714" s="16" t="s">
        <v>36</v>
      </c>
      <c r="E714" s="4">
        <v>34</v>
      </c>
      <c r="F714" s="4">
        <v>0</v>
      </c>
      <c r="G714" s="4">
        <v>0</v>
      </c>
      <c r="H714" s="61"/>
      <c r="I714" s="17"/>
      <c r="J714" s="18"/>
      <c r="K714" s="18"/>
      <c r="L714" s="18"/>
    </row>
    <row r="715" spans="1:12" ht="51" x14ac:dyDescent="0.25">
      <c r="A715" s="19" t="s">
        <v>1123</v>
      </c>
      <c r="B715" s="60" t="s">
        <v>1036</v>
      </c>
      <c r="C715" s="51" t="s">
        <v>1037</v>
      </c>
      <c r="D715" s="20" t="s">
        <v>27</v>
      </c>
      <c r="E715" s="21">
        <f>SUM(E716:E717)+10.3</f>
        <v>10.3</v>
      </c>
      <c r="F715" s="21">
        <f>SUM(F716:F717)+10.5</f>
        <v>10.5</v>
      </c>
      <c r="G715" s="21">
        <f>SUM(G716:G717)+10.7</f>
        <v>10.7</v>
      </c>
      <c r="H715" s="60" t="s">
        <v>1113</v>
      </c>
      <c r="I715" s="22" t="s">
        <v>22</v>
      </c>
      <c r="J715" s="23">
        <v>5</v>
      </c>
      <c r="K715" s="23">
        <v>5</v>
      </c>
      <c r="L715" s="23">
        <v>5</v>
      </c>
    </row>
    <row r="716" spans="1:12" x14ac:dyDescent="0.25">
      <c r="A716" s="15"/>
      <c r="B716" s="61"/>
      <c r="C716" s="52"/>
      <c r="D716" s="16"/>
      <c r="E716" s="4">
        <v>0</v>
      </c>
      <c r="F716" s="4">
        <v>0</v>
      </c>
      <c r="G716" s="4">
        <v>0</v>
      </c>
      <c r="H716" s="61" t="s">
        <v>1124</v>
      </c>
      <c r="I716" s="17" t="s">
        <v>265</v>
      </c>
      <c r="J716" s="63">
        <v>1000</v>
      </c>
      <c r="K716" s="63">
        <v>1000</v>
      </c>
      <c r="L716" s="63">
        <v>1000</v>
      </c>
    </row>
    <row r="717" spans="1:12" ht="26.25" thickBot="1" x14ac:dyDescent="0.3">
      <c r="A717" s="15"/>
      <c r="B717" s="61"/>
      <c r="C717" s="52"/>
      <c r="D717" s="16"/>
      <c r="E717" s="4">
        <v>0</v>
      </c>
      <c r="F717" s="4">
        <v>0</v>
      </c>
      <c r="G717" s="4">
        <v>0</v>
      </c>
      <c r="H717" s="61" t="s">
        <v>1125</v>
      </c>
      <c r="I717" s="17" t="s">
        <v>18</v>
      </c>
      <c r="J717" s="18">
        <v>0.6</v>
      </c>
      <c r="K717" s="18">
        <v>0.6</v>
      </c>
      <c r="L717" s="18">
        <v>0.6</v>
      </c>
    </row>
    <row r="718" spans="1:12" ht="63.75" x14ac:dyDescent="0.25">
      <c r="A718" s="19" t="s">
        <v>1126</v>
      </c>
      <c r="B718" s="60" t="s">
        <v>1127</v>
      </c>
      <c r="C718" s="51" t="s">
        <v>856</v>
      </c>
      <c r="D718" s="20" t="s">
        <v>27</v>
      </c>
      <c r="E718" s="21">
        <f>SUM(E719:E721)+5</f>
        <v>5</v>
      </c>
      <c r="F718" s="21">
        <f>SUM(F719:F721)+5</f>
        <v>5</v>
      </c>
      <c r="G718" s="21">
        <f>SUM(G719:G721)+5</f>
        <v>5</v>
      </c>
      <c r="H718" s="60" t="s">
        <v>1128</v>
      </c>
      <c r="I718" s="22" t="s">
        <v>22</v>
      </c>
      <c r="J718" s="23">
        <v>1</v>
      </c>
      <c r="K718" s="23"/>
      <c r="L718" s="23"/>
    </row>
    <row r="719" spans="1:12" x14ac:dyDescent="0.25">
      <c r="A719" s="15"/>
      <c r="B719" s="61"/>
      <c r="C719" s="52"/>
      <c r="D719" s="16"/>
      <c r="E719" s="4">
        <v>0</v>
      </c>
      <c r="F719" s="4">
        <v>0</v>
      </c>
      <c r="G719" s="4">
        <v>0</v>
      </c>
      <c r="H719" s="61" t="s">
        <v>1129</v>
      </c>
      <c r="I719" s="17" t="s">
        <v>22</v>
      </c>
      <c r="J719" s="63">
        <v>15000</v>
      </c>
      <c r="K719" s="18"/>
      <c r="L719" s="18"/>
    </row>
    <row r="720" spans="1:12" ht="38.25" x14ac:dyDescent="0.25">
      <c r="A720" s="15"/>
      <c r="B720" s="61"/>
      <c r="C720" s="52"/>
      <c r="D720" s="16"/>
      <c r="E720" s="4">
        <v>0</v>
      </c>
      <c r="F720" s="4">
        <v>0</v>
      </c>
      <c r="G720" s="4">
        <v>0</v>
      </c>
      <c r="H720" s="61" t="s">
        <v>1130</v>
      </c>
      <c r="I720" s="17" t="s">
        <v>22</v>
      </c>
      <c r="J720" s="18">
        <v>1</v>
      </c>
      <c r="K720" s="18">
        <v>1</v>
      </c>
      <c r="L720" s="18">
        <v>1</v>
      </c>
    </row>
    <row r="721" spans="1:12" ht="15.75" thickBot="1" x14ac:dyDescent="0.3">
      <c r="A721" s="10"/>
      <c r="B721" s="62"/>
      <c r="C721" s="62"/>
      <c r="D721" s="11"/>
      <c r="E721" s="12">
        <v>0</v>
      </c>
      <c r="F721" s="12">
        <v>0</v>
      </c>
      <c r="G721" s="12">
        <v>0</v>
      </c>
      <c r="H721" s="62" t="s">
        <v>1131</v>
      </c>
      <c r="I721" s="13" t="s">
        <v>22</v>
      </c>
      <c r="J721" s="14"/>
      <c r="K721" s="14"/>
      <c r="L721" s="14">
        <v>1</v>
      </c>
    </row>
    <row r="722" spans="1:12" s="43" customFormat="1" x14ac:dyDescent="0.25">
      <c r="A722" s="5"/>
      <c r="B722" s="45"/>
      <c r="C722" s="53"/>
      <c r="D722" s="6"/>
      <c r="E722" s="7"/>
      <c r="F722" s="7"/>
      <c r="G722" s="7"/>
      <c r="H722" s="53"/>
      <c r="I722" s="8"/>
      <c r="J722" s="9"/>
      <c r="K722" s="9"/>
      <c r="L722" s="9"/>
    </row>
    <row r="723" spans="1:12" s="43" customFormat="1" x14ac:dyDescent="0.25">
      <c r="A723" s="5"/>
      <c r="B723" s="45"/>
      <c r="C723" s="53"/>
      <c r="D723" s="6"/>
      <c r="E723" s="7"/>
      <c r="F723" s="7"/>
      <c r="G723" s="7"/>
      <c r="H723" s="53"/>
      <c r="I723" s="8"/>
      <c r="J723" s="9"/>
      <c r="K723" s="9"/>
      <c r="L723" s="9"/>
    </row>
    <row r="724" spans="1:12" ht="24" x14ac:dyDescent="0.25">
      <c r="A724" s="1" t="s">
        <v>1</v>
      </c>
      <c r="B724" s="1" t="s">
        <v>2</v>
      </c>
      <c r="C724" s="1" t="s">
        <v>5</v>
      </c>
      <c r="D724" s="1" t="s">
        <v>6</v>
      </c>
      <c r="E724" s="1" t="s">
        <v>7</v>
      </c>
    </row>
    <row r="725" spans="1:12" ht="16.5" customHeight="1" x14ac:dyDescent="0.25">
      <c r="A725" s="70" t="s">
        <v>1132</v>
      </c>
      <c r="B725" s="67" t="s">
        <v>1133</v>
      </c>
      <c r="C725" s="68">
        <f>SUM(C726:C737)</f>
        <v>188830.30000000002</v>
      </c>
      <c r="D725" s="69">
        <f>SUM(D726:D737)</f>
        <v>181477.7</v>
      </c>
      <c r="E725" s="69">
        <f>SUM(E726:E737)</f>
        <v>164784.79999999999</v>
      </c>
    </row>
    <row r="726" spans="1:12" x14ac:dyDescent="0.25">
      <c r="A726" s="3" t="s">
        <v>27</v>
      </c>
      <c r="B726" s="44" t="s">
        <v>1134</v>
      </c>
      <c r="C726" s="54">
        <v>86281</v>
      </c>
      <c r="D726" s="4">
        <v>102021.2</v>
      </c>
      <c r="E726" s="4">
        <v>96491.6</v>
      </c>
    </row>
    <row r="727" spans="1:12" x14ac:dyDescent="0.25">
      <c r="A727" s="3" t="s">
        <v>147</v>
      </c>
      <c r="B727" s="44" t="s">
        <v>1135</v>
      </c>
      <c r="C727" s="54">
        <v>4160</v>
      </c>
      <c r="D727" s="4">
        <v>4304.3</v>
      </c>
      <c r="E727" s="4">
        <v>0</v>
      </c>
    </row>
    <row r="728" spans="1:12" x14ac:dyDescent="0.25">
      <c r="A728" s="3" t="s">
        <v>637</v>
      </c>
      <c r="B728" s="44" t="s">
        <v>1136</v>
      </c>
      <c r="C728" s="54">
        <v>44325.1</v>
      </c>
      <c r="D728" s="4">
        <v>44526.9</v>
      </c>
      <c r="E728" s="4">
        <v>44530.7</v>
      </c>
    </row>
    <row r="729" spans="1:12" x14ac:dyDescent="0.25">
      <c r="A729" s="3" t="s">
        <v>497</v>
      </c>
      <c r="B729" s="44" t="s">
        <v>1137</v>
      </c>
      <c r="C729" s="54">
        <v>6303.6</v>
      </c>
      <c r="D729" s="4">
        <v>6593</v>
      </c>
      <c r="E729" s="4">
        <v>6682.4</v>
      </c>
    </row>
    <row r="730" spans="1:12" x14ac:dyDescent="0.25">
      <c r="A730" s="3" t="s">
        <v>126</v>
      </c>
      <c r="B730" s="44" t="s">
        <v>1138</v>
      </c>
      <c r="C730" s="54">
        <v>9283.4</v>
      </c>
      <c r="D730" s="4">
        <v>8458</v>
      </c>
      <c r="E730" s="4">
        <v>6762.7</v>
      </c>
    </row>
    <row r="731" spans="1:12" ht="25.5" x14ac:dyDescent="0.25">
      <c r="A731" s="3" t="s">
        <v>295</v>
      </c>
      <c r="B731" s="44" t="s">
        <v>1139</v>
      </c>
      <c r="C731" s="54">
        <v>5020.1000000000004</v>
      </c>
      <c r="D731" s="4">
        <v>5020</v>
      </c>
      <c r="E731" s="4">
        <v>5020</v>
      </c>
    </row>
    <row r="732" spans="1:12" x14ac:dyDescent="0.25">
      <c r="A732" s="3" t="s">
        <v>712</v>
      </c>
      <c r="B732" s="44" t="s">
        <v>1140</v>
      </c>
      <c r="C732" s="54">
        <v>500</v>
      </c>
      <c r="D732" s="4">
        <v>415</v>
      </c>
      <c r="E732" s="4">
        <v>0</v>
      </c>
    </row>
    <row r="733" spans="1:12" x14ac:dyDescent="0.25">
      <c r="A733" s="3" t="s">
        <v>169</v>
      </c>
      <c r="B733" s="44" t="s">
        <v>1141</v>
      </c>
      <c r="C733" s="54">
        <v>10143.299999999999</v>
      </c>
      <c r="D733" s="4">
        <v>4893.1000000000004</v>
      </c>
      <c r="E733" s="4">
        <v>0</v>
      </c>
    </row>
    <row r="734" spans="1:12" x14ac:dyDescent="0.25">
      <c r="A734" s="3" t="s">
        <v>123</v>
      </c>
      <c r="B734" s="44" t="s">
        <v>1142</v>
      </c>
      <c r="C734" s="54">
        <v>4868.7</v>
      </c>
      <c r="D734" s="4">
        <v>4925.2</v>
      </c>
      <c r="E734" s="4">
        <v>4968.3999999999996</v>
      </c>
    </row>
    <row r="735" spans="1:12" ht="25.5" x14ac:dyDescent="0.25">
      <c r="A735" s="3" t="s">
        <v>36</v>
      </c>
      <c r="B735" s="44" t="s">
        <v>1143</v>
      </c>
      <c r="C735" s="54">
        <v>17296.2</v>
      </c>
      <c r="D735" s="4">
        <v>0</v>
      </c>
      <c r="E735" s="4">
        <v>0</v>
      </c>
    </row>
    <row r="736" spans="1:12" ht="25.5" x14ac:dyDescent="0.25">
      <c r="A736" s="3" t="s">
        <v>204</v>
      </c>
      <c r="B736" s="44" t="s">
        <v>1144</v>
      </c>
      <c r="C736" s="54">
        <v>315</v>
      </c>
      <c r="D736" s="4">
        <v>321</v>
      </c>
      <c r="E736" s="4">
        <v>329</v>
      </c>
    </row>
    <row r="737" spans="1:5" ht="25.5" x14ac:dyDescent="0.25">
      <c r="A737" s="3" t="s">
        <v>226</v>
      </c>
      <c r="B737" s="44" t="s">
        <v>1145</v>
      </c>
      <c r="C737" s="54">
        <v>333.9</v>
      </c>
      <c r="D737" s="4">
        <v>0</v>
      </c>
      <c r="E737" s="4">
        <v>0</v>
      </c>
    </row>
    <row r="738" spans="1:5" x14ac:dyDescent="0.25">
      <c r="A738" s="70" t="s">
        <v>1146</v>
      </c>
      <c r="B738" s="67" t="s">
        <v>1147</v>
      </c>
      <c r="C738" s="68">
        <f>SUM(C739:C741)</f>
        <v>31841.4</v>
      </c>
      <c r="D738" s="69">
        <f>SUM(D739:D741)</f>
        <v>32731.699999999997</v>
      </c>
      <c r="E738" s="69">
        <f>SUM(E739:E741)</f>
        <v>30312.400000000001</v>
      </c>
    </row>
    <row r="739" spans="1:5" x14ac:dyDescent="0.25">
      <c r="A739" s="3" t="s">
        <v>128</v>
      </c>
      <c r="B739" s="44" t="s">
        <v>1148</v>
      </c>
      <c r="C739" s="54">
        <v>29763.200000000001</v>
      </c>
      <c r="D739" s="4">
        <v>31260.6</v>
      </c>
      <c r="E739" s="4">
        <v>28916.3</v>
      </c>
    </row>
    <row r="740" spans="1:5" x14ac:dyDescent="0.25">
      <c r="A740" s="3" t="s">
        <v>132</v>
      </c>
      <c r="B740" s="44" t="s">
        <v>1149</v>
      </c>
      <c r="C740" s="54">
        <v>1208</v>
      </c>
      <c r="D740" s="4">
        <v>632.29999999999995</v>
      </c>
      <c r="E740" s="4">
        <v>546.4</v>
      </c>
    </row>
    <row r="741" spans="1:5" x14ac:dyDescent="0.25">
      <c r="A741" s="3" t="s">
        <v>130</v>
      </c>
      <c r="B741" s="44" t="s">
        <v>1150</v>
      </c>
      <c r="C741" s="54">
        <v>870.2</v>
      </c>
      <c r="D741" s="4">
        <v>838.8</v>
      </c>
      <c r="E741" s="4">
        <v>849.7</v>
      </c>
    </row>
    <row r="742" spans="1:5" x14ac:dyDescent="0.25">
      <c r="A742" s="40"/>
      <c r="B742" s="46" t="s">
        <v>1151</v>
      </c>
      <c r="C742" s="55">
        <f>C725+C738</f>
        <v>220671.7</v>
      </c>
      <c r="D742" s="41">
        <f>D725+D738</f>
        <v>214209.40000000002</v>
      </c>
      <c r="E742" s="41">
        <f>E725+E738</f>
        <v>195097.19999999998</v>
      </c>
    </row>
  </sheetData>
  <mergeCells count="21">
    <mergeCell ref="G98:G99"/>
    <mergeCell ref="B98:B99"/>
    <mergeCell ref="C98:C99"/>
    <mergeCell ref="D98:D99"/>
    <mergeCell ref="E98:E99"/>
    <mergeCell ref="F98:F99"/>
    <mergeCell ref="I2:L2"/>
    <mergeCell ref="I3:L3"/>
    <mergeCell ref="K8:L8"/>
    <mergeCell ref="A6:L6"/>
    <mergeCell ref="A9:A11"/>
    <mergeCell ref="B9:B11"/>
    <mergeCell ref="C9:C11"/>
    <mergeCell ref="D9:D11"/>
    <mergeCell ref="E9:E11"/>
    <mergeCell ref="F9:F11"/>
    <mergeCell ref="G9:G11"/>
    <mergeCell ref="H10:H11"/>
    <mergeCell ref="I10:I11"/>
    <mergeCell ref="H9:L9"/>
    <mergeCell ref="A7:L7"/>
  </mergeCells>
  <pageMargins left="0.39370078740157483" right="0.39370078740157483" top="0.39370078740157483" bottom="0.39370078740157483" header="0.39370078740157483" footer="0.39370078740157483"/>
  <pageSetup paperSize="9" scale="67" firstPageNumber="73" fitToHeight="0" orientation="landscape" useFirstPageNumber="1" r:id="rId1"/>
  <headerFooter differentFirst="1">
    <oddHeader>&amp;C73</oddHeader>
    <firstHeader>&amp;C73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2022_2024_SVP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Audronė Uikienė</dc:creator>
  <cp:lastModifiedBy>Siauliai</cp:lastModifiedBy>
  <cp:lastPrinted>2022-01-17T12:42:48Z</cp:lastPrinted>
  <dcterms:created xsi:type="dcterms:W3CDTF">2022-01-14T14:08:22Z</dcterms:created>
  <dcterms:modified xsi:type="dcterms:W3CDTF">2022-01-17T13:03:10Z</dcterms:modified>
</cp:coreProperties>
</file>