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nda\OneDrive\Desktop\2021-09-06\Darbas\Biudzetas 2022 m\2022_2024_SVP_projektas\"/>
    </mc:Choice>
  </mc:AlternateContent>
  <xr:revisionPtr revIDLastSave="0" documentId="13_ncr:1_{D7068824-C3DA-482F-8A2B-6302511A04ED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Plan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70" i="1" l="1"/>
  <c r="D770" i="1"/>
  <c r="C770" i="1"/>
  <c r="E721" i="1"/>
  <c r="E715" i="1" s="1"/>
  <c r="E713" i="1" s="1"/>
  <c r="E706" i="1"/>
  <c r="E703" i="1" s="1"/>
  <c r="E700" i="1"/>
  <c r="E695" i="1"/>
  <c r="E671" i="1"/>
  <c r="E649" i="1"/>
  <c r="E648" i="1" s="1"/>
  <c r="E693" i="1" l="1"/>
  <c r="E645" i="1" s="1"/>
  <c r="E644" i="1" s="1"/>
  <c r="E641" i="1"/>
  <c r="E629" i="1"/>
  <c r="E623" i="1"/>
  <c r="E620" i="1"/>
  <c r="E617" i="1"/>
  <c r="E612" i="1"/>
  <c r="E610" i="1" s="1"/>
  <c r="E628" i="1" l="1"/>
  <c r="E602" i="1"/>
  <c r="E598" i="1"/>
  <c r="E594" i="1"/>
  <c r="E589" i="1"/>
  <c r="E586" i="1"/>
  <c r="E573" i="1"/>
  <c r="E568" i="1"/>
  <c r="E565" i="1"/>
  <c r="E560" i="1"/>
  <c r="F551" i="1"/>
  <c r="E551" i="1"/>
  <c r="E545" i="1"/>
  <c r="E540" i="1"/>
  <c r="E535" i="1"/>
  <c r="G535" i="1"/>
  <c r="H535" i="1"/>
  <c r="F535" i="1"/>
  <c r="E523" i="1"/>
  <c r="E518" i="1"/>
  <c r="E513" i="1"/>
  <c r="F508" i="1"/>
  <c r="G508" i="1"/>
  <c r="H508" i="1"/>
  <c r="E508" i="1"/>
  <c r="E503" i="1"/>
  <c r="F497" i="1"/>
  <c r="G497" i="1"/>
  <c r="H497" i="1"/>
  <c r="E497" i="1"/>
  <c r="F494" i="1"/>
  <c r="G494" i="1"/>
  <c r="E494" i="1"/>
  <c r="E478" i="1"/>
  <c r="E473" i="1"/>
  <c r="E469" i="1"/>
  <c r="E463" i="1"/>
  <c r="F458" i="1"/>
  <c r="G458" i="1"/>
  <c r="H458" i="1"/>
  <c r="E458" i="1"/>
  <c r="E453" i="1"/>
  <c r="E432" i="1"/>
  <c r="F428" i="1"/>
  <c r="G428" i="1"/>
  <c r="H428" i="1"/>
  <c r="E428" i="1"/>
  <c r="E559" i="1" l="1"/>
  <c r="E556" i="1" s="1"/>
  <c r="E555" i="1" s="1"/>
  <c r="E534" i="1"/>
  <c r="E507" i="1"/>
  <c r="E493" i="1"/>
  <c r="E420" i="1"/>
  <c r="E417" i="1"/>
  <c r="E413" i="1"/>
  <c r="E400" i="1"/>
  <c r="E384" i="1"/>
  <c r="E381" i="1"/>
  <c r="G381" i="1"/>
  <c r="H381" i="1"/>
  <c r="F381" i="1"/>
  <c r="E373" i="1"/>
  <c r="G373" i="1"/>
  <c r="H373" i="1"/>
  <c r="F373" i="1"/>
  <c r="E446" i="1"/>
  <c r="E445" i="1" s="1"/>
  <c r="E366" i="1"/>
  <c r="E353" i="1"/>
  <c r="E352" i="1" s="1"/>
  <c r="E346" i="1"/>
  <c r="E492" i="1" l="1"/>
  <c r="E491" i="1" s="1"/>
  <c r="E399" i="1"/>
  <c r="E372" i="1"/>
  <c r="E323" i="1"/>
  <c r="E321" i="1" s="1"/>
  <c r="E320" i="1" s="1"/>
  <c r="E312" i="1"/>
  <c r="E302" i="1"/>
  <c r="E297" i="1" s="1"/>
  <c r="E370" i="1" l="1"/>
  <c r="E369" i="1" s="1"/>
  <c r="E310" i="1" l="1"/>
  <c r="E293" i="1"/>
  <c r="E279" i="1"/>
  <c r="E288" i="1"/>
  <c r="E292" i="1" l="1"/>
  <c r="E291" i="1" s="1"/>
  <c r="E283" i="1" l="1"/>
  <c r="H283" i="1"/>
  <c r="G283" i="1"/>
  <c r="F283" i="1"/>
  <c r="E274" i="1"/>
  <c r="F271" i="1"/>
  <c r="G271" i="1"/>
  <c r="H271" i="1"/>
  <c r="E271" i="1"/>
  <c r="E263" i="1"/>
  <c r="E270" i="1" l="1"/>
  <c r="E259" i="1" s="1"/>
  <c r="E258" i="1" s="1"/>
  <c r="F242" i="1" l="1"/>
  <c r="E253" i="1"/>
  <c r="E252" i="1" s="1"/>
  <c r="E249" i="1"/>
  <c r="G249" i="1"/>
  <c r="H249" i="1"/>
  <c r="F249" i="1"/>
  <c r="E246" i="1"/>
  <c r="E242" i="1"/>
  <c r="E235" i="1"/>
  <c r="E232" i="1"/>
  <c r="E229" i="1"/>
  <c r="E226" i="1"/>
  <c r="E220" i="1"/>
  <c r="E216" i="1"/>
  <c r="E203" i="1"/>
  <c r="E197" i="1"/>
  <c r="E191" i="1"/>
  <c r="E185" i="1"/>
  <c r="E179" i="1"/>
  <c r="E215" i="1" l="1"/>
  <c r="E214" i="1" s="1"/>
  <c r="E173" i="1" l="1"/>
  <c r="E169" i="1"/>
  <c r="F165" i="1"/>
  <c r="E165" i="1"/>
  <c r="E161" i="1"/>
  <c r="E168" i="1" l="1"/>
  <c r="E157" i="1"/>
  <c r="E152" i="1" l="1"/>
  <c r="E151" i="1" s="1"/>
  <c r="E150" i="1" s="1"/>
  <c r="E149" i="1" s="1"/>
  <c r="E141" i="1"/>
  <c r="E147" i="1"/>
  <c r="E134" i="1"/>
  <c r="F131" i="1"/>
  <c r="G131" i="1"/>
  <c r="H131" i="1"/>
  <c r="E131" i="1"/>
  <c r="E126" i="1" l="1"/>
  <c r="E123" i="1"/>
  <c r="E119" i="1"/>
  <c r="F113" i="1"/>
  <c r="E113" i="1"/>
  <c r="E110" i="1" s="1"/>
  <c r="G113" i="1"/>
  <c r="H113" i="1"/>
  <c r="E107" i="1"/>
  <c r="E104" i="1"/>
  <c r="E100" i="1" l="1"/>
  <c r="E118" i="1"/>
  <c r="E99" i="1" l="1"/>
  <c r="E98" i="1" s="1"/>
  <c r="E45" i="1" l="1"/>
  <c r="E95" i="1"/>
  <c r="F91" i="1"/>
  <c r="E91" i="1"/>
  <c r="F88" i="1"/>
  <c r="E88" i="1"/>
  <c r="E84" i="1"/>
  <c r="F78" i="1"/>
  <c r="G78" i="1"/>
  <c r="H78" i="1"/>
  <c r="E78" i="1"/>
  <c r="F70" i="1"/>
  <c r="E70" i="1"/>
  <c r="E58" i="1"/>
  <c r="E83" i="1" l="1"/>
  <c r="E81" i="1" s="1"/>
  <c r="E57" i="1"/>
  <c r="E42" i="1" s="1"/>
  <c r="E41" i="1" l="1"/>
  <c r="E35" i="1"/>
  <c r="E38" i="1"/>
  <c r="E32" i="1" l="1"/>
  <c r="G32" i="1"/>
  <c r="H32" i="1"/>
  <c r="F32" i="1"/>
  <c r="E27" i="1"/>
  <c r="G27" i="1"/>
  <c r="H27" i="1"/>
  <c r="F27" i="1"/>
  <c r="E23" i="1"/>
  <c r="G23" i="1"/>
  <c r="H23" i="1"/>
  <c r="F23" i="1"/>
  <c r="E20" i="1"/>
  <c r="G20" i="1"/>
  <c r="H20" i="1"/>
  <c r="F20" i="1"/>
  <c r="E26" i="1" l="1"/>
  <c r="E14" i="1"/>
  <c r="E9" i="1" s="1"/>
  <c r="G14" i="1"/>
  <c r="H14" i="1"/>
  <c r="F14" i="1"/>
  <c r="E750" i="1"/>
  <c r="E738" i="1"/>
  <c r="E8" i="1" l="1"/>
  <c r="E7" i="1" s="1"/>
  <c r="E754" i="1"/>
  <c r="D750" i="1"/>
  <c r="C750" i="1"/>
  <c r="D738" i="1"/>
  <c r="C738" i="1"/>
  <c r="H728" i="1"/>
  <c r="G728" i="1"/>
  <c r="F728" i="1"/>
  <c r="H725" i="1"/>
  <c r="G725" i="1"/>
  <c r="F725" i="1"/>
  <c r="F721" i="1"/>
  <c r="H719" i="1"/>
  <c r="G719" i="1"/>
  <c r="F719" i="1"/>
  <c r="H706" i="1"/>
  <c r="G706" i="1"/>
  <c r="F706" i="1"/>
  <c r="H704" i="1"/>
  <c r="G704" i="1"/>
  <c r="F704" i="1"/>
  <c r="F700" i="1"/>
  <c r="F695" i="1"/>
  <c r="H689" i="1"/>
  <c r="H671" i="1" s="1"/>
  <c r="G689" i="1"/>
  <c r="G671" i="1" s="1"/>
  <c r="F689" i="1"/>
  <c r="F671" i="1" s="1"/>
  <c r="H667" i="1"/>
  <c r="G667" i="1"/>
  <c r="F667" i="1"/>
  <c r="H660" i="1"/>
  <c r="G660" i="1"/>
  <c r="F660" i="1"/>
  <c r="H649" i="1"/>
  <c r="G649" i="1"/>
  <c r="F649" i="1"/>
  <c r="H641" i="1"/>
  <c r="G641" i="1"/>
  <c r="F641" i="1"/>
  <c r="H635" i="1"/>
  <c r="G635" i="1"/>
  <c r="F635" i="1"/>
  <c r="H633" i="1"/>
  <c r="G633" i="1"/>
  <c r="F633" i="1"/>
  <c r="H629" i="1"/>
  <c r="G629" i="1"/>
  <c r="F629" i="1"/>
  <c r="F623" i="1"/>
  <c r="G617" i="1"/>
  <c r="F617" i="1"/>
  <c r="H606" i="1"/>
  <c r="G606" i="1"/>
  <c r="F606" i="1"/>
  <c r="F602" i="1"/>
  <c r="F598" i="1"/>
  <c r="F594" i="1"/>
  <c r="H592" i="1"/>
  <c r="G592" i="1"/>
  <c r="F592" i="1"/>
  <c r="H589" i="1"/>
  <c r="G589" i="1"/>
  <c r="F589" i="1"/>
  <c r="H586" i="1"/>
  <c r="G586" i="1"/>
  <c r="F586" i="1"/>
  <c r="H582" i="1"/>
  <c r="G582" i="1"/>
  <c r="F582" i="1"/>
  <c r="H573" i="1"/>
  <c r="G573" i="1"/>
  <c r="F573" i="1"/>
  <c r="H568" i="1"/>
  <c r="G568" i="1"/>
  <c r="F568" i="1"/>
  <c r="H565" i="1"/>
  <c r="G565" i="1"/>
  <c r="F565" i="1"/>
  <c r="H560" i="1"/>
  <c r="G560" i="1"/>
  <c r="F560" i="1"/>
  <c r="H548" i="1"/>
  <c r="G548" i="1"/>
  <c r="F548" i="1"/>
  <c r="G545" i="1"/>
  <c r="F545" i="1"/>
  <c r="F540" i="1"/>
  <c r="H531" i="1"/>
  <c r="G531" i="1"/>
  <c r="F531" i="1"/>
  <c r="H526" i="1"/>
  <c r="G526" i="1"/>
  <c r="F526" i="1"/>
  <c r="H523" i="1"/>
  <c r="G523" i="1"/>
  <c r="F523" i="1"/>
  <c r="H518" i="1"/>
  <c r="G518" i="1"/>
  <c r="F518" i="1"/>
  <c r="H513" i="1"/>
  <c r="G513" i="1"/>
  <c r="F513" i="1"/>
  <c r="F503" i="1"/>
  <c r="H500" i="1"/>
  <c r="G500" i="1"/>
  <c r="F500" i="1"/>
  <c r="G485" i="1"/>
  <c r="F485" i="1"/>
  <c r="H481" i="1"/>
  <c r="G481" i="1"/>
  <c r="F481" i="1"/>
  <c r="F478" i="1"/>
  <c r="F473" i="1"/>
  <c r="F469" i="1"/>
  <c r="H463" i="1"/>
  <c r="G463" i="1"/>
  <c r="F463" i="1"/>
  <c r="H461" i="1"/>
  <c r="G461" i="1"/>
  <c r="F461" i="1"/>
  <c r="G453" i="1"/>
  <c r="F453" i="1"/>
  <c r="H449" i="1"/>
  <c r="G449" i="1"/>
  <c r="F449" i="1"/>
  <c r="H432" i="1"/>
  <c r="G432" i="1"/>
  <c r="F432" i="1"/>
  <c r="H420" i="1"/>
  <c r="G420" i="1"/>
  <c r="F420" i="1"/>
  <c r="F417" i="1"/>
  <c r="H413" i="1"/>
  <c r="G413" i="1"/>
  <c r="F413" i="1"/>
  <c r="H410" i="1"/>
  <c r="G410" i="1"/>
  <c r="F410" i="1"/>
  <c r="H400" i="1"/>
  <c r="G400" i="1"/>
  <c r="F400" i="1"/>
  <c r="H388" i="1"/>
  <c r="G388" i="1"/>
  <c r="F388" i="1"/>
  <c r="F384" i="1"/>
  <c r="H366" i="1"/>
  <c r="G366" i="1"/>
  <c r="F366" i="1"/>
  <c r="H357" i="1"/>
  <c r="G357" i="1"/>
  <c r="H353" i="1"/>
  <c r="G353" i="1"/>
  <c r="F353" i="1"/>
  <c r="H346" i="1"/>
  <c r="G346" i="1"/>
  <c r="F346" i="1"/>
  <c r="H342" i="1"/>
  <c r="G342" i="1"/>
  <c r="F342" i="1"/>
  <c r="H339" i="1"/>
  <c r="G339" i="1"/>
  <c r="F339" i="1"/>
  <c r="H337" i="1"/>
  <c r="G337" i="1"/>
  <c r="F337" i="1"/>
  <c r="H332" i="1"/>
  <c r="G332" i="1"/>
  <c r="F332" i="1"/>
  <c r="H324" i="1"/>
  <c r="G324" i="1"/>
  <c r="F324" i="1"/>
  <c r="H310" i="1"/>
  <c r="G310" i="1"/>
  <c r="F312" i="1"/>
  <c r="F310" i="1" s="1"/>
  <c r="F306" i="1"/>
  <c r="H298" i="1"/>
  <c r="G298" i="1"/>
  <c r="F298" i="1"/>
  <c r="H293" i="1"/>
  <c r="G293" i="1"/>
  <c r="F293" i="1"/>
  <c r="H288" i="1"/>
  <c r="G288" i="1"/>
  <c r="F288" i="1"/>
  <c r="G274" i="1"/>
  <c r="F274" i="1"/>
  <c r="H268" i="1"/>
  <c r="G268" i="1"/>
  <c r="F268" i="1"/>
  <c r="H265" i="1"/>
  <c r="G265" i="1"/>
  <c r="F265" i="1"/>
  <c r="H253" i="1"/>
  <c r="H252" i="1" s="1"/>
  <c r="G253" i="1"/>
  <c r="G252" i="1" s="1"/>
  <c r="F253" i="1"/>
  <c r="F252" i="1" s="1"/>
  <c r="H235" i="1"/>
  <c r="G235" i="1"/>
  <c r="F235" i="1"/>
  <c r="F229" i="1"/>
  <c r="F226" i="1"/>
  <c r="G220" i="1"/>
  <c r="F220" i="1"/>
  <c r="H216" i="1"/>
  <c r="G216" i="1"/>
  <c r="F216" i="1"/>
  <c r="H209" i="1"/>
  <c r="G209" i="1"/>
  <c r="F209" i="1"/>
  <c r="F203" i="1"/>
  <c r="G197" i="1"/>
  <c r="F197" i="1"/>
  <c r="F191" i="1"/>
  <c r="F185" i="1"/>
  <c r="F179" i="1"/>
  <c r="F173" i="1"/>
  <c r="H161" i="1"/>
  <c r="G161" i="1"/>
  <c r="F161" i="1"/>
  <c r="H158" i="1"/>
  <c r="G158" i="1"/>
  <c r="F158" i="1"/>
  <c r="H152" i="1"/>
  <c r="H151" i="1" s="1"/>
  <c r="G152" i="1"/>
  <c r="G151" i="1" s="1"/>
  <c r="F152" i="1"/>
  <c r="F151" i="1" s="1"/>
  <c r="H147" i="1"/>
  <c r="G147" i="1"/>
  <c r="F147" i="1"/>
  <c r="H143" i="1"/>
  <c r="H141" i="1" s="1"/>
  <c r="G143" i="1"/>
  <c r="G141" i="1" s="1"/>
  <c r="F143" i="1"/>
  <c r="F141" i="1" s="1"/>
  <c r="G134" i="1"/>
  <c r="F134" i="1"/>
  <c r="H126" i="1"/>
  <c r="G126" i="1"/>
  <c r="F126" i="1"/>
  <c r="H119" i="1"/>
  <c r="G119" i="1"/>
  <c r="F119" i="1"/>
  <c r="H111" i="1"/>
  <c r="G111" i="1"/>
  <c r="F111" i="1"/>
  <c r="F107" i="1"/>
  <c r="F104" i="1"/>
  <c r="H102" i="1"/>
  <c r="G102" i="1"/>
  <c r="F102" i="1"/>
  <c r="H95" i="1"/>
  <c r="G95" i="1"/>
  <c r="F95" i="1"/>
  <c r="H83" i="1"/>
  <c r="G83" i="1"/>
  <c r="F84" i="1"/>
  <c r="F83" i="1" s="1"/>
  <c r="H58" i="1"/>
  <c r="G58" i="1"/>
  <c r="F58" i="1"/>
  <c r="H50" i="1"/>
  <c r="G50" i="1"/>
  <c r="F50" i="1"/>
  <c r="H48" i="1"/>
  <c r="G48" i="1"/>
  <c r="F48" i="1"/>
  <c r="H38" i="1"/>
  <c r="G38" i="1"/>
  <c r="F38" i="1"/>
  <c r="H35" i="1"/>
  <c r="G35" i="1"/>
  <c r="F35" i="1"/>
  <c r="H10" i="1"/>
  <c r="H9" i="1" s="1"/>
  <c r="G10" i="1"/>
  <c r="G9" i="1" s="1"/>
  <c r="F10" i="1"/>
  <c r="F9" i="1" s="1"/>
  <c r="F215" i="1" l="1"/>
  <c r="F214" i="1" s="1"/>
  <c r="G215" i="1"/>
  <c r="G214" i="1" s="1"/>
  <c r="H215" i="1"/>
  <c r="H214" i="1" s="1"/>
  <c r="C754" i="1"/>
  <c r="H297" i="1"/>
  <c r="H292" i="1" s="1"/>
  <c r="H291" i="1" s="1"/>
  <c r="G263" i="1"/>
  <c r="H648" i="1"/>
  <c r="G45" i="1"/>
  <c r="F110" i="1"/>
  <c r="H118" i="1"/>
  <c r="G493" i="1"/>
  <c r="G81" i="1"/>
  <c r="F100" i="1"/>
  <c r="F57" i="1"/>
  <c r="F648" i="1"/>
  <c r="F45" i="1"/>
  <c r="H57" i="1"/>
  <c r="H372" i="1"/>
  <c r="H81" i="1"/>
  <c r="F270" i="1"/>
  <c r="H715" i="1"/>
  <c r="H713" i="1" s="1"/>
  <c r="G270" i="1"/>
  <c r="H352" i="1"/>
  <c r="F446" i="1"/>
  <c r="F445" i="1" s="1"/>
  <c r="F610" i="1"/>
  <c r="F693" i="1"/>
  <c r="H703" i="1"/>
  <c r="H628" i="1"/>
  <c r="F118" i="1"/>
  <c r="G648" i="1"/>
  <c r="G118" i="1"/>
  <c r="F263" i="1"/>
  <c r="F323" i="1"/>
  <c r="H157" i="1"/>
  <c r="F81" i="1"/>
  <c r="H100" i="1"/>
  <c r="G110" i="1"/>
  <c r="G157" i="1"/>
  <c r="G323" i="1"/>
  <c r="H399" i="1"/>
  <c r="G57" i="1"/>
  <c r="H110" i="1"/>
  <c r="F157" i="1"/>
  <c r="H168" i="1"/>
  <c r="H270" i="1"/>
  <c r="H323" i="1"/>
  <c r="G352" i="1"/>
  <c r="H493" i="1"/>
  <c r="F628" i="1"/>
  <c r="D754" i="1"/>
  <c r="F372" i="1"/>
  <c r="F493" i="1"/>
  <c r="F534" i="1"/>
  <c r="G628" i="1"/>
  <c r="F26" i="1"/>
  <c r="H45" i="1"/>
  <c r="G168" i="1"/>
  <c r="H263" i="1"/>
  <c r="F297" i="1"/>
  <c r="F292" i="1" s="1"/>
  <c r="F291" i="1" s="1"/>
  <c r="F352" i="1"/>
  <c r="G372" i="1"/>
  <c r="F507" i="1"/>
  <c r="G534" i="1"/>
  <c r="H559" i="1"/>
  <c r="F703" i="1"/>
  <c r="G297" i="1"/>
  <c r="G292" i="1" s="1"/>
  <c r="G291" i="1" s="1"/>
  <c r="H534" i="1"/>
  <c r="G610" i="1"/>
  <c r="G703" i="1"/>
  <c r="G26" i="1"/>
  <c r="G8" i="1" s="1"/>
  <c r="G7" i="1" s="1"/>
  <c r="H26" i="1"/>
  <c r="H8" i="1" s="1"/>
  <c r="H7" i="1" s="1"/>
  <c r="G100" i="1"/>
  <c r="H507" i="1"/>
  <c r="H610" i="1"/>
  <c r="G715" i="1"/>
  <c r="G713" i="1" s="1"/>
  <c r="F715" i="1"/>
  <c r="F713" i="1" s="1"/>
  <c r="F399" i="1"/>
  <c r="H446" i="1"/>
  <c r="H445" i="1" s="1"/>
  <c r="G446" i="1"/>
  <c r="G445" i="1" s="1"/>
  <c r="F559" i="1"/>
  <c r="F168" i="1"/>
  <c r="G399" i="1"/>
  <c r="G507" i="1"/>
  <c r="G559" i="1"/>
  <c r="G321" i="1" l="1"/>
  <c r="G320" i="1" s="1"/>
  <c r="H645" i="1"/>
  <c r="H644" i="1" s="1"/>
  <c r="G259" i="1"/>
  <c r="G258" i="1" s="1"/>
  <c r="H321" i="1"/>
  <c r="H320" i="1" s="1"/>
  <c r="F645" i="1"/>
  <c r="F644" i="1" s="1"/>
  <c r="G645" i="1"/>
  <c r="G644" i="1" s="1"/>
  <c r="F492" i="1"/>
  <c r="F491" i="1" s="1"/>
  <c r="F99" i="1"/>
  <c r="F98" i="1" s="1"/>
  <c r="H259" i="1"/>
  <c r="H258" i="1" s="1"/>
  <c r="G492" i="1"/>
  <c r="G491" i="1" s="1"/>
  <c r="F42" i="1"/>
  <c r="F41" i="1" s="1"/>
  <c r="G42" i="1"/>
  <c r="G41" i="1" s="1"/>
  <c r="F370" i="1"/>
  <c r="F369" i="1" s="1"/>
  <c r="F150" i="1"/>
  <c r="F149" i="1" s="1"/>
  <c r="H99" i="1"/>
  <c r="H98" i="1" s="1"/>
  <c r="G99" i="1"/>
  <c r="G98" i="1" s="1"/>
  <c r="H556" i="1"/>
  <c r="H555" i="1" s="1"/>
  <c r="H42" i="1"/>
  <c r="H41" i="1" s="1"/>
  <c r="F259" i="1"/>
  <c r="F258" i="1" s="1"/>
  <c r="H370" i="1"/>
  <c r="H369" i="1" s="1"/>
  <c r="G370" i="1"/>
  <c r="G369" i="1" s="1"/>
  <c r="F321" i="1"/>
  <c r="F320" i="1" s="1"/>
  <c r="H150" i="1"/>
  <c r="H149" i="1" s="1"/>
  <c r="G150" i="1"/>
  <c r="G149" i="1" s="1"/>
  <c r="F556" i="1"/>
  <c r="F555" i="1" s="1"/>
  <c r="F8" i="1"/>
  <c r="F7" i="1" s="1"/>
  <c r="H492" i="1"/>
  <c r="H491" i="1" s="1"/>
  <c r="G556" i="1"/>
  <c r="G555" i="1" s="1"/>
</calcChain>
</file>

<file path=xl/sharedStrings.xml><?xml version="1.0" encoding="utf-8"?>
<sst xmlns="http://schemas.openxmlformats.org/spreadsheetml/2006/main" count="3420" uniqueCount="1342">
  <si>
    <t>ŠIAULIŲ MIESTO SAVIVALDYBĖS 2022–2024 METŲ STRATEGINIO VEIKLOS PLANO TIKSLŲ, UŽDAVINIŲ, PRIEMONIŲ, PRIEMONIŲ IŠLAIDŲ IR PRODUKTO KRITERIJŲ SUVESTINĖ</t>
  </si>
  <si>
    <t>Kodas</t>
  </si>
  <si>
    <t>Pavadinimas</t>
  </si>
  <si>
    <t>Vykdytojas</t>
  </si>
  <si>
    <t>SP lėšos</t>
  </si>
  <si>
    <t>Numatomi 2022 metų asignavimai</t>
  </si>
  <si>
    <t>2023 metų lėšų projektas</t>
  </si>
  <si>
    <t>2024 metų lėšų projektas</t>
  </si>
  <si>
    <t>Rezultato /Produkto</t>
  </si>
  <si>
    <t>Rodiklis</t>
  </si>
  <si>
    <t>Mato vnt.</t>
  </si>
  <si>
    <t>Planas</t>
  </si>
  <si>
    <t>2022</t>
  </si>
  <si>
    <t>2023</t>
  </si>
  <si>
    <t>2024</t>
  </si>
  <si>
    <t>01.</t>
  </si>
  <si>
    <t>Miesto urbanistinės plėtros programa</t>
  </si>
  <si>
    <t>Architektūros, urbanistikos ir paveldosaugos skyrius</t>
  </si>
  <si>
    <t>01.01.</t>
  </si>
  <si>
    <t>Užtikrinti kompleksišką ir darnų miesto planavimą</t>
  </si>
  <si>
    <t>Parengtų teritorijų planavimo, žemėtvarkos planavimo, žemės sklypų kadastrinių matavimų dokumentų</t>
  </si>
  <si>
    <t>vnt.</t>
  </si>
  <si>
    <t>95,00</t>
  </si>
  <si>
    <t>88,00</t>
  </si>
  <si>
    <t>01.01.01.</t>
  </si>
  <si>
    <t>Rengti teritorijų planavimo dokumentus, padedančius užtikrinti darniąją miesto plėtrą</t>
  </si>
  <si>
    <t>01.01.01.01</t>
  </si>
  <si>
    <t>Koreguoti Šiaulių miesto savivaldybės teritorijos bendrąjį planą</t>
  </si>
  <si>
    <t>1.01.</t>
  </si>
  <si>
    <t>Koreguotų bendrojo plano dalių</t>
  </si>
  <si>
    <t>1,00</t>
  </si>
  <si>
    <t>Parengtas Bendrojo plano koregavimas teritorijoje J. Jablonskio g. 14 ir 16, Šiauliuose</t>
  </si>
  <si>
    <t>Parengta Bendrojo plano stebėsena</t>
  </si>
  <si>
    <t>Bendrojo plano keitimas</t>
  </si>
  <si>
    <t>01.01.01.02</t>
  </si>
  <si>
    <t>Organizuoti detaliųjų ir specialiųjų planų parengimą</t>
  </si>
  <si>
    <t>Parengtų detaliųjų ir specialiųjų planų</t>
  </si>
  <si>
    <t>6,00</t>
  </si>
  <si>
    <t>Parengtas Teritorijos tarp Gegužių, Architektų, Gardino ir Aido gatvių Šiauliuose detalusis planas</t>
  </si>
  <si>
    <t>Parengtas Talkšos ežero ir jo prieigų, Ežero gyvenamojo rajono bei teritorijos Vilniaus g. 72, Šiauliuose, detalusis planas</t>
  </si>
  <si>
    <t>Parengtas Industrinio parko (teritorijos šalia Dubijos, Radviliškio, P. Motiekaičio gatvių) Šiauliuose detaliojo plano koregavimas</t>
  </si>
  <si>
    <t>Koreguotas teritorijos Liejyklos g. 29, 31, 33 ir Išradėjų g. 18 detalusis planas</t>
  </si>
  <si>
    <t>Šiaulių miesto 3D žemėlapio su centrinės dalies realios situacijos detalizavimu sukūrimas.</t>
  </si>
  <si>
    <t>01.01.01.03</t>
  </si>
  <si>
    <t>Įgyvendinti  žemės paėmimo visuomenės poreikiams procedūrą</t>
  </si>
  <si>
    <t>Parengta sąnaudų naudos analizė</t>
  </si>
  <si>
    <t>Įgyvendinta žemės paėmimo visuomenės poreikiams procedūra, paimtas žemės sklypas visuomenės poreikiams</t>
  </si>
  <si>
    <t>01.01.01.04</t>
  </si>
  <si>
    <t>Rengti žemėtvarkos planavimo dokumentus, žemės sklypų kadastrinius matavimus</t>
  </si>
  <si>
    <t>Parengta kadastrinių matavimų bylų, žemės sklypų pertvarkymo projektų</t>
  </si>
  <si>
    <t>80,00</t>
  </si>
  <si>
    <t>01.01.02.</t>
  </si>
  <si>
    <t>Pagerinti miesto teigiamo architektūrinio ir vizualinio įvaizdžio kokybę</t>
  </si>
  <si>
    <t>01.01.02.01</t>
  </si>
  <si>
    <t>Formuoti miesto teigiamą architektūrinį ir vizualųjį įvaizdį</t>
  </si>
  <si>
    <t>Parengtų, įgyvendintų projektinių pasiūlymų, idėjos konkursų</t>
  </si>
  <si>
    <t>2,00</t>
  </si>
  <si>
    <t>Parengtas paminklo "Tautos laisvė" techninis projektas</t>
  </si>
  <si>
    <t>Atlikta Mozaikos „Šiauliai“, adresu Tilžės g. 198, Šiauliai, ekspertizė</t>
  </si>
  <si>
    <t>Įgyvendintas paminklo "Tautos laisvė" projektas</t>
  </si>
  <si>
    <t>01.01.02.02</t>
  </si>
  <si>
    <t>Organizuoti architektūriniu, urbanistiniu, valstybiniu ar viešojo intereso požiūriu reikšmingų objektų planavimo ar projektavimo architektūrinius konkursus</t>
  </si>
  <si>
    <t>Suorganizuota architektūrinių konkursų</t>
  </si>
  <si>
    <t>01.01.02.03</t>
  </si>
  <si>
    <t>Organizuoti projektinių darbų finansavimą</t>
  </si>
  <si>
    <t>Architektūros, urbanistikos ir paveldosaugos skyrius; Statybos ir renovacijos skyrius; Miesto ūkio ir aplinkos skyrius</t>
  </si>
  <si>
    <t>Architektūros, urbanistikos ir paveldosaugos skyriaus parengtų techninių projektų</t>
  </si>
  <si>
    <t>3,00</t>
  </si>
  <si>
    <t>Statybos ir renovacijos skyriaus parengtų techninių projektų</t>
  </si>
  <si>
    <t>13,00</t>
  </si>
  <si>
    <t>10,00</t>
  </si>
  <si>
    <t>Miesto ūkio ir aplinkos skyriaus parengtų techninių projektų</t>
  </si>
  <si>
    <t>01.01.03.</t>
  </si>
  <si>
    <t>Organizuoti kultūros paveldo apsaugą</t>
  </si>
  <si>
    <t>01.01.03.01</t>
  </si>
  <si>
    <t>Organizuoti kultūros paveldo tvarkybą</t>
  </si>
  <si>
    <t>Sutvarkyta kultūros paveldo objektų</t>
  </si>
  <si>
    <t>01.01.03.02</t>
  </si>
  <si>
    <t>Plėtoti kultūros paveldo apskaitą</t>
  </si>
  <si>
    <t>Įgyvendinta kultūros paveldo apskaitos priemonių</t>
  </si>
  <si>
    <t>01.01.04.</t>
  </si>
  <si>
    <t>Kokybiškai administruoti Šiaulių m. erdvinių duomenų bazę</t>
  </si>
  <si>
    <t>01.01.04.01</t>
  </si>
  <si>
    <t>Organizuoti miesto erdvinių duomenų bazės techninę priežiūrą, programinės įrangos atnaujinimą</t>
  </si>
  <si>
    <t>Atnaujinta programinė įranga</t>
  </si>
  <si>
    <t>01.01.04.02</t>
  </si>
  <si>
    <t>Organizuoti Šiaulių miesto savivaldybės geodezijos ir kartografijos darbus</t>
  </si>
  <si>
    <t>Parengta topografinių planų</t>
  </si>
  <si>
    <t>02.</t>
  </si>
  <si>
    <t>Kultūros plėtros programa</t>
  </si>
  <si>
    <t>Kultūros skyrius</t>
  </si>
  <si>
    <t>02.01.</t>
  </si>
  <si>
    <t>Skatinti įvairių visuomenės grupių dalyvavimą kultūroje puoselėjant kultūros tradicijas ir  kultūrinės raiškos įvairovę bei gerinti kultūrinių paslaugų prieinamumą ir kokybę</t>
  </si>
  <si>
    <t>Gyventojų įsitraukimo į miesto kultūrinį gyvenimą augimas</t>
  </si>
  <si>
    <t>proc.</t>
  </si>
  <si>
    <t>1,50</t>
  </si>
  <si>
    <t>2,50</t>
  </si>
  <si>
    <t>Kultūros paslaugų vartotojų skaičiaus augimas</t>
  </si>
  <si>
    <t>Atnaujintų kultūros įstaigų/objektų</t>
  </si>
  <si>
    <t>02.01.01.</t>
  </si>
  <si>
    <t>Užtikrinti miesto kultūrinio gyvenimo gyvybingumą, ugdyti ir skatinti miesto gyventojų ir jaunimo pilietinį aktyvumą bei tautinį sąmoningumą</t>
  </si>
  <si>
    <t>02.01.01.01</t>
  </si>
  <si>
    <t>Skatinti Šiaulių miesto kultūros ir meno įvairovę, sklaidą, prieinamumą</t>
  </si>
  <si>
    <t>Finansuotų kultūros projektų</t>
  </si>
  <si>
    <t>30,00</t>
  </si>
  <si>
    <t>35,00</t>
  </si>
  <si>
    <t>40,00</t>
  </si>
  <si>
    <t>02.01.01.02</t>
  </si>
  <si>
    <t>Skatinti meno kūrėjus</t>
  </si>
  <si>
    <t>Įteiktų premijų ir stipendijų</t>
  </si>
  <si>
    <t>11,00</t>
  </si>
  <si>
    <t>02.01.01.10</t>
  </si>
  <si>
    <t>Užtikrinti reprezentacinių Šiaulių miesto festivalių tęstinumą, jų ilgalaikiškumą, dalinį finansavimą, skatinti naujų idėjų, raiškos formų atsiradimą ir raidą</t>
  </si>
  <si>
    <t>Finansuotų festivalių</t>
  </si>
  <si>
    <t>7,00</t>
  </si>
  <si>
    <t>Sukurtų reprezentacinių miesto priemonių</t>
  </si>
  <si>
    <t>02.01.01.11</t>
  </si>
  <si>
    <t>Koordinuoti valstybinių švenčių, atmintinų dienų paminėjimą, svarbių renginių, plenerų organizavimą, puoselėti tautines tradicijas</t>
  </si>
  <si>
    <t>Surengtų miesto švenčių</t>
  </si>
  <si>
    <t>Surengtų valstybinių švenčių ir atmintinų dienų</t>
  </si>
  <si>
    <t>8,00</t>
  </si>
  <si>
    <t>Įgyvendintų Tolygios kultūrinės raidos programos projektų</t>
  </si>
  <si>
    <t>45,00</t>
  </si>
  <si>
    <t>50,00</t>
  </si>
  <si>
    <t>Parengtų valstybinių švenčių, atmintinų dienų, kalendorinių ir miesto švenčių renginių programų</t>
  </si>
  <si>
    <t>12,00</t>
  </si>
  <si>
    <t>Surengtų kalendorinių švenčių</t>
  </si>
  <si>
    <t>Įgyvendintų svarbių miesto renginių / projektų</t>
  </si>
  <si>
    <t>31,00</t>
  </si>
  <si>
    <t>Įgyvendintų papildomų kultūros priemonių</t>
  </si>
  <si>
    <t>15,00</t>
  </si>
  <si>
    <t>20,00</t>
  </si>
  <si>
    <t>02.01.04.</t>
  </si>
  <si>
    <t>Užtikrinti kultūros paslaugų sklaidą ir prieinamumą gyventojams</t>
  </si>
  <si>
    <t>02.01.04.01</t>
  </si>
  <si>
    <t>Užtikrinti kultūros įstaigų veiklą</t>
  </si>
  <si>
    <t>Surengtų parodų</t>
  </si>
  <si>
    <t>61,00</t>
  </si>
  <si>
    <t>62,00</t>
  </si>
  <si>
    <t>1.09.</t>
  </si>
  <si>
    <t>Surengtų koncertų</t>
  </si>
  <si>
    <t>177,00</t>
  </si>
  <si>
    <t>286,00</t>
  </si>
  <si>
    <t>297,00</t>
  </si>
  <si>
    <t>Surengtų renginių</t>
  </si>
  <si>
    <t>664,00</t>
  </si>
  <si>
    <t>792,00</t>
  </si>
  <si>
    <t>806,00</t>
  </si>
  <si>
    <t>1.05.</t>
  </si>
  <si>
    <t>Įgyvendintų projektų</t>
  </si>
  <si>
    <t>29,00</t>
  </si>
  <si>
    <t>28,00</t>
  </si>
  <si>
    <t>2.03.</t>
  </si>
  <si>
    <t>Lankytojų (parodų, ekspozicijų viešosiose erdvėse, renginių, bibliotekos lankytojų)</t>
  </si>
  <si>
    <t>156 600,00</t>
  </si>
  <si>
    <t>158 950,00</t>
  </si>
  <si>
    <t>160 850,00</t>
  </si>
  <si>
    <t>2.01.</t>
  </si>
  <si>
    <t>Žiūrovų (koncertų, spektaklių, renginių ir kt.)</t>
  </si>
  <si>
    <t>119 900,00</t>
  </si>
  <si>
    <t>175 400,00</t>
  </si>
  <si>
    <t>183 950,00</t>
  </si>
  <si>
    <t>2.02.</t>
  </si>
  <si>
    <t>Dalyvių / žiūrovų (edukacijų, festivalių, kino peržiūrų ir kt.)</t>
  </si>
  <si>
    <t>11 100,00</t>
  </si>
  <si>
    <t>11 300,00</t>
  </si>
  <si>
    <t>11 600,00</t>
  </si>
  <si>
    <t>Šiaulių turizmo informacijos centro ir „Baltų kelio“ centro lankytojų</t>
  </si>
  <si>
    <t>28 000,00</t>
  </si>
  <si>
    <t>35 000,00</t>
  </si>
  <si>
    <t>40 000,00</t>
  </si>
  <si>
    <t>Šiaulių turizmo informacijos centro ekskursijų dalyvių</t>
  </si>
  <si>
    <t>2 500,00</t>
  </si>
  <si>
    <t>3 000,00</t>
  </si>
  <si>
    <t>3 500,00</t>
  </si>
  <si>
    <t>Surengtų edukacijų</t>
  </si>
  <si>
    <t>533,00</t>
  </si>
  <si>
    <t>575,00</t>
  </si>
  <si>
    <t>Dalyvių (plenerų, festivalių, edukacijų, renginių ir kt.)</t>
  </si>
  <si>
    <t>9 682,00</t>
  </si>
  <si>
    <t>11 457,00</t>
  </si>
  <si>
    <t>11 637,00</t>
  </si>
  <si>
    <t>02.01.04.08</t>
  </si>
  <si>
    <t>Aktualizuoti Šiaulių kultūros centrą (Aušros al. 31)</t>
  </si>
  <si>
    <t>Projektų valdymo skyrius</t>
  </si>
  <si>
    <t>02.01.04.09</t>
  </si>
  <si>
    <t>Atnaujinti (modernizuoti) Šiaulių miesto koncertinę įstaigą „Saulė" (Tilžės g. 140), rekonstruoti pastatą ir pastatyti priestatą</t>
  </si>
  <si>
    <t>Kultūros skyrius; Projektų valdymo skyrius</t>
  </si>
  <si>
    <t>Atlikta planuotų darbų</t>
  </si>
  <si>
    <t>100,00</t>
  </si>
  <si>
    <t>1.10.</t>
  </si>
  <si>
    <t>02.01.04.10</t>
  </si>
  <si>
    <t>Atlikti Šiaulių miesto kultūros centro „Laiptų galerija" senojo pastato (P. Bugailiškio namas, Žemaitės g. 83) tvarkomuosius statybos darbus</t>
  </si>
  <si>
    <t>Kultūros skyrius; Statybos ir renovacijos skyrius</t>
  </si>
  <si>
    <t>02.01.04.11</t>
  </si>
  <si>
    <t>Atnaujinti (modernizuoti) Šiaulių dailės galerijos pastatą (Vilniaus g. 245)</t>
  </si>
  <si>
    <t>Statybos ir renovacijos skyrius; Kultūros skyrius</t>
  </si>
  <si>
    <t>02.01.04.12</t>
  </si>
  <si>
    <t>Atlikti Šiaulių kultūros centro Rėkyvos kultūros namų fasado ir vidaus patalpų remontą</t>
  </si>
  <si>
    <t>02.01.04.13</t>
  </si>
  <si>
    <t>Pritaikyti patalpas Vilniaus g. 213 turizmo paslaugų plėtrai</t>
  </si>
  <si>
    <t>Statybos ir renovacijos skyrius; Kultūros skyrius; Šiaulių turizmo informacijos centras</t>
  </si>
  <si>
    <t>02.01.04.14</t>
  </si>
  <si>
    <t>Įgyvendinti projektą „Šiaulių miesto centrinio parko estrados modernizavimas ir pritaikymas visuomenės poreikiams“</t>
  </si>
  <si>
    <t>Šiaulių kultūros centras; Kultūros skyrius</t>
  </si>
  <si>
    <t>02.02.</t>
  </si>
  <si>
    <t>Stiprinti miesto įvaizdį plėtojant turizmo sektorių</t>
  </si>
  <si>
    <t>Įvykdyta miesto įvaizdžio rinkodaros strategijos gairių priemonių</t>
  </si>
  <si>
    <t>9,00</t>
  </si>
  <si>
    <t>Turistų ir lankytojų skaičiaus Šiaulių mieste augimas</t>
  </si>
  <si>
    <t>02.02.02.</t>
  </si>
  <si>
    <t>Vystyti Šiaulių miesto turizmo sektorių</t>
  </si>
  <si>
    <t>02.02.02.01</t>
  </si>
  <si>
    <t>Įgyvendinti projektą „Savivaldybes jungiančios turizmo informacinės infrastruktūros plėtra Šiaulių regione“</t>
  </si>
  <si>
    <t>Projektų valdymo skyrius; Kultūros skyrius; Šiaulių turizmo informacijos centras</t>
  </si>
  <si>
    <t>Įrengti ženklinimo infrastruktūros objektai</t>
  </si>
  <si>
    <t>1.08.</t>
  </si>
  <si>
    <t>02.02.02.02</t>
  </si>
  <si>
    <t>Įgyvendinti projektą „Baltų kultūros pažinimo skatinimas ir žinomumo apie tarptautinį kultūros kelią „Baltų kelias“ didinimas“</t>
  </si>
  <si>
    <t>Kultūros skyrius; Projektų valdymo skyrius; Šiaulių turizmo informacijos centras</t>
  </si>
  <si>
    <t>Įgyvendinta projekto veiklų</t>
  </si>
  <si>
    <t>02.02.02.03</t>
  </si>
  <si>
    <t>Įgyvendinti projektą „Saulės kelias“</t>
  </si>
  <si>
    <t>02.02.02.04</t>
  </si>
  <si>
    <t>Įgyvendinti miesto įvaizdžio rinkodaros strategijos gairių priemonių planą</t>
  </si>
  <si>
    <t>Kultūros skyrius; Šiaulių turizmo informacijos centras</t>
  </si>
  <si>
    <t>Įgyvendinta strategijos veiklų</t>
  </si>
  <si>
    <t>02.02.04.</t>
  </si>
  <si>
    <t>Vykdyti nekilnojamojo kultūros paveldo pažinimo sklaidą ir atgaivinimą</t>
  </si>
  <si>
    <t>02.02.04.02</t>
  </si>
  <si>
    <t>Organizuoti Europos paveldo dienų renginius</t>
  </si>
  <si>
    <t>Suorganizuotų Europos paveldo dienų renginių ciklų</t>
  </si>
  <si>
    <t>02.02.04.03</t>
  </si>
  <si>
    <t>Didinti religinio turizmo prieinamumą</t>
  </si>
  <si>
    <t>Įvykdytų religinio turizmo skatinimo programų</t>
  </si>
  <si>
    <t>03.</t>
  </si>
  <si>
    <t>Aplinkos apsaugos programa</t>
  </si>
  <si>
    <t>Miesto ūkio ir aplinkos skyrius</t>
  </si>
  <si>
    <t>03.01.</t>
  </si>
  <si>
    <t>Pagerinti aplinkos kokybę mieste, kurti darnaus vystymosi principais pagrįstą sveiką ir švarią gyvenamąją aplinką mieste</t>
  </si>
  <si>
    <t>Sutvarkytas komunalinių atliekų kiekis</t>
  </si>
  <si>
    <t>t</t>
  </si>
  <si>
    <t>38,00</t>
  </si>
  <si>
    <t>03.01.01.</t>
  </si>
  <si>
    <t>Plėtoti ir tobulinti miesto komunalinių atliekų tvarkymo sistemą</t>
  </si>
  <si>
    <t>03.01.01.01</t>
  </si>
  <si>
    <t>Įgyvendinti komunalinių atliekų tvarkymą</t>
  </si>
  <si>
    <t>Miesto ūkio ir aplinkos skyrius; VŠĮ Šiaulių regiono atliekų tvarkymo centras</t>
  </si>
  <si>
    <t>Sutvarkyta komunalinių atliekų</t>
  </si>
  <si>
    <t>38 000,00</t>
  </si>
  <si>
    <t>03.01.01.02</t>
  </si>
  <si>
    <t>Kompensuoti fiziniams asmenims asbesto turinčių gaminių atliekų šalinimą</t>
  </si>
  <si>
    <t>1.11.</t>
  </si>
  <si>
    <t>Kompensuota už asbesto gaminių šalinimą</t>
  </si>
  <si>
    <t>Surinkta asbesto</t>
  </si>
  <si>
    <t>03.01.01.03</t>
  </si>
  <si>
    <t>Įgyvendinti projektą „Komunalinių atliekų rūšiuojamojo surinkimo infrastruktūros plėtra Šiaulių regione"</t>
  </si>
  <si>
    <t>Miesto ūkio ir aplinkos skyrius; Projektų valdymo skyrius</t>
  </si>
  <si>
    <t>Įrengta konteinerių aikštelių</t>
  </si>
  <si>
    <t>Įrengta didelio gabarito atliekų surinkimo aikštelė (DGSA) su pakartotiniam panaudojimui tinkamų atliekų surinkimu</t>
  </si>
  <si>
    <t>03.01.01.04</t>
  </si>
  <si>
    <t>Įgyvendinti projektą  „Rūšiuojamuoju būdu surinktų maisto/virtuvės atliekų apdorojimo infrastruktūros sukūrimas Šiaulių regione"</t>
  </si>
  <si>
    <t>Parengta techninė dokumentacija</t>
  </si>
  <si>
    <t>Įsigyta įranga</t>
  </si>
  <si>
    <t>4,00</t>
  </si>
  <si>
    <t>Įrengta priėmimo / laikymo zona</t>
  </si>
  <si>
    <t>03.01.02.</t>
  </si>
  <si>
    <t>Įgyvendinti želdynų ir želdinių apsaugos bei tvarkymo priemones</t>
  </si>
  <si>
    <t>03.01.02.01</t>
  </si>
  <si>
    <t>Parengti ir įgyvendinti želdynų pertvarkymo projektus, inventorizuoti miesto želdynus</t>
  </si>
  <si>
    <t>Parengta želdynų dokumentacija (INVENTORIZACIJA)</t>
  </si>
  <si>
    <t>Parengti želdynų projektai ir atlikti darbai</t>
  </si>
  <si>
    <t>03.01.02.03</t>
  </si>
  <si>
    <t>Vykdyti želdinių priežiūrą (tręšimas, genėjimas, kaštonų lapų tvarkymas) ir sodinti naujus želdinius prie miesto gatvių, parkuose ir skveruose</t>
  </si>
  <si>
    <t>Užtikrinti želdinių priežiūrą (genėjimas, atžalų šalinimas, kelmų sutvarkymas, laistymas, tręšimas, kaštonų lapų surinkimas), pagal skirtą finansavimą</t>
  </si>
  <si>
    <t>Sosnovskio barščio naikinimas</t>
  </si>
  <si>
    <t>m2</t>
  </si>
  <si>
    <t>11 069,00</t>
  </si>
  <si>
    <t>9 596,00</t>
  </si>
  <si>
    <t>7 000,00</t>
  </si>
  <si>
    <t>Pasodinta želdinių</t>
  </si>
  <si>
    <t>03.01.03.</t>
  </si>
  <si>
    <t>Įgyvendinti aplinkos monitoringo, prevencines, aplinkos kokybės gerinimo priemones</t>
  </si>
  <si>
    <t>03.01.03.04</t>
  </si>
  <si>
    <t>Vykdyti lietaus nuotekų sistemos griovių tvarkymą</t>
  </si>
  <si>
    <t>Sutvarkyta lietaus sistemos griovių</t>
  </si>
  <si>
    <t>70,00</t>
  </si>
  <si>
    <t>03.01.03.05</t>
  </si>
  <si>
    <t>Įgyvendinti projektą „Šiaulių miesto paviršinių nuotekų tvarkymo sistemos inventorizavimas, paviršinių nuotekų tvarkymo infrastruktūros rekonstravimas ir plėtra"</t>
  </si>
  <si>
    <t>Naujo paviršinių nuotekų tinklo nutiesimas Pailių g.</t>
  </si>
  <si>
    <t>m</t>
  </si>
  <si>
    <t>140,00</t>
  </si>
  <si>
    <t>03.01.03.08</t>
  </si>
  <si>
    <t>Vykdyti Šiaulių miesto aplinkos kokybės stebėseną (triukšmo, oro, paviršinių vandens telkinių, požeminio vandens ir dirvožemio)</t>
  </si>
  <si>
    <t>Miesto ūkio ir aplinkos skyrius; Šiaulių municipalinė aplinkos tyrimų laboratorija</t>
  </si>
  <si>
    <t>Finansuojama įstaigų (Šiaulių municipalinė aplinkos tyrimų laboratorija)</t>
  </si>
  <si>
    <t>Parengta stebėsenos ataskaita (vykdoma stebėsena, įsigyjamos reikalingos priemonės ir paslaugos)</t>
  </si>
  <si>
    <t>03.01.03.09</t>
  </si>
  <si>
    <t>Optimizuoti aplinkos kokybės stebėseną ir optimizuoti vertinimo sistemą,  sukurti interaktyvią/informacinę duomenų bazę.  Įgyvendinti projektą „Aplinkos oro kokybės gerinimas Šiaulių mieste". Gerinti aplinkos oro kokybę, įgyvendinti aplinkos oro kokybės valdymo programą</t>
  </si>
  <si>
    <t>Išvalyta pavasarinio purvo (dėl pakeltosios taršos  - gatvių sąšlavos)</t>
  </si>
  <si>
    <t>420,00</t>
  </si>
  <si>
    <t>03.01.03.10</t>
  </si>
  <si>
    <t>Tvarkyti užterštas teritorijas Šiaulių mieste</t>
  </si>
  <si>
    <t>Sutvarkyta užterštų teritorijų (4463, 4464,11555, 11556, 11557)</t>
  </si>
  <si>
    <t>ha</t>
  </si>
  <si>
    <t>60,00</t>
  </si>
  <si>
    <t>03.01.03.11</t>
  </si>
  <si>
    <t>Likviduoti pavojingus radinius ir ekologinių avarijų padarinius</t>
  </si>
  <si>
    <t>Civilinės saugos ir teisėtvarkos skyrius</t>
  </si>
  <si>
    <t>Likviduota radinių ir avarijų</t>
  </si>
  <si>
    <t>03.01.03.12</t>
  </si>
  <si>
    <t>Tvarkyti Talkšos ekologinį taką</t>
  </si>
  <si>
    <t>03.01.03.13</t>
  </si>
  <si>
    <t>Vykdyti gyvenamuosiuose rajonuose, viešosiose vietose šunų išvedžiojimo aikštelių, kačių šėrimo vietų ir kitos gyvūnų priežiūrai skirtos įrangos įrengimą, remontą ir sanitarinę priežiūrą</t>
  </si>
  <si>
    <t>Šunų vedžiojimo aikštelių ir kačių šėrimo vietų priežiūra, remontas</t>
  </si>
  <si>
    <t>sk.</t>
  </si>
  <si>
    <t>16,00</t>
  </si>
  <si>
    <t>03.01.07.</t>
  </si>
  <si>
    <t>Vykdyti visuomenės švietimo ir mokymo aplinkosaugos klausimais priemones</t>
  </si>
  <si>
    <t>03.01.07.02</t>
  </si>
  <si>
    <t>Remti nevyriausybinių organizacijų aplinkosauginio švietimo projektų įgyvendinimą</t>
  </si>
  <si>
    <t>Paremta projektų</t>
  </si>
  <si>
    <t>5,00</t>
  </si>
  <si>
    <t>03.01.07.03</t>
  </si>
  <si>
    <t>Organizuoti aplinkosauginius renginius, vykdyti visuomenės švietimą ir informavimą, įsigyti aplinkosauginius informacinius ir kt. leidinius</t>
  </si>
  <si>
    <t>Įsigyta leidinių</t>
  </si>
  <si>
    <t>Organizuoti renginiai (Žemės diena, Europos judumo savaitė)</t>
  </si>
  <si>
    <t>Įgyvendinta visuomenės švietimo ir informavimo priemonių</t>
  </si>
  <si>
    <t>Paremtas egzotinių gyvūnų kampelis</t>
  </si>
  <si>
    <t>03.01.09.</t>
  </si>
  <si>
    <t>Skatinti atsinaujinančių išteklių Šiaulių mieste naudojimą</t>
  </si>
  <si>
    <t>03.01.09.01</t>
  </si>
  <si>
    <t>Parengti atsinaujinančių išteklių energijos naudojimą Šiaulių mieste planą</t>
  </si>
  <si>
    <t>04.</t>
  </si>
  <si>
    <t>Miesto infrastruktūros objektų priežiūros, modernizavimo ir plėtros programa</t>
  </si>
  <si>
    <t>04.01.</t>
  </si>
  <si>
    <t>Modernizuoti miesto infrastruktūrą, užtikrinti  komunalinių paslaugų teikimą, infrastruktūros objektų  priežiūrą ir remontą</t>
  </si>
  <si>
    <t>Užtikrinti miesto priežiūrą, švarą, apšvietimą pagal skirtą finansavimą</t>
  </si>
  <si>
    <t>04.01.01.</t>
  </si>
  <si>
    <t xml:space="preserve">Vykdyti miesto infrastruktūros objektų priežiūrą, einamąjį remontą </t>
  </si>
  <si>
    <t>04.01.01.01</t>
  </si>
  <si>
    <t>Tvarkyti aplinką ir vykdyti infrastruktūros objektų priežiūrą ir remontą</t>
  </si>
  <si>
    <t>Miesto ūkio ir aplinkos skyrius; Medelyno seniūnija; Rėkyvos seniūnija</t>
  </si>
  <si>
    <t>Aplinkos tvarkymo (žaliųjų plotų, gėlynų, medžių kirtimas, benamių gyvūnų priežiūra, kapinių priežiūra); gatvių apšvietimo ir reguliavimo, sanitarinių paslaugų, gatvių, šaligatvių, aikštelių, vaikų žaidimo aikštelių, takų priežiūros ir  remonto užtikrinimas</t>
  </si>
  <si>
    <t>Miesto komunalinio ūkio priežiūra: žvyruotų gatvių greideriavimas; kelių dangos ženklinimas; eismo reguliavimo, saugių eismo priemonių diegimas, kryptinio apšvietimo įrengimas</t>
  </si>
  <si>
    <t>1.06.</t>
  </si>
  <si>
    <t>04.01.01.05</t>
  </si>
  <si>
    <t>Remontuoti daugiabučių namų kiemų dangą</t>
  </si>
  <si>
    <t>Sutvarkyta, suremontuota planuotų einamaisiais metais kiemų įvažiavimų danga</t>
  </si>
  <si>
    <t>04.01.02.</t>
  </si>
  <si>
    <t>Vykdyti Šiaulių miesto kapinių infrastruktūros plėtrą</t>
  </si>
  <si>
    <t>04.01.02.02</t>
  </si>
  <si>
    <t>Vykdyti kapinių teritorijoje esančios infrastruktūros tvarkymą ir priežiūrą</t>
  </si>
  <si>
    <t>Kapinių skaitmeninės sistemos įdiegimas</t>
  </si>
  <si>
    <t>Tvarkomi takai, privažiavimai</t>
  </si>
  <si>
    <t>km</t>
  </si>
  <si>
    <t>0,50</t>
  </si>
  <si>
    <t>Visų miesto kapinių priežiūra (administravimas, vandens vežimas, atliekų išvežimas ir kt.)</t>
  </si>
  <si>
    <t>04.01.02.03</t>
  </si>
  <si>
    <t>Vykdyti kolumbariumo statybą ir priežiūrą</t>
  </si>
  <si>
    <t>Statybos ir renovacijos skyrius; Miesto ūkio ir aplinkos skyrius</t>
  </si>
  <si>
    <t>Įgyvendinta kolumbariumo statyba</t>
  </si>
  <si>
    <t>Užtikrinta Kolumbariumo priežiūra (kolumbariumo ir takų valymas)</t>
  </si>
  <si>
    <t>04.01.02.04</t>
  </si>
  <si>
    <t>Vykdyti Daušiškių kapinių statybos ir infrastruktūros įrengimo darbus</t>
  </si>
  <si>
    <t>Statybos ir renovacijos skyrius</t>
  </si>
  <si>
    <t>Įgyvendinti Daušiškių kapinių II etapo įrengimo darbai (paviršinių nuotekų tinklai, kapinių nusausinimas, vandentiekio tinklai, buitinių nuotekų tinklai)</t>
  </si>
  <si>
    <t>04.01.04.</t>
  </si>
  <si>
    <t>Sutvarkyti viešąsias erdves</t>
  </si>
  <si>
    <t>04.01.04.01</t>
  </si>
  <si>
    <t>Įgyvendinti projektą „Prisikėlimo aikštės, jos jungčių ir prieigų rekonstrukcija“</t>
  </si>
  <si>
    <t>04.01.04.05</t>
  </si>
  <si>
    <t>Įgyvendinti projektą „Vilniaus gatvės pėsčiųjų bulvaro ir amfiteatro rekonstrukcija“</t>
  </si>
  <si>
    <t>Atlikta rangos darbų</t>
  </si>
  <si>
    <t>Baigiamųjų dokumentų tvarkymas ir finansinių srautų valdymas</t>
  </si>
  <si>
    <t>1.02.</t>
  </si>
  <si>
    <t>04.01.04.06</t>
  </si>
  <si>
    <t>Įgyvendinti projektą „Talkšos ežero pakrantės plėtra“</t>
  </si>
  <si>
    <t>Architektūros, urbanistikos ir paveldosaugos skyrius; Miesto ūkio ir aplinkos skyrius; Projektų valdymo skyrius</t>
  </si>
  <si>
    <t>Sukurtos arba atnaujintos atviros erdvės mieste</t>
  </si>
  <si>
    <t>99 432,00</t>
  </si>
  <si>
    <t>04.01.04.07</t>
  </si>
  <si>
    <t>Įgyvendinti projektą „Viešųjų erdvių ir gyvenamosios aplinkos gerinimas teritorijoje, besiribojančioje su Draugystės prospektu, Vytauto gatve, P. Višinskio gatve ir Dubijos gatve"</t>
  </si>
  <si>
    <t>04.01.04.08</t>
  </si>
  <si>
    <t>Įgyvendinti projektą „P. Višinskio gatvės viešųjų erdvių pritaikymas jaunimo poreikiams“</t>
  </si>
  <si>
    <t>Architektūros, urbanistikos ir paveldosaugos skyrius; Projektų valdymo skyrius</t>
  </si>
  <si>
    <t>04.01.04.09</t>
  </si>
  <si>
    <t>Įgyvendinti projektą „Šiaulių miesto centrinio ir Didždvario parkų bei jų prieigų sutvarkymas“</t>
  </si>
  <si>
    <t>Architektūros, urbanistikos ir paveldosaugos skyrius; Projektų valdymo skyrius; Šiaulių kultūros centras</t>
  </si>
  <si>
    <t>96,00</t>
  </si>
  <si>
    <t>197 965,00</t>
  </si>
  <si>
    <t>04.01.04.10</t>
  </si>
  <si>
    <t>Įgyvendinti projektą „Aušros alėjos (nuo Žemaitės g. iki Varpo g.) viešųjų pastatų ir viešųjų erdvių prieigų rekonstrukcija"</t>
  </si>
  <si>
    <t>04.01.04.12</t>
  </si>
  <si>
    <t>Vykdyti vaizdo stebėjimo kamerų sistemos plėtrą</t>
  </si>
  <si>
    <t>Miesto koordinavimo skyrius</t>
  </si>
  <si>
    <t>Įrengta vaizdo stebėjimo kamerų</t>
  </si>
  <si>
    <t>Gatvių apšvietimo dispozicijoje esančių vaizdo kamerų prijungimas prie savivaldybės administracijos valdomos vaizdo stebėjimo kamerų sistemos</t>
  </si>
  <si>
    <t>Viešųjų vietų vaizdo stebėjimo kameros, kurioms užtikrinamas funkcionalumo tęstinumas</t>
  </si>
  <si>
    <t>55,00</t>
  </si>
  <si>
    <t>Alėjos, pėsčiųjų takai, skverai, gatvės, kuriose įrengta viešųjų vietų vaizdo stebėjimo sistema</t>
  </si>
  <si>
    <t>Įrengti greičio matuokliai</t>
  </si>
  <si>
    <t>04.02.</t>
  </si>
  <si>
    <t>Užtikrinti subalansuotą miesto susisiekimo sistemos vystymą</t>
  </si>
  <si>
    <t>Vykdyti miesto susisiekimo sistemos plėtrą</t>
  </si>
  <si>
    <t>04.02.01.</t>
  </si>
  <si>
    <t>Tobulinti miesto vidaus susisiekimo sistemą</t>
  </si>
  <si>
    <t>04.02.01.01</t>
  </si>
  <si>
    <t>Vykdyti naujų magistralinių gatvių suprojektavimo ir nutiesimo, susisiekimo komunikacijų įrengimo, rekonstravimo ir remonto darbus</t>
  </si>
  <si>
    <t>Statybos ir renovacijos skyrius; Architektūros, urbanistikos ir paveldosaugos skyrius</t>
  </si>
  <si>
    <t>Atlikta miesto gatvių, šaligatvių ir takų remonto darbų pagal skirtą finansavimą (Vaisių g., Šalkauskio g., Salantų g., Radviliškio g. šaligatvis, Dainų takas, Dainų parko takų plėtra)</t>
  </si>
  <si>
    <t>Atliktas išlyginamojo asfalto sluoksnio dengimas</t>
  </si>
  <si>
    <t>1 465,00</t>
  </si>
  <si>
    <t>281,00</t>
  </si>
  <si>
    <t>04.02.01.06</t>
  </si>
  <si>
    <t>Įrengti viešojo susisiekimo infrastruktūrą, siekiant pagerinti sąlygas verslo plėtrai</t>
  </si>
  <si>
    <t>Statybos ir renovacijos skyrius; Projektų valdymo skyrius</t>
  </si>
  <si>
    <t>Serbentų g. tęsinio įrengimas nuo esamos Serbentų g. iki Aukštabalio g.</t>
  </si>
  <si>
    <t>74,00</t>
  </si>
  <si>
    <t>Įrengta žiedinė sankryža</t>
  </si>
  <si>
    <t>0,00</t>
  </si>
  <si>
    <t>04.02.01.07</t>
  </si>
  <si>
    <t>Įrengti kelio Šiauliai-Panevėžys jungtį su Šiaulių industrinio parko teritorija</t>
  </si>
  <si>
    <t>Atlikta kelio rangos darbų</t>
  </si>
  <si>
    <t>04.02.01.11</t>
  </si>
  <si>
    <t>Įgyvendinti projektą „Eismo saugumo priemonių įdiegimas Šiaulių mieste“</t>
  </si>
  <si>
    <t>04.02.01.13</t>
  </si>
  <si>
    <t>Įgyvendinti projektą „Darnus judumas ir kasdienių kelionių modeliavimas Baltijos jūros miestuose“</t>
  </si>
  <si>
    <t>04.02.01.14</t>
  </si>
  <si>
    <t>Įgyvendinti projektą „Darnaus judumo priemonių diegimas Šiaulių mieste“</t>
  </si>
  <si>
    <t>Įgyvendintos darnaus judumo priemonės</t>
  </si>
  <si>
    <t>04.02.01.15</t>
  </si>
  <si>
    <t>Įgyvendinti projektą „Pakruojo gatvės rekonstrukcija“</t>
  </si>
  <si>
    <t>04.02.01.16</t>
  </si>
  <si>
    <t>Įgyvendinti projektą „Tilžės g. dviračių tako rekonstrukcija"</t>
  </si>
  <si>
    <t>04.02.01.18</t>
  </si>
  <si>
    <t>Įgyvendinti Bačiūnų g. rekonstrukciją</t>
  </si>
  <si>
    <t>04.02.01.19</t>
  </si>
  <si>
    <t>Vykdyti keleivių vežimą vietinio (miesto) reguliaraus susisiekimo autobusų maršrutais</t>
  </si>
  <si>
    <t>Apmokėta už miesto keleivių vežimo vietiniais maršrutais (Nr. 2,8,14,20,24) paslaugas pagal kilometražą</t>
  </si>
  <si>
    <t>600,00</t>
  </si>
  <si>
    <t>04.02.02.</t>
  </si>
  <si>
    <t>Vykdyti Savivaldybės infrastruktūros plėtrą</t>
  </si>
  <si>
    <t>04.02.02.01</t>
  </si>
  <si>
    <t>Suprojektuoti, nutiesti, išasfaltuoti ar rekonstruoti žvyruotas gatves</t>
  </si>
  <si>
    <t>Gatvių asfaltavimas ir įrengimas</t>
  </si>
  <si>
    <t>04.02.02.02</t>
  </si>
  <si>
    <t>Įgyvendinti Savivaldybės infrastruktūros plėtros rėmimo programą</t>
  </si>
  <si>
    <t>Sukurta infrastruktūros objektų (pasirašyta savivaldybės infrastruktūros plėtros sutarčių)</t>
  </si>
  <si>
    <t>05.</t>
  </si>
  <si>
    <t>Miesto ekonominės plėtros programa</t>
  </si>
  <si>
    <t>Ekonomikos ir investicijų skyrius</t>
  </si>
  <si>
    <t>05.01.</t>
  </si>
  <si>
    <t>Skatinti miesto ekonominę plėtrą sudarant palankias sąlygas verslo vystymuisi</t>
  </si>
  <si>
    <t>Užimtų gyventojų skaičiaus augimas</t>
  </si>
  <si>
    <t>Įsteigtų įmonių</t>
  </si>
  <si>
    <t>Materialinių investicijų augimas</t>
  </si>
  <si>
    <t>4,20</t>
  </si>
  <si>
    <t>4,50</t>
  </si>
  <si>
    <t>Tiesioginių užsienio investicijų (TUI) augimas</t>
  </si>
  <si>
    <t>05.01.02.</t>
  </si>
  <si>
    <t>Skatinti ir ugdyti verslumą</t>
  </si>
  <si>
    <t>05.01.02.01</t>
  </si>
  <si>
    <t>Skatinti smulkiojo verslo subjektus</t>
  </si>
  <si>
    <t>Įgyvendintų skatinimo priemonių</t>
  </si>
  <si>
    <t>05.01.02.02</t>
  </si>
  <si>
    <t>Įgyvendinti verslo subjektų mokymo programas</t>
  </si>
  <si>
    <t>Ekonomikos ir investicijų skyrius; VšĮ Šiaulių verslo inkubatorius</t>
  </si>
  <si>
    <t>Surengtų mokymų</t>
  </si>
  <si>
    <t>Verslo sklaidos renginių</t>
  </si>
  <si>
    <t>Suteiktos konsultacijos</t>
  </si>
  <si>
    <t>val.</t>
  </si>
  <si>
    <t>280,00</t>
  </si>
  <si>
    <t>05.01.02.03</t>
  </si>
  <si>
    <t>Įgyvendinti jaunimo verslumo skatinimo programą</t>
  </si>
  <si>
    <t>Konsultuotų asmenų</t>
  </si>
  <si>
    <t>žm.</t>
  </si>
  <si>
    <t>Verslumo mokymo ir verslo informacinės sklaidos renginių</t>
  </si>
  <si>
    <t>05.01.05.</t>
  </si>
  <si>
    <t>Skatinti investicijų pritraukimą</t>
  </si>
  <si>
    <t>05.01.05.01</t>
  </si>
  <si>
    <t>Parengti (atnaujinti) investicijų projektus</t>
  </si>
  <si>
    <t>Parengtų ir atnaujintų investicijų projektų</t>
  </si>
  <si>
    <t>05.01.05.02</t>
  </si>
  <si>
    <t>Vystyti Šiaulių pramoninio  parko (ŠPP) ir Šiaulių laisvosios ekonominės zonos (Šiaulių LEZ) infrastruktūrą</t>
  </si>
  <si>
    <t>Ekonomikos ir investicijų skyrius; Miesto ūkio ir aplinkos skyrius; Projektų valdymo skyrius</t>
  </si>
  <si>
    <t>LEZ teritorijoje įrengti šaligatviai</t>
  </si>
  <si>
    <t>0,90</t>
  </si>
  <si>
    <t>Sklypų skaičius iš kurių pašalinti medžiai</t>
  </si>
  <si>
    <t>Įrengta geležinkelio kelių</t>
  </si>
  <si>
    <t>2,20</t>
  </si>
  <si>
    <t>Įrengta krovos aikštelių infrastruktūra</t>
  </si>
  <si>
    <t>05.01.05.03</t>
  </si>
  <si>
    <t>Vystyti Šiaulių Oro uosto veiklą</t>
  </si>
  <si>
    <t>Ekonomikos ir investicijų skyrius; SĮ Šiaulių oro uostas</t>
  </si>
  <si>
    <t>Įvykdyti specialieji aviacijos saugumo užtikrinimo įsipareigojimai</t>
  </si>
  <si>
    <t>05.01.05.05</t>
  </si>
  <si>
    <t>Viešinti investicinę aplinką</t>
  </si>
  <si>
    <t>Suorganizuota renginių</t>
  </si>
  <si>
    <t>Dalyvauta parodose</t>
  </si>
  <si>
    <t>Elektroninio leidinio sukūrimas</t>
  </si>
  <si>
    <t>Straipsniai spaudoje</t>
  </si>
  <si>
    <t>Edukacinių, rinkodaros priemonių kūrimas</t>
  </si>
  <si>
    <t>05.01.05.06</t>
  </si>
  <si>
    <t>Pritraukti aukštos kvalifikacijos specialistus į Šiaulių miestą</t>
  </si>
  <si>
    <t>Atvykusių dirbti aukštos kvalifikacijos specialistų skaičius, kurie gavo vienkartines išmokas</t>
  </si>
  <si>
    <t>06.</t>
  </si>
  <si>
    <t>Turto valdymo ir privatizavimo programa</t>
  </si>
  <si>
    <t>Turto valdymo skyrius</t>
  </si>
  <si>
    <t>06.01.</t>
  </si>
  <si>
    <t>Užtikrinti Savivaldybei nuosavybės teise priklausančio turto efektyvų panaudojimą</t>
  </si>
  <si>
    <t>Teisiškai sutvarkytų ir  įregistruotų  nekilnojamojo turto sk.  nuo viso turimo turto, proc.</t>
  </si>
  <si>
    <t>85,00</t>
  </si>
  <si>
    <t>90,00</t>
  </si>
  <si>
    <t>06.01.01.</t>
  </si>
  <si>
    <t>Užtikrinti Savivaldybei nuosavybės teise priklausančio turto įregistravimą viešuosiuose registruose</t>
  </si>
  <si>
    <t>06.01.01.01</t>
  </si>
  <si>
    <t>Apmokėti pastatų, patalpų ir inžinerinių statinių vertinimo, kadastrinių matavimų atlikimo, teisines registracijos išlaidas</t>
  </si>
  <si>
    <t>Nekilnojamojo turto registre teisiškai įregistruotas turtas</t>
  </si>
  <si>
    <t>06.01.01.03</t>
  </si>
  <si>
    <t>Padengti Privatizavimo programos vykdymo išlaidas</t>
  </si>
  <si>
    <t>Padengtos išlaidos</t>
  </si>
  <si>
    <t>06.01.01.06</t>
  </si>
  <si>
    <t>Apmokėti turto, kuris neturi savininko (ar savininkas nežinomas) laikinosios priežiūros ir laikinųjų apsaugos priemonių įrengimo arba griovimo išlaidas</t>
  </si>
  <si>
    <t>Prižiūrimų ir nugriautų objektų</t>
  </si>
  <si>
    <t>06.01.02.</t>
  </si>
  <si>
    <t>Tinkamai eksploatuoti, renovuoti, remontuoti ir  saugoti Savivaldybei nuosavybės teise priklausantį turtą</t>
  </si>
  <si>
    <t>06.01.02.03</t>
  </si>
  <si>
    <t>Apmokėti Savivaldybei nuosavybės teise priklausančių pastatų, patalpų ir inžinerinių statinių  draudimo, apsaugos, remonto, komunalines ir kitas išlaidas</t>
  </si>
  <si>
    <t>Projektų valdymo skyrius; Turto valdymo skyrius</t>
  </si>
  <si>
    <t>Apmokėtos eksploatavimo išlaidos</t>
  </si>
  <si>
    <t>Apdraustų objektų</t>
  </si>
  <si>
    <t>06.01.02.12</t>
  </si>
  <si>
    <t>Apmokėti Savivaldybei nuosavybės teise priklausančio nekilnojamojo turto renovacijos išlaidas</t>
  </si>
  <si>
    <t>Apmokėtos renovacijos išlaidos</t>
  </si>
  <si>
    <t>06.01.02.14</t>
  </si>
  <si>
    <t>Užtikrinti skolų išieškojimą ir skolininkų iškeldinimą iš Savivaldybei nuosavybės teise priklausančių būstų</t>
  </si>
  <si>
    <t>Įvykdytų teismų sprendimų</t>
  </si>
  <si>
    <t>06.01.02.15</t>
  </si>
  <si>
    <t>Organizuoti finansinių įsipareigojimų Aukštabalio multifunkcinio komplekso operatoriui vykdymą</t>
  </si>
  <si>
    <t>Pasirašyta koncesijos sutartis</t>
  </si>
  <si>
    <t>Sutartinių metinių įsipareigojimų vykdymas</t>
  </si>
  <si>
    <t>06.01.02.16</t>
  </si>
  <si>
    <t>Apmokėti Savivaldybei nuosavybės teise priklausančių būstų eksploatavimo, administravimo, kaupimo, nuomos mokesčio surinkimo, komunalinių mokesčių, remonto išlaidas</t>
  </si>
  <si>
    <t>Apmokėtos išlaidos</t>
  </si>
  <si>
    <t>06.01.02.17</t>
  </si>
  <si>
    <t>Kompensuoti daugiabučių namų savininkų bendrijų steigimo išlaidas</t>
  </si>
  <si>
    <t>Padengtos steigimo išlaidos</t>
  </si>
  <si>
    <t>06.01.03.</t>
  </si>
  <si>
    <t>Sudaryti sąlygas įsigyti būstą pažeidžiamiausioms gyventojų grupėms</t>
  </si>
  <si>
    <t>06.01.03.05</t>
  </si>
  <si>
    <t>Didinti Savivaldybės būsto fondą</t>
  </si>
  <si>
    <t>Nupirktų būstų</t>
  </si>
  <si>
    <t>06.01.03.06</t>
  </si>
  <si>
    <t>Įgyvendinti projektą „Socialinio būsto fondo plėtra Šiaulių miesto savivaldybėje"</t>
  </si>
  <si>
    <t>06.01.03.07</t>
  </si>
  <si>
    <t>Kompensuoti būsto nuomos ar išperkamosios būsto nuomos mokesčių dalį</t>
  </si>
  <si>
    <t>1.04.</t>
  </si>
  <si>
    <t>06.01.03.08</t>
  </si>
  <si>
    <t>Sumokėti socialiai remtinų piliečių palūkanas už paskolas ir kompensuoti būsto nuomos mokesčių dalį</t>
  </si>
  <si>
    <t>06.01.03.09</t>
  </si>
  <si>
    <t>Kompensuoti jaunoms šeimoms dalį išlaidų įsigyjant pirmą būstą</t>
  </si>
  <si>
    <t>Šeimų gavusių kompensacijas</t>
  </si>
  <si>
    <t>07.</t>
  </si>
  <si>
    <t>Sporto plėtros programa</t>
  </si>
  <si>
    <t>Sporto skyrius</t>
  </si>
  <si>
    <t>07.01.</t>
  </si>
  <si>
    <t>Sudaryti sąlygas ugdyti sveiką ir fiziškai aktyvią miesto bendruomenę bei plėtoti aukšto meistriškumo sportininkų rengimo sistemą</t>
  </si>
  <si>
    <t>Sporto organizacijų Šiaulių mieste</t>
  </si>
  <si>
    <t>65,00</t>
  </si>
  <si>
    <t>67,00</t>
  </si>
  <si>
    <t>Prižiūrimų sporto bazių</t>
  </si>
  <si>
    <t>18,00</t>
  </si>
  <si>
    <t>19,00</t>
  </si>
  <si>
    <t>07.01.01.</t>
  </si>
  <si>
    <t>Plėtoti aukšto meistriškumo sportininkų rengimo sistemą</t>
  </si>
  <si>
    <t>07.01.01.02</t>
  </si>
  <si>
    <t>Vykdyti miesto, apskrities, šalies ir tarptautinius sporto renginius bei pasirengti ir dalyvauti šalies ir tarptautinėms varžyboms (Baltijos, Europos ir pasaulio čempionato varžyboms, kompleksiniams renginiams ir kt.)</t>
  </si>
  <si>
    <t>Šalies sporto šakų čempionatuose, taurės varžybose (suaugusiųjų amžiaus grupėje) laimėta 1–3 vietų</t>
  </si>
  <si>
    <t>250,00</t>
  </si>
  <si>
    <t>255,00</t>
  </si>
  <si>
    <t>260,00</t>
  </si>
  <si>
    <t>Šalies sporto šakų čempionatuose, taurės varžybose (jaunučių, jaunių, jaunimo amžiaus grupėse) laimėta 1–3 vietų</t>
  </si>
  <si>
    <t>555,00</t>
  </si>
  <si>
    <t>560,00</t>
  </si>
  <si>
    <t>565,00</t>
  </si>
  <si>
    <t>Europos čempionate iškovotų 1–6 vietų ir pasaulio čempionate, taurės varžybose (suaugusiųjų amžiaus grupėje) iškovotų 1–10 vietų</t>
  </si>
  <si>
    <t>36,00</t>
  </si>
  <si>
    <t>37,00</t>
  </si>
  <si>
    <t>Europos čempionate iškovotų 1–6 vietų ir pasaulio čempionate, taurės varžybose (jaunučių, jaunių, jaunimo amžiaus grupėse) iškovotų 1–10 vietų</t>
  </si>
  <si>
    <t>23,00</t>
  </si>
  <si>
    <t>24,00</t>
  </si>
  <si>
    <t>25,00</t>
  </si>
  <si>
    <t>Olimpinės ir paralimpinės rinktinės kandidatų bei perspektyvinės pamainos sportininkų</t>
  </si>
  <si>
    <t>Rinktinės narių skaičius (suaugusiųjų amžiaus grupėje)</t>
  </si>
  <si>
    <t>22,00</t>
  </si>
  <si>
    <t>Rinktinės narių skaičius (jaunučių, jaunių, jaunimo amžiaus grupėse)</t>
  </si>
  <si>
    <t>17,00</t>
  </si>
  <si>
    <t>Surengtų sporto renginių</t>
  </si>
  <si>
    <t>173,00</t>
  </si>
  <si>
    <t>175,00</t>
  </si>
  <si>
    <t>07.01.01.06</t>
  </si>
  <si>
    <t>Pasirengti ir dalyvauti Lietuvos čempionato ir sporto šakų federacijų taurės, Baltijos lygos ir taurės laimėtojų, Europos taurės ir kitose oficialiose varžybose (žaidimų komandų jaunimo ir suaugusiųjų amžiaus grupė)</t>
  </si>
  <si>
    <t>Komandų, dalyvaujančių šalies varžybose</t>
  </si>
  <si>
    <t>14,00</t>
  </si>
  <si>
    <t>Lietuvos čempionato varžybose laimėta 1–3 vietų</t>
  </si>
  <si>
    <t>Komandų, dalyvaujančių tarptautinėse varžybose</t>
  </si>
  <si>
    <t>Tarptautinėse varžybose laimėta 1–3 vietų</t>
  </si>
  <si>
    <t>Rinktinės narių</t>
  </si>
  <si>
    <t>07.01.01.08</t>
  </si>
  <si>
    <t>Įgyvendinti Šiaulių miesto reprezentacinių renginių programą</t>
  </si>
  <si>
    <t>Sporto skyrius; Šiaulių sporto centras ,,Dubysa"</t>
  </si>
  <si>
    <t>Surengti miestą reprezentuojantys sporto renginiai</t>
  </si>
  <si>
    <t>Surengtų sporto renginių dalyvių</t>
  </si>
  <si>
    <t>2 580,00</t>
  </si>
  <si>
    <t>2 650,00</t>
  </si>
  <si>
    <t>2 750,00</t>
  </si>
  <si>
    <t>07.01.01.09</t>
  </si>
  <si>
    <t>Skatinti sportininkus ir trenerius laimėjusius aukštas vietas tarptautinės varžybose</t>
  </si>
  <si>
    <t>Paskatinta aukšto meistriškumo sportininkų</t>
  </si>
  <si>
    <t>Premijų (stipendijų), skirtų sportininkams</t>
  </si>
  <si>
    <t>Paskatinta aukšto meistriškumo sportininkų trenerių</t>
  </si>
  <si>
    <t>07.01.01.10</t>
  </si>
  <si>
    <t>Plėtoti sportininkų rengimo centrų veiklą</t>
  </si>
  <si>
    <t>Sporto skyrius; Sportininkų rengimo centrai</t>
  </si>
  <si>
    <t>Komandų, dalyvaujančių LFF A, I ir II lygos varžybose</t>
  </si>
  <si>
    <t>Futbolo plėtros programoje rengiamų sportininkų</t>
  </si>
  <si>
    <t>650,00</t>
  </si>
  <si>
    <t>660,00</t>
  </si>
  <si>
    <t>670,00</t>
  </si>
  <si>
    <t>Komandų, dalyvaujančių Regiono lygos varžybose</t>
  </si>
  <si>
    <t>Krepšinio plėtros programoje rengiamų sportininkų</t>
  </si>
  <si>
    <t>570,00</t>
  </si>
  <si>
    <t>580,00</t>
  </si>
  <si>
    <t>07.01.01.11</t>
  </si>
  <si>
    <t>Plėtoti sporto įstaigų veiklą</t>
  </si>
  <si>
    <t>Sporto įstaigose rengiamų sportininkų</t>
  </si>
  <si>
    <t>2 715,00</t>
  </si>
  <si>
    <t>2 820,00</t>
  </si>
  <si>
    <t>2 900,00</t>
  </si>
  <si>
    <t>106,00</t>
  </si>
  <si>
    <t>108,00</t>
  </si>
  <si>
    <t>110,00</t>
  </si>
  <si>
    <t>07.01.06.</t>
  </si>
  <si>
    <t>Modernizuoti ir sukurti sporto infrastruktūrą</t>
  </si>
  <si>
    <t>07.01.06.01</t>
  </si>
  <si>
    <t>Pastatyti sporto kompleksą (futbolo ir regbio maniežą)</t>
  </si>
  <si>
    <t>Sporto skyrius; Projektų valdymo skyrius</t>
  </si>
  <si>
    <t>Parengtas techninis projektas</t>
  </si>
  <si>
    <t>Atlikta darbų</t>
  </si>
  <si>
    <t>07.01.06.02</t>
  </si>
  <si>
    <t>Pastatyti irklavimo sporto bazę (Žvyro g. 34)</t>
  </si>
  <si>
    <t>Statybos ir renovacijos skyrius; Sporto skyrius</t>
  </si>
  <si>
    <t>Atlikti II etapo statybos darbai (pastatytas pastatas), atlikta darbų</t>
  </si>
  <si>
    <t>07.01.06.03</t>
  </si>
  <si>
    <t>Suprojektuoti ir pastatyti buriavimo elingą prie Rėkyvos ežero</t>
  </si>
  <si>
    <t>Architektūros, urbanistikos ir paveldosaugos skyrius; Statybos ir renovacijos skyrius; Sporto skyrius</t>
  </si>
  <si>
    <t>07.01.06.04</t>
  </si>
  <si>
    <t>Įrengti universalios dirbtinės dangos sporto aikštelę</t>
  </si>
  <si>
    <t>07.01.06.05</t>
  </si>
  <si>
    <t>Modernizuoti plaukimo centro „Delfinas" (Ežero 11A) pastatą</t>
  </si>
  <si>
    <t>07.01.06.06</t>
  </si>
  <si>
    <t>Renovuoti lengvosios atletikos takus ir sektorius miesto stadione (Daukanto g. 23)</t>
  </si>
  <si>
    <t>07.01.06.07</t>
  </si>
  <si>
    <t>Pritaikyti miesto viešąsias erdves fizinio aktyvumo ir laisvalaikio poreikiams tenkinti</t>
  </si>
  <si>
    <t>07.01.06.08</t>
  </si>
  <si>
    <t>Futbolo aikštės rekonstrukcija (Kviečių g. 7)</t>
  </si>
  <si>
    <t>07.01.07.</t>
  </si>
  <si>
    <t>Skatinti gyventojų fizinio aktyvumo veiklas</t>
  </si>
  <si>
    <t>07.01.07.01</t>
  </si>
  <si>
    <t>Sudaryti sąlygas didinti fizinio aktyvumo renginių bei veiklų prieinamumą ir aprėptį</t>
  </si>
  <si>
    <t>Vykdytose fizinio aktyvumo veiklose dalyvaujančių dalis nuo bendro Šiaulių miesto gyventojų skaičiaus</t>
  </si>
  <si>
    <t>9,80</t>
  </si>
  <si>
    <t>07.01.07.02</t>
  </si>
  <si>
    <t>Mokyti vaikus plaukti ir saugiai elgtis vandenyje ir prie vandens</t>
  </si>
  <si>
    <t>Sporto skyrius; Šiaulių plaukimo centras ,,Delfinas"</t>
  </si>
  <si>
    <t>Išmokytų plaukti vaikų dalis nuo bendro 1–4 klasių mokinių skaičiaus Šiaulių miesto bendrojo ugdymo mokyklose</t>
  </si>
  <si>
    <t>08.</t>
  </si>
  <si>
    <t>Švietimo prieinamumo ir kokybės užtikrinimo programa</t>
  </si>
  <si>
    <t>Švietimo skyrius</t>
  </si>
  <si>
    <t>08.01.</t>
  </si>
  <si>
    <t>Plėtoti inovatyvią švietimo sistemą, ugdančią aktyvią ir kūrybingą asmenybę</t>
  </si>
  <si>
    <t>Sudarytos sąlygos kokybiškam ugdymo procesui</t>
  </si>
  <si>
    <t>Užtikrinta švietimo pagalba kiekvienam mokiniui</t>
  </si>
  <si>
    <t>13 500,00</t>
  </si>
  <si>
    <t>08.01.01.</t>
  </si>
  <si>
    <t>Gerinti švietimo prieinamumą ir pristatyti švietimo veiklą</t>
  </si>
  <si>
    <t>08.01.01.01</t>
  </si>
  <si>
    <t>Atstovauti miestui, pristatyti švietimo veiklą, organizuoti renginius</t>
  </si>
  <si>
    <t>Tradicinių mokytojų ir mokinių renginių</t>
  </si>
  <si>
    <t>Olimpiadų dalyvių</t>
  </si>
  <si>
    <t>1 200,00</t>
  </si>
  <si>
    <t>Įteikta premijų ,,Metų mokytojas“</t>
  </si>
  <si>
    <t>Švietimo bendruomenės organizuotų reprezentacinių miesto renginių</t>
  </si>
  <si>
    <t>Vieną ir daugiau 100 balų įvertinimą gavusių mokinių</t>
  </si>
  <si>
    <t>Švietimo lyderystės ir pagalbos programų dalyvių</t>
  </si>
  <si>
    <t>Pirmoko krepšelį gavusių mokinių</t>
  </si>
  <si>
    <t>1 090,00</t>
  </si>
  <si>
    <t>08.01.01.02</t>
  </si>
  <si>
    <t>Sukurti skaitmenines mokymosi aplinkas bendrojo ugdymo mokyklose</t>
  </si>
  <si>
    <t>Sukurtos skaitmeninės mokymosi aplinkos (2020-2023 m.), įvykdyti mokymai bei konsultacijos mokytojams ir mokyklos administracijai (2020-2021 m.), mokyklų skaičius</t>
  </si>
  <si>
    <t>32,00</t>
  </si>
  <si>
    <t>08.01.01.03</t>
  </si>
  <si>
    <t>Užtikrinti švietimo elektroninės apskaitos ir registracijos sistemų funkcionavimą</t>
  </si>
  <si>
    <t>Įstaigų objektai, kuriuose įdiegta ir atnaujinta, veikianti apskaitos sistema</t>
  </si>
  <si>
    <t>Nevalstybinių švietimo įstaigų ir laisvųjų mokytojų įgyvendinamų neformaliojo vaikų švietimo programų</t>
  </si>
  <si>
    <t>44,00</t>
  </si>
  <si>
    <t>48,00</t>
  </si>
  <si>
    <t>Sukurta ir veikianti priėmimo į bendrojo ugdymo mokyklas sistema</t>
  </si>
  <si>
    <t>08.01.01.04</t>
  </si>
  <si>
    <t>Įgyvendinti projektą „Ugdymo karjerai sistemos tobulinimas Šiaulių miesto savivaldybės bendrojo ugdymo mokyklose“</t>
  </si>
  <si>
    <t>Projekto dalyvių</t>
  </si>
  <si>
    <t>63,00</t>
  </si>
  <si>
    <t>08.01.01.05</t>
  </si>
  <si>
    <t>Vykdyti Šiaulių miesto savivaldybės, jos teritorijoje veikiančių aukštųjų mokyklų, Šiaulių profesinio rengimo centro, verslo įmonių ir švietimo įstaigų bendradarbiavimo programas</t>
  </si>
  <si>
    <t>STEAM ir STEAM JUNIOR programos grupių</t>
  </si>
  <si>
    <t>120,00</t>
  </si>
  <si>
    <t>INOSTART programų</t>
  </si>
  <si>
    <t>Inžinerijos ir informatikos mokslų krypties studijų Šiaulių mieste parama kviestiniams dėstytojams, skatinamųjų stipendijų</t>
  </si>
  <si>
    <t>Erdvės pritaikymo integruotam gamtos mokslų ugdymui ir Šiaulių miesto bendruomenės švietimui programa pradedama įgyvendinti</t>
  </si>
  <si>
    <t>Viešųjų ryšių akcijos „Šiauliai – sėkmingos karjeros miestas“ priemonių</t>
  </si>
  <si>
    <t>Studijų parama, studentų</t>
  </si>
  <si>
    <t>STEAM renginių ir varžybų</t>
  </si>
  <si>
    <t>Ankstyvojo profesinio informavimo programos"OPA" pradinių klasių mokiniams įgyvendinimas</t>
  </si>
  <si>
    <t>Tarpinstitucinio bendradarbiavimo žmogiškųjų išteklių plėtros programų</t>
  </si>
  <si>
    <t>Technologijų pamokų organizavimo</t>
  </si>
  <si>
    <t>08.01.01.06</t>
  </si>
  <si>
    <t>Vykdyti suaugusiųjų neformaliojo švietimo programas</t>
  </si>
  <si>
    <t>Programos dalyvių</t>
  </si>
  <si>
    <t>08.01.03.</t>
  </si>
  <si>
    <t>Sudaryti sąlygas kokybiškam ugdymo procesui</t>
  </si>
  <si>
    <t>08.01.03.01</t>
  </si>
  <si>
    <t>Užtikrinti švietimo įstaigų veiklą (ML 98% + SB)</t>
  </si>
  <si>
    <t>Bendrojo ugdymo mokyklų</t>
  </si>
  <si>
    <t>Miesto bendrojo ugdymo mokyklose mokinių</t>
  </si>
  <si>
    <t>1.03.</t>
  </si>
  <si>
    <t>Švietimo centras</t>
  </si>
  <si>
    <t>Suformatuotų, atspausdintų ir išduotų naujų elektroninių mokinio pažymėjimų</t>
  </si>
  <si>
    <t>5 000,00</t>
  </si>
  <si>
    <t>5 500,00</t>
  </si>
  <si>
    <t>Pedagogų mokymai dirbti informacinėmis technologijomis, asmeninių ir profesinių gebėjimų kursai, dalyvių</t>
  </si>
  <si>
    <t>300,00</t>
  </si>
  <si>
    <t>Pedagoginę psichologinę pagalbą teikianti tarnyba</t>
  </si>
  <si>
    <t>Įstaigų, kuriose įsteigti karjeros specialisto etatai</t>
  </si>
  <si>
    <t>27,00</t>
  </si>
  <si>
    <t>Vidutiniškai vienam mokiniui tenkantis plotas</t>
  </si>
  <si>
    <t>12,40</t>
  </si>
  <si>
    <t>,,Kultūros krepšelis“ edukaciniams užsiėmimams Šiaulių regiono muziejuose ir kitose kultūros įstaigose, mokinių</t>
  </si>
  <si>
    <t>13 172,00</t>
  </si>
  <si>
    <t>Mokinių, lankančių IT, robotikos, inžinerijos neformaliojo ugdymo būrelius, dalis</t>
  </si>
  <si>
    <t>08.01.03.02</t>
  </si>
  <si>
    <t>Tenkinti mokymo reikmes (ML  2% )</t>
  </si>
  <si>
    <t>Ikimokyklinio ir bendrojo ugdymo mokyklų, kuriose mažinami ugdymo finansavimo poreikių skirtumai</t>
  </si>
  <si>
    <t>Mokyklų, įdiegusių socialinių kompetencijų ugdymo modelį</t>
  </si>
  <si>
    <t>08.01.03.03</t>
  </si>
  <si>
    <t>Organizuoti mokinių vežimą</t>
  </si>
  <si>
    <t>Mokinių, kuriems kompensuojamas važiavimas į mokyklą</t>
  </si>
  <si>
    <t>800,00</t>
  </si>
  <si>
    <t>700,00</t>
  </si>
  <si>
    <t>08.01.03.04</t>
  </si>
  <si>
    <t>Užtikrinti viešųjų įstaigų, įgyvendinančių bendrąsias ir specialiąsias ugdymo programas bei nevalstybinių tradicinių religinių bendruomenių ir bendrijų mokyklų veiklą (ML 98 % + SB)</t>
  </si>
  <si>
    <t>VšĮ ugdymo įstaigų (,,Smalsieji pabiručiai“ ir Šiaulių jėzuitų mokykla)</t>
  </si>
  <si>
    <t>Nevalstybinių tradicinių religinių bendruomenių ir bendrijų mokyklų</t>
  </si>
  <si>
    <t>08.01.03.05</t>
  </si>
  <si>
    <t>Įgyvendinti projektą „Gerinti mokinių pasiekimus diegiant kokybės krepšelį“</t>
  </si>
  <si>
    <t>Projekte dalyvaujančių mokyklų</t>
  </si>
  <si>
    <t>08.01.03.06</t>
  </si>
  <si>
    <t>Vykdyti neformaliojo vaikų švietimo programas</t>
  </si>
  <si>
    <t>Sporto skyrius; Švietimo skyrius</t>
  </si>
  <si>
    <t>Neformaliojo vaikų švietimo mokyklų</t>
  </si>
  <si>
    <t>Vaikų, lankančių neformaliojo vaikų švietimo mokyklas</t>
  </si>
  <si>
    <t>4 450,00</t>
  </si>
  <si>
    <t>Neformaliojo vaikų švietimo teikėjų</t>
  </si>
  <si>
    <t>Nevalstybinių švietimo įstaigų ir laisvųjų mokytojų įgyvendinamų neformaliojo vaikų švietimo programas lankančių vaikų</t>
  </si>
  <si>
    <t>2 000,00</t>
  </si>
  <si>
    <t>Neformaliojo vaikų švietimo programų</t>
  </si>
  <si>
    <t>64,00</t>
  </si>
  <si>
    <t>FŠPU dalyvaujančių 1-12 klasių mokinių</t>
  </si>
  <si>
    <t>131,00</t>
  </si>
  <si>
    <t>130,00</t>
  </si>
  <si>
    <t>Atlyginimo lengvatą už neformalųjį vaikų švietimą  gaunančių vaikų</t>
  </si>
  <si>
    <t>08.01.03.07</t>
  </si>
  <si>
    <t>Užtikrinti neformaliojo vaikų švietimo teikėjų programų vykdymą (ŠMSM - 15 Eur/mėn.)</t>
  </si>
  <si>
    <t>08.01.03.08</t>
  </si>
  <si>
    <t>Kompensuoti tėvų atlyginimą už neformalųjį vaikų švietimą savivaldybės įstaigose</t>
  </si>
  <si>
    <t>08.01.03.09</t>
  </si>
  <si>
    <t>Užtikrinti ikimokyklinį ir priešmokyklinį ugdymą</t>
  </si>
  <si>
    <t>Ikimokyklinio ugdymo įstaigų</t>
  </si>
  <si>
    <t>Pagal ikimokyklinę programą ugdomų vaikų</t>
  </si>
  <si>
    <t>4 300,00</t>
  </si>
  <si>
    <t>08.01.03.10</t>
  </si>
  <si>
    <t>Kompensuoti tėvų atlyginimą už vaiko išlaikymą įstaigoje</t>
  </si>
  <si>
    <t>Ikimokyklinio ugdymo įstaigose lengvatas gaunančių vaikų</t>
  </si>
  <si>
    <t>730,00</t>
  </si>
  <si>
    <t>08.01.03.11</t>
  </si>
  <si>
    <t>Užtikrinti ikimokyklinio ugdymo programų įgyvendinimą Šiaulių miesto nevalstybinėse švietimo įstaigose (70 Eur/mėn.)</t>
  </si>
  <si>
    <t>Nevalstybines švietimo įstaigas, įgyvendinančias ikimokyklinio ugdymo programas, lankančių ugdytinių</t>
  </si>
  <si>
    <t>310,00</t>
  </si>
  <si>
    <t>08.01.03.12</t>
  </si>
  <si>
    <t>Finansuoti ikimokyklinio ir priešmokyklinio ugdymo programas vykdančias viešąsias įstaigas</t>
  </si>
  <si>
    <t>Viešųjų įstaigų</t>
  </si>
  <si>
    <t>08.01.03.13</t>
  </si>
  <si>
    <t>Įgyvendinti vaikų ir jaunimo vasaros užimtumo programas</t>
  </si>
  <si>
    <t>Vasaros užimtumo programose dalyvaujančių vaikų</t>
  </si>
  <si>
    <t>1 500,00</t>
  </si>
  <si>
    <t>08.01.03.14</t>
  </si>
  <si>
    <t>Švietimo pagalbos užtikrinimas švietimo įstaigose</t>
  </si>
  <si>
    <t>Švietimo pagalba teikiama visiems mokiniams, kuriems nustatyti specialieji ugdymosi poreikiai</t>
  </si>
  <si>
    <t>08.05.</t>
  </si>
  <si>
    <t>Gerinti ugdymo sąlygas ir aplinką</t>
  </si>
  <si>
    <t>Įstaigų, kuriose atnaujintos aplinkos</t>
  </si>
  <si>
    <t>08.05.02.</t>
  </si>
  <si>
    <t>Atnaujinti ir modernizuoti švietimo įstaigų ugdymo aplinką</t>
  </si>
  <si>
    <t>08.05.02.08</t>
  </si>
  <si>
    <t>Įgyvendinti projektą „Šiaulių Sporto gimnazijos (Vilniaus g. 297) modernizavimas“</t>
  </si>
  <si>
    <t>Statybos ir renovacijos skyrius; Švietimo skyrius; Projektų valdymo skyrius</t>
  </si>
  <si>
    <t>Įrengta sporto aikštelė</t>
  </si>
  <si>
    <t>08.05.02.09</t>
  </si>
  <si>
    <t>Įgyvendinti projektą „Santarvės" gimnazijos renovavimas“</t>
  </si>
  <si>
    <t>Statybos ir renovacijos skyrius; Švietimo skyrius</t>
  </si>
  <si>
    <t>Atlikta planuotų pastato remonto darbų</t>
  </si>
  <si>
    <t>08.05.02.16</t>
  </si>
  <si>
    <t>Rekonstruoti miesto gimnazijų ir mokyklų sporto aikštynus</t>
  </si>
  <si>
    <t>Atnaujintas "Saulėtekio" gimnazijos sporto aikštynas</t>
  </si>
  <si>
    <t>Atlikti "Rasos" progimnazijos sporto aikštyno atnaujinimo rangos darbai</t>
  </si>
  <si>
    <t>Gytarių progimnazijos sporto aikštyno atnaujinimas</t>
  </si>
  <si>
    <t>08.05.02.17</t>
  </si>
  <si>
    <t>Renovuoti švietimo įstaigų baseinus</t>
  </si>
  <si>
    <t>08.05.02.22</t>
  </si>
  <si>
    <t>Įgyvendinti projektą „Rėkyvos progimnazijos rekonstrukcija ir aplinkos gerinimas“</t>
  </si>
  <si>
    <t>Atlikta planuotų mokyklos rekonstravimo darbų</t>
  </si>
  <si>
    <t>89,00</t>
  </si>
  <si>
    <t>1.07.</t>
  </si>
  <si>
    <t>08.05.02.23</t>
  </si>
  <si>
    <t>Tvarkyti švietimo įstaigų teritorijų dangas ir įvažiavimus</t>
  </si>
  <si>
    <t>Miesto ūkio ir aplinkos skyrius; Švietimo skyrius</t>
  </si>
  <si>
    <t>Švietimo įstaigų, kuriose atnaujintos teritorijų dangos ir įvažiavimai, skaičius (Švietimo centras, l/d „Pasaka“ ir kt.)</t>
  </si>
  <si>
    <t>08.05.02.24</t>
  </si>
  <si>
    <t>Atnaujinti švietimo įstaigų teritorijų lauko įrenginius ir aptvėrimą</t>
  </si>
  <si>
    <t>Švietimo įstaigų, kuriose atnaujinti lauko įrenginiai ir aptvertos teritorijos (lopšelis-darželis „Drugelis“, Gegužių progimnazija ir kt.)</t>
  </si>
  <si>
    <t>Švietimo įstaigų, kuriose atnaujintas lauko apšvietimas (l/d „Pasaka“, „Kregždutė“, P. Avižonio ugdymo centras, Centro pradinė mokykla,  l/d „Berželis“ ir kt.)</t>
  </si>
  <si>
    <t>08.05.02.31</t>
  </si>
  <si>
    <t>Atnaujinti švietimo įstaigų pastatus, patalpas, įrangą ir komunikacijas</t>
  </si>
  <si>
    <t>Įstaigų, kuriose atliktas virtuvių remontas (Salduvės, Zoknių progimnazijos, ,,Santarvės“  gimnazija ir kt.)</t>
  </si>
  <si>
    <t>Įstaigų, kuriose apšiltintos pastatų sienos (l. d. „Eglutė“, l/d  „Trys nykštukai“ darbų projektavimas pagal priemonę 01.05.01.01)</t>
  </si>
  <si>
    <t>Atnaujinta vėdinimo sistema (l/d „Drugelis“)</t>
  </si>
  <si>
    <t>Įstaigų, kuriose atliktas vamzdynų remontas (l/d „Varpelis“, „Trys nykštukai“ ir kt.)</t>
  </si>
  <si>
    <t>Įstaigų, kuriose atliktas elektros instaliacijos remontas (l/d „Vaikystė“, „Ąžuoliukas“ II korpusas ir kt.)</t>
  </si>
  <si>
    <t>08.05.02.41</t>
  </si>
  <si>
    <t>Įgyvendinti projektą „Didždvario gimnazijos pastato remontas“</t>
  </si>
  <si>
    <t>Atlikta planuotų gimnazijos remonto darbų</t>
  </si>
  <si>
    <t>08.05.02.52</t>
  </si>
  <si>
    <t>Įgyvendinti projektą „Šiaulių Didždvario gimnazijos ir Šiaulių „Juventos“ progimnazijos ugdymo aplinkos modernizavimas“</t>
  </si>
  <si>
    <t>08.05.02.53</t>
  </si>
  <si>
    <t>Įgyvendinti projektą „Lopšelio darželio „Kregždutė" modernizavimas“</t>
  </si>
  <si>
    <t>Atnaujintų įstaigų skaičius</t>
  </si>
  <si>
    <t>08.05.02.54</t>
  </si>
  <si>
    <t>Įgyvendinti projektą „Modernizuoti edukacines aplinkas Šiaulių 1-ojoje muzikos mokykloje ir Šiaulių dainavimo mokykloje „Dagilėlis“</t>
  </si>
  <si>
    <t>Neformaliojo švietimo įstaigų, kuriose modernizuotos  ugdymo aplinkos ir priemonės skaičius</t>
  </si>
  <si>
    <t>Atnaujintos neformaliojo ugdymo įstaigos</t>
  </si>
  <si>
    <t>08.05.02.60</t>
  </si>
  <si>
    <t>Įgyvendinti švietimo įstaigų modernizavimo projektą</t>
  </si>
  <si>
    <t>Švietimo skyrius; Projektų valdymo skyrius</t>
  </si>
  <si>
    <t>Įrengti liftai švietimo įstaigose</t>
  </si>
  <si>
    <t>Hibridinių klasių įrangos įdiegimas bendrojo ugdymo mokyklose</t>
  </si>
  <si>
    <t>Kondicionavimo įrangos ikimokyklinio ugdymo įstaigose įdiegimas</t>
  </si>
  <si>
    <t>Švietimo įstaigose įrengtų saulės elektrinių</t>
  </si>
  <si>
    <t>08.05.02.61</t>
  </si>
  <si>
    <t>Įgyvendinti projektą „Savivaldybės viešųjų pastatų atnaujinimui teikiamų subsidijų panaudojimas“</t>
  </si>
  <si>
    <t>Atnaujinta (modernizuota) savivaldybės viešųjų pastatų</t>
  </si>
  <si>
    <t>08.05.02.62</t>
  </si>
  <si>
    <t>Užtikrinti švietimo įstaigų pastatų ir vidaus patalpų avarinių situacijų šalinimą</t>
  </si>
  <si>
    <t>Miesto ūkio ir aplinkos skyrius; Švietimo skyrius; Šiaulių miesto savivaldybės švietimo centras</t>
  </si>
  <si>
    <t>Švietimo įstaigų, kuriose pašalintos vidaus ir išorės pastatų, lauko aplinkos avarinės situacijos.</t>
  </si>
  <si>
    <t>08.05.02.64</t>
  </si>
  <si>
    <t>Atnaujinti mokyklų sporto sales</t>
  </si>
  <si>
    <t>Suremontuotos  sporto salės (ir pagalbinės patalpos) švietimo įstaigose (Ragainės progimnazijoje,  „Saulėtekio“ gimnazijoje, V. Kudirkos progimnazijoje ir kt.)</t>
  </si>
  <si>
    <t>09.</t>
  </si>
  <si>
    <t>Bendruomenės sveikatinimo programa</t>
  </si>
  <si>
    <t>Sveikatos skyrius</t>
  </si>
  <si>
    <t>09.01.</t>
  </si>
  <si>
    <t>Sudaryti palankias sąlygas miesto bendruomenei sveikatinti ir gerinti sveikatos priežiūros paslaugų kokybę ir prieinamumą</t>
  </si>
  <si>
    <t>Asmenų sergamumas, tenkantis 1000 savivaldybės gyventojų, skaičiaus pokytis per metus</t>
  </si>
  <si>
    <t>09.01.01.</t>
  </si>
  <si>
    <t>Modernizuoti sveikatos priežiūros įstaigų infrastruktūrą</t>
  </si>
  <si>
    <t>09.01.01.05</t>
  </si>
  <si>
    <t>Įgyvendinti projektą „Energetinių charakteristikų gerinimas VšĮ Dainų pirminės sveikatos priežiūros centre"</t>
  </si>
  <si>
    <t>Sveikatos skyrius; VšĮ Dainų pirminės sveikatos priežiūros centras</t>
  </si>
  <si>
    <t>Atlikta pastato šiltinimo darbų</t>
  </si>
  <si>
    <t>Modernizuota šildymo sistemos</t>
  </si>
  <si>
    <t>09.01.01.11</t>
  </si>
  <si>
    <t>Įgyvendinti projektą „VšĮ Šiaulių ilgalaikio gydymo ir geriatrijos centro pastatų rekonstravimas, aktyvios ventiliacijos įrengimas, kiemo gerbūvio sutvarkymas ir maisto gamybos skyriaus modernizavimas"</t>
  </si>
  <si>
    <t>Statybos ir renovacijos skyrius; Sveikatos skyrius; VšĮ Šiaulių ilgalaikio gydymo ir geriatrijos centras</t>
  </si>
  <si>
    <t>Atlikta senojo korpuso rekuperavimo ir kondicionavimo sistemos įrengimo darbų</t>
  </si>
  <si>
    <t>Atlikta naujojo korpuso dalies rekuperavimo ir kondicionavimo sistemos įrengimo darbų</t>
  </si>
  <si>
    <t>09.01.01.13</t>
  </si>
  <si>
    <t>Modernizuoti VšĮ Šiaulių centro polikliniką</t>
  </si>
  <si>
    <t>Atlikta senojo Odotologijos korpuso fasado remonto darbų</t>
  </si>
  <si>
    <t>Atnaujinta vidaus patalpų ir odontologinės įrangos</t>
  </si>
  <si>
    <t>Atlikta naujojo Odontologijos korpuso fasado remonto darbų</t>
  </si>
  <si>
    <t>09.01.01.15</t>
  </si>
  <si>
    <t>Įgyvendinti projektą „Pirminės asmens sveikatos priežiūros veiklos efektyvumo didinimas Šiaulių mieste"</t>
  </si>
  <si>
    <t>Sveikatos skyrius; Projektų valdymo skyrius; VšĮ Šiaulių centro poliklinika; VšĮ Šiaulių ilgalaikio gydymo ir geriatrijos centras</t>
  </si>
  <si>
    <t>Pacientų, kuriems pagerinta paslaugų kokybė ir prieinamumas</t>
  </si>
  <si>
    <t>37 677,00</t>
  </si>
  <si>
    <t>Viešąsias sveikatos paslaugas teikiančios asmens sveikatos priežiūros įstaigos, kuriose modernizuota paslaugų teikimo infrastruktūra</t>
  </si>
  <si>
    <t>09.01.02.</t>
  </si>
  <si>
    <t>Plėtoti visuomenės sveikatos priežiūros paslaugas ir ugdyti visuomenės poreikį sveikai gyventi</t>
  </si>
  <si>
    <t>09.01.02.01</t>
  </si>
  <si>
    <t>Įsitraukti į sveikatinimo iniciatyvas, prevencines programas ir jas vykdyti</t>
  </si>
  <si>
    <t>09.01.02.02</t>
  </si>
  <si>
    <t>Sukurti ir gerinti miesto bendruomenės sveikatinimo sąlygas, užtikrinant sveikatinimo projektų finansavimą</t>
  </si>
  <si>
    <t>Sveikatinimo iniciatyvose dalyvavusių asmenų</t>
  </si>
  <si>
    <t>500,00</t>
  </si>
  <si>
    <t>09.01.02.03</t>
  </si>
  <si>
    <t>Įgyvendinti projektą „Sveikos gyvensenos skatinimas Šiaulių mieste"</t>
  </si>
  <si>
    <t>Sveikatos skyrius; Šiaulių miesto savivaldybės visuomenės sveikatos biuras</t>
  </si>
  <si>
    <t>Tikslinių grupių asmenų, kurie dalyvavo informavimo, švietimo ir mokymo renginiuose bei sveikatos raštingumą didinančiose veiklose</t>
  </si>
  <si>
    <t>09.01.02.04</t>
  </si>
  <si>
    <t>Vykdyti visuomenės sveikatos priežiūrą</t>
  </si>
  <si>
    <t>Privalomojo mokymo metu mokytų asmenų</t>
  </si>
  <si>
    <t>09.01.02.05</t>
  </si>
  <si>
    <t>Plėtoti sveiką gyvenseną ir stiprinti mokinių sveikatos įgūdžius ugdymo įstaigose</t>
  </si>
  <si>
    <t>Ugdymo įstaigų, kuriose vykdytos visuomenės sveikatos priežiūros funkcijos</t>
  </si>
  <si>
    <t>68,00</t>
  </si>
  <si>
    <t>Mokinių, dalyvavusių sveikatinimo veiklose ugdymo įstaigose</t>
  </si>
  <si>
    <t>30 000,00</t>
  </si>
  <si>
    <t>Renginių, organizuotų ugdymo įstaigų mokiniams</t>
  </si>
  <si>
    <t>09.01.02.06</t>
  </si>
  <si>
    <t>Stiprinti sveikos gyvensenos įgūdžius bendruomenėse bei vykdyti visuomenės sveikatos stebėseną</t>
  </si>
  <si>
    <t>Stebėsenos ataskaitų su pasiūlymais dėl gyventojų sveikatos būklės gerinimo</t>
  </si>
  <si>
    <t>Miesto gyventojų, dalyvavusių sveikatinimo veiklose</t>
  </si>
  <si>
    <t>20 000,00</t>
  </si>
  <si>
    <t>Renginių, organizuotų miesto gyventojams</t>
  </si>
  <si>
    <t>Parengtų informacinių pranešimų, straipsnių</t>
  </si>
  <si>
    <t>Asmenų, baigusių Širdies ir kraujagyslių ligų ir cukrinio diabeto prevencinę sveikatos stiprinimo programą</t>
  </si>
  <si>
    <t>09.01.02.07</t>
  </si>
  <si>
    <t>Plėtoti visuomenės psichikos sveikatos paslaugų prieinamumą bei ankstyvojo savižudybių atpažinimo ir kompleksinės pagalbos teikimo sistemą</t>
  </si>
  <si>
    <t>Suteiktų individualių konsultacijų</t>
  </si>
  <si>
    <t>1 300,00</t>
  </si>
  <si>
    <t>1 350,00</t>
  </si>
  <si>
    <t>Suteiktų grupinių konsultacijų</t>
  </si>
  <si>
    <t>180,00</t>
  </si>
  <si>
    <t>150,00</t>
  </si>
  <si>
    <t>Pravestų mokymų</t>
  </si>
  <si>
    <t>09.01.04.</t>
  </si>
  <si>
    <t>Vykdyti ligų prevenciją ir didinti sveikatos priežiūros paslaugų prieinamumą</t>
  </si>
  <si>
    <t>09.01.04.01</t>
  </si>
  <si>
    <t>Kompensuoti ir teikti medicinines paslaugas pažeidžiamiausioms gyventojų grupėms</t>
  </si>
  <si>
    <t>Dantų protezavimo paslaugas gavusių asmenų</t>
  </si>
  <si>
    <t>Slaugos paslaugas gavusių asmenų</t>
  </si>
  <si>
    <t>Pervežtų pacientų</t>
  </si>
  <si>
    <t>Ortodonto suteiktų konsultacijų</t>
  </si>
  <si>
    <t>09.01.04.03</t>
  </si>
  <si>
    <t>Organizuoti privalomąjį profilaktinį aplinkos kenksmingumo pašalinimą</t>
  </si>
  <si>
    <t>Gavusių paslaugas asmenų</t>
  </si>
  <si>
    <t>09.01.04.04</t>
  </si>
  <si>
    <t>Įgyvendinti projektą „Paramos priemonių tuberkulioze sergantiems asmenims įgyvendinimas Šiaulių mieste"</t>
  </si>
  <si>
    <t>Sveikatos skyrius; Projektų valdymo skyrius</t>
  </si>
  <si>
    <t>Tuberkulioze sergančių pacientų, kuriems buvo suteiktos socialinės paramos priemonės tuberkuliozės ambulatorinio gydymo metu</t>
  </si>
  <si>
    <t>09.01.04.05</t>
  </si>
  <si>
    <t>Įgyvendinti projektą „Priklausomybės ligų profilaktikos, diagnostikos ir gydymo kokybės ir prieinamumo gerinimas Šiaulių mieste"</t>
  </si>
  <si>
    <t>Sveikatos skyrius; Projektų valdymo skyrius; VšĮ Šiaulių centro poliklinika</t>
  </si>
  <si>
    <t>Apsilankymų žemo slenksčio paslaugų kabinetuose</t>
  </si>
  <si>
    <t>200,00</t>
  </si>
  <si>
    <t>09.01.04.06</t>
  </si>
  <si>
    <t>Pritraukti gydytojus specialistus į Šiaulių miestą ir išlaikyti jame</t>
  </si>
  <si>
    <t>Paremtų gydytojų, atvykusių dirbti į Šiaulius</t>
  </si>
  <si>
    <t>Finansuotų rezidentų</t>
  </si>
  <si>
    <t>09.01.04.07</t>
  </si>
  <si>
    <t>Vykdyti maudyklų vandens kokybės stebėseną ir paruošti duomenų rinkmenas apie maudyklų vandens charakteristikas</t>
  </si>
  <si>
    <t>Sveikatos skyrius; Šiaulių sporto centras ,,Atžalynas"</t>
  </si>
  <si>
    <t>Vykdyta maudyklų vandens kokybės stebėsena</t>
  </si>
  <si>
    <t>09.01.04.08</t>
  </si>
  <si>
    <t>Įgyvendinti projektą „Geležinkelių transporto aplinkos apsaugos priemonių (triukšmą slopinančių priemonių) diegimas Šiaulių miesto savivaldybėje"</t>
  </si>
  <si>
    <t>09.01.04.09</t>
  </si>
  <si>
    <t>Vykdyti ligų profilaktikos ir prevencijos priemones</t>
  </si>
  <si>
    <t>Vykdyta ligų profilaktika, prevencija</t>
  </si>
  <si>
    <t>10.</t>
  </si>
  <si>
    <t>Socialinės paramos įgyvendinimo programa</t>
  </si>
  <si>
    <t>Socialinių paslaugų skyrius; Socialinių išmokų ir kompensacijų skyrius</t>
  </si>
  <si>
    <t>10.01.</t>
  </si>
  <si>
    <t>Įgyvendinti socialinės apsaugos sistemą, mažinančią socialinę atskirtį ir užtikrinančią pažeidžiamų gyventojų grupių socialinę integraciją</t>
  </si>
  <si>
    <t>Socialinių paslaugų gavėjų dalis nuo bendro Šiaulių miesto gyventojų skaičiaus</t>
  </si>
  <si>
    <t>20,50</t>
  </si>
  <si>
    <t>20,90</t>
  </si>
  <si>
    <t>Piniginės socialinės paramos gavėjų dalis nuo bendro Šiaulių miesto gyventojų skaičiaus</t>
  </si>
  <si>
    <t>44,50</t>
  </si>
  <si>
    <t>Mažas pajamas gaunančių socialinės paramos gavėjų dalis nuo bendro Šiaulių miesto gyventojų skaičiaus</t>
  </si>
  <si>
    <t>16,70</t>
  </si>
  <si>
    <t>10.01.01.</t>
  </si>
  <si>
    <t>Teikti socialines paslaugas ir didinti jų prieinamumą įvairioms gyventojų grupėms</t>
  </si>
  <si>
    <t>10.01.01.05</t>
  </si>
  <si>
    <t>Teikti ilgalaikės, trumpalaikės ir dienos socialinės globos paslaugas senyvo amžiaus asmenims, suaugusiems asmenims ir vaikams su negalia ir su sunkia negalia</t>
  </si>
  <si>
    <t>Socialinių paslaugų skyrius</t>
  </si>
  <si>
    <t>Teikiamų paslaugų rūšių</t>
  </si>
  <si>
    <t>Paslaugų gavėjų su sunkia negalia</t>
  </si>
  <si>
    <t>610,00</t>
  </si>
  <si>
    <t>705,00</t>
  </si>
  <si>
    <t>780,00</t>
  </si>
  <si>
    <t>Paslaugų gavėjų su negalia</t>
  </si>
  <si>
    <t>240,00</t>
  </si>
  <si>
    <t>Patenkintų prašymų laikino atokvėpio paslaugai gauti (nuo visų pateiktų asmenų prašymų)</t>
  </si>
  <si>
    <t>10.01.01.07</t>
  </si>
  <si>
    <t>Įgyvendinti Užimtumo didinimo programą laikiną užimtumą užtikrinančiomis priemonėmis</t>
  </si>
  <si>
    <t>Sukurtų laikinų darbo vietų</t>
  </si>
  <si>
    <t>10.01.01.09</t>
  </si>
  <si>
    <t>Įgyvendinti Būsto pritaikymo asmenims turintiems negalią programą</t>
  </si>
  <si>
    <t>Socialinių paslaugų skyrius; Statybos ir renovacijos skyrius; Šiaulių miesto savivaldybės socialinių paslaugų centras</t>
  </si>
  <si>
    <t>Pritaikytų būstų ir gyvenamosios aplinkos dalis nuo visų gautų paraiškų</t>
  </si>
  <si>
    <t>75,00</t>
  </si>
  <si>
    <t>Pritaikytų būstų suaugusiems asmenims dalis nuo visų gautų paraiškų</t>
  </si>
  <si>
    <t>Pritaikytų būstų vaikams dalis nuo visų gautų paraiškų</t>
  </si>
  <si>
    <t>10.01.01.10</t>
  </si>
  <si>
    <t>Didinti socialinių paslaugų prieinamumą</t>
  </si>
  <si>
    <t>Suteikta pavėžėjimo su pagalba paslaugų asmenims su negalia nuo pateiktų prašymų</t>
  </si>
  <si>
    <t>Suteikta asmeninės pagalbos paslaugų asmenims su negalia nuo pateiktų prašymų</t>
  </si>
  <si>
    <t>10.01.01.11</t>
  </si>
  <si>
    <t>Užtikrinti socialinių paslaugų įstaigų veiklą ir prienamumą</t>
  </si>
  <si>
    <t>Socialinių paslaugų skyrius; Šiaulių miesto savivaldybės socialinių paslaugų centras; Šiaulių miesto savivaldybės vaikų globos namai ; Šiaulių miesto savivaldybės globos namai; Kompleksinių paslaugų namai ,,Alka"</t>
  </si>
  <si>
    <t>Socialinių paslaugų centre teikiamų paslaugų rūšių</t>
  </si>
  <si>
    <t>Socialinių paslaugų centre aptarnautų asmenų (šeimų)</t>
  </si>
  <si>
    <t>16 300,00</t>
  </si>
  <si>
    <t>16 600,00</t>
  </si>
  <si>
    <t>16 900,00</t>
  </si>
  <si>
    <t>Vaikų globos namuose teikiamų paslaugų rūšių</t>
  </si>
  <si>
    <t>Vaikų globos namuose paslaugų gavėjų</t>
  </si>
  <si>
    <t>450,00</t>
  </si>
  <si>
    <t>Globos namuose teikiamų paslaugų rūšių</t>
  </si>
  <si>
    <t>Globos namuose paslaugų gavėjų</t>
  </si>
  <si>
    <t>480,00</t>
  </si>
  <si>
    <t>Kompleksinių paslaugų namuose "Alka" teikiamų paslaugų rūšių</t>
  </si>
  <si>
    <t>Kompleksinių paslaugų namuose "Alka" paslaugų gavėjų</t>
  </si>
  <si>
    <t>47,00</t>
  </si>
  <si>
    <t>10.01.01.12</t>
  </si>
  <si>
    <t>Užtikrinti socialinės globos paslaugų teikimą vaikams, likusiems be tėvų globos</t>
  </si>
  <si>
    <t>Globojamų vaikų šeimose</t>
  </si>
  <si>
    <t>213,00</t>
  </si>
  <si>
    <t>205,00</t>
  </si>
  <si>
    <t>Globojamų vaikų šeimynose</t>
  </si>
  <si>
    <t>Globojamų vaikų bendruomeniniuose vaikų globos namuose</t>
  </si>
  <si>
    <t>Globojamų vaikų kitų savivaldybių institucijose</t>
  </si>
  <si>
    <t>10.01.01.13</t>
  </si>
  <si>
    <t>Įgyvendinti socialinės reabilitacijos paslaugų neįgaliesiems bendruomenėje projektus</t>
  </si>
  <si>
    <t>Finansuojamų projektų</t>
  </si>
  <si>
    <t>Paslaugų gavėjų</t>
  </si>
  <si>
    <t>940,00</t>
  </si>
  <si>
    <t>10.01.01.14</t>
  </si>
  <si>
    <t>Užtikrinti vaikų dienos centrų veiklą ir prieinamumą</t>
  </si>
  <si>
    <t>Vaikų, lankančių dienos centrus</t>
  </si>
  <si>
    <t>Vaikų iš šeimų, patiriančių socialinę riziką, dalis nuo visų socialinės rizikos šeimose augančių vaikų skaičiaus</t>
  </si>
  <si>
    <t>Vaikų iš šeimų patiriančių socialinę riziką, dalis nuo visų vaikų dienos centrus lankančių vaikų</t>
  </si>
  <si>
    <t>10.01.01.15</t>
  </si>
  <si>
    <t>Užtikrinti kraitelio skyrimą šeimoms, susilaukusioms kūdikio</t>
  </si>
  <si>
    <t>Socialinių paslaugų skyrius; Civilinės metrikacijos skyrius</t>
  </si>
  <si>
    <t>Nupirktų kraitelių</t>
  </si>
  <si>
    <t>Kūdikiams įteiktų kraitelių dalis nuo visų per metus gimusių kūdikių</t>
  </si>
  <si>
    <t>10.01.01.16</t>
  </si>
  <si>
    <t>Įgyvendinti projektą „Integrali pagalba į namus Šiaulių mieste"</t>
  </si>
  <si>
    <t>Socialinių paslaugų skyrius; Projektų valdymo skyrius; Šiaulių miesto savivaldybės socialinių paslaugų centras; Šiaulių miesto savivaldybės globos namai</t>
  </si>
  <si>
    <t>Patenkintų prašymų integraliai pagalbai (asmens namuose) paslaugai gauti (nuo pateiktų asmenų prašymų)</t>
  </si>
  <si>
    <t>230,00</t>
  </si>
  <si>
    <t>10.01.01.17</t>
  </si>
  <si>
    <t>Įgyvendinti projektą „Kompleksinės paslaugos šeimai Šiaulių miesto savivaldybėje"</t>
  </si>
  <si>
    <t>Socialinių paslaugų skyrius; Projektų valdymo skyrius</t>
  </si>
  <si>
    <t>385,00</t>
  </si>
  <si>
    <t>10.01.01.18</t>
  </si>
  <si>
    <t>Įgyvendinti projektą „Vaikų socialinės integracijos skatinimas Jelgavos ir Šiaulių miestuose"</t>
  </si>
  <si>
    <t>Suremontuota ir įranga aprūpinta vaikų dienos centrų</t>
  </si>
  <si>
    <t>Įdiegta atsiskaitymo be grynųjų pinigų sistema mokyklose</t>
  </si>
  <si>
    <t>Suteikta psichologo ir teisinių konsultacijų</t>
  </si>
  <si>
    <t>Parengta ir pritaikyta darbo su jaunimu gatvėje metodika</t>
  </si>
  <si>
    <t>10.01.01.19</t>
  </si>
  <si>
    <t>Užtikrinti Globos centrų veiklą</t>
  </si>
  <si>
    <t>Budinčių globotojų</t>
  </si>
  <si>
    <t>Budinčių globotojų šeimose globojamų vaikų</t>
  </si>
  <si>
    <t>GIMK mokymus baigusių asmenų</t>
  </si>
  <si>
    <t>Koordinuotos pagalbos atvejų</t>
  </si>
  <si>
    <t>10.01.03.</t>
  </si>
  <si>
    <t>Plėsti  socialinių paslaugų įstaigų infrastruktūrą, atnaujinant ir modernizuojant esamus bei įrengiant naujus socialinės paskirties įstaigų pastatus</t>
  </si>
  <si>
    <t>10.01.03.10</t>
  </si>
  <si>
    <t>Rekonstruoti Šiaulių miesto savivaldybės socialinių paslaugų centro Paramos tarnybos pastatą (Stoties g.)</t>
  </si>
  <si>
    <t>Statybos ir renovacijos skyrius; Socialinių paslaugų skyrius; Šiaulių miesto savivaldybės socialinių paslaugų centras</t>
  </si>
  <si>
    <t>Atliktas pastato išorinės dalies atnaujinimas (modernizavimas)</t>
  </si>
  <si>
    <t>10.01.03.11</t>
  </si>
  <si>
    <t>Naujo padalinio prie Šiaulių miesto savivaldybės globos namų (Energetikų g. 13 A) statyba</t>
  </si>
  <si>
    <t>Statybos ir renovacijos skyrius; Šiaulių miesto savivaldybės globos namai</t>
  </si>
  <si>
    <t>10.01.03.12</t>
  </si>
  <si>
    <t>Įgyvendinti projektą „Bendruomeninių apgyvendinimo bei užimtumo paslaugų asmenims su proto ir psichikos negaliai plėtra Šiaulių mieste“</t>
  </si>
  <si>
    <t>Rekonstruotas ir specializuotos slaugos-globos namų, dienos užimtumo ir socialinių dirbtuvių veiklai pritaikytas pastatas</t>
  </si>
  <si>
    <t>Pastatyti ir grupinio gyvenimo namų veiklai pritaikyti namai</t>
  </si>
  <si>
    <t>10.01.03.14</t>
  </si>
  <si>
    <t>Plėsti bendruomenines paslaugas vaikams</t>
  </si>
  <si>
    <t>Pritaikyta būstų bendruomeninių vaikų globos namų veiklai</t>
  </si>
  <si>
    <t>10.01.03.15</t>
  </si>
  <si>
    <t>Gerinti socialinių paslaugų įstaigų pastatų būklę</t>
  </si>
  <si>
    <t>Statybos ir renovacijos skyrius; Socialinių paslaugų skyrius; Šiaulių miesto savivaldybės globos namai</t>
  </si>
  <si>
    <t>10.01.05.</t>
  </si>
  <si>
    <t>Užtikrinti valstybės garantuotos piniginės socialinės paramos teikimą</t>
  </si>
  <si>
    <t>10.01.05.01</t>
  </si>
  <si>
    <t>Skirti ir išmokėti išmokas ir kompensacijas</t>
  </si>
  <si>
    <t>Socialinių išmokų ir kompensacijų skyrius</t>
  </si>
  <si>
    <t>Išmokų gavėjų</t>
  </si>
  <si>
    <t>17 000,00</t>
  </si>
  <si>
    <t>1 701,00</t>
  </si>
  <si>
    <t>1 700,00</t>
  </si>
  <si>
    <t>10.01.05.02</t>
  </si>
  <si>
    <t>Skirti ir išmokėti išmokas vaikams</t>
  </si>
  <si>
    <t>19 000,00</t>
  </si>
  <si>
    <t>Patvirtintų pareigybių</t>
  </si>
  <si>
    <t>33,00</t>
  </si>
  <si>
    <t>10.01.05.03</t>
  </si>
  <si>
    <t>Skirti ir išmokėti tikslines kompensacijas</t>
  </si>
  <si>
    <t>3 650,00</t>
  </si>
  <si>
    <t>10.01.05.04</t>
  </si>
  <si>
    <t>Kompensacijos sovietinėje armijoje sužalotiems ir žuvusiųjų šeimoms</t>
  </si>
  <si>
    <t>10.01.05.05</t>
  </si>
  <si>
    <t>Kompensacijos nepriklausomybės gynėjams nukentėjusiems nuo 1991 m. sausio 11-13 d. ir po to vykdytos SSRS agresijos</t>
  </si>
  <si>
    <t>10.01.05.06</t>
  </si>
  <si>
    <t>Skirti kitas išmokas</t>
  </si>
  <si>
    <t>10.01.05.07</t>
  </si>
  <si>
    <t>Skirti socialinę paramą moksleiviams</t>
  </si>
  <si>
    <t>4 150,00</t>
  </si>
  <si>
    <t>10.01.05.08</t>
  </si>
  <si>
    <t>Kompensuoti keleivinio transporto vežėjų išlaidas (negautas pajamas) už lengvatinį keleivių vežimą reguliaraus susisiekimo maršrutais</t>
  </si>
  <si>
    <t>Sutartinių įsipareigojimų vykdymas</t>
  </si>
  <si>
    <t>11.</t>
  </si>
  <si>
    <t>Savivaldybės veiklos programa</t>
  </si>
  <si>
    <t>Bendrųjų reikalų skyrius</t>
  </si>
  <si>
    <t>11.01.</t>
  </si>
  <si>
    <t>Efektyviai organizuoti Savivaldybės darbą ir užtikrinti Savivaldybės funkcijų įgyvendinimą</t>
  </si>
  <si>
    <t>Darbuotojų, dalyvavusių mokymuose, skaičius (nuo visų darbuotojų skaičiaus)</t>
  </si>
  <si>
    <t>Suteiktų elektroninių paslaugų kiekis</t>
  </si>
  <si>
    <t>11 000,00</t>
  </si>
  <si>
    <t>12 000,00</t>
  </si>
  <si>
    <t>14 000,00</t>
  </si>
  <si>
    <t>Valstybės deleguotų funkcijų skaičius</t>
  </si>
  <si>
    <t>11.01.01.</t>
  </si>
  <si>
    <t>Organizuoti  Savivaldybės veiklos funkcijų įgyvendinimą</t>
  </si>
  <si>
    <t>11.01.01.01</t>
  </si>
  <si>
    <t>Užtikrinti Savivaldybės administracijos finansinį, ūkinį ir materialinį aptarnavimą</t>
  </si>
  <si>
    <t>Apskaitos skyrius</t>
  </si>
  <si>
    <t>Valstybės karjeros tarnautojų (pareigybių)</t>
  </si>
  <si>
    <t>181,00</t>
  </si>
  <si>
    <t>Darbuotojų dirbančių pagal darbo sutartis (pareigybių)</t>
  </si>
  <si>
    <t>Įvykdytų planuotų administracijos remonto darbų</t>
  </si>
  <si>
    <t>Organizuota mokymų/ dalyvių</t>
  </si>
  <si>
    <t>Įsigyta kompiuterinės technikos</t>
  </si>
  <si>
    <t>Įsigyta organizacinės technikos</t>
  </si>
  <si>
    <t>Įsigyta programinė įranga</t>
  </si>
  <si>
    <t>Įsigyta duomenų saugyklų</t>
  </si>
  <si>
    <t>Eksploatuojama kompiuterių</t>
  </si>
  <si>
    <t>330,00</t>
  </si>
  <si>
    <t>Aktyvios komunikacijos Savivaldybės socialinėje paskyroje "Facebook" (sekėjai)</t>
  </si>
  <si>
    <t>15 000,00</t>
  </si>
  <si>
    <t>18 000,00</t>
  </si>
  <si>
    <t>Komunikacija socialiniuose tinkluose lietuvių/anglų kalba (Linekdin ir Instagram) (sekėjai)</t>
  </si>
  <si>
    <t>3 800,00</t>
  </si>
  <si>
    <t>5 720,00</t>
  </si>
  <si>
    <t>11.01.01.02</t>
  </si>
  <si>
    <t>Užtikrinti Savivaldybės tarybos ir Savivaldybės tarybos sekretoriato finansinį, ūkinį ir materialinį aptarnavimą</t>
  </si>
  <si>
    <t>Tarybos sekretoriato darbuotojų (pareigybių)</t>
  </si>
  <si>
    <t>Neįvykę (perkelti) Tarybos, Komitetų, Komisijų posėdžiai</t>
  </si>
  <si>
    <t>Tarybos priimtų sprendimų pavėluotas paskelbimas ir (ar) vykdymas</t>
  </si>
  <si>
    <t>11.01.01.03</t>
  </si>
  <si>
    <t>Užtikrinti  Kontrolės ir audito tarnybos finansinį, ūkinį bei materialinį aptarnavimą</t>
  </si>
  <si>
    <t>Kontrolės ir audito tarnyba</t>
  </si>
  <si>
    <t>Atlikta auditų</t>
  </si>
  <si>
    <t>11.01.01.05</t>
  </si>
  <si>
    <t>Užtikrinti Šiaulių apskaitos centro veiklą</t>
  </si>
  <si>
    <t>Užtikrinta buhalterinių įstaigų veikla</t>
  </si>
  <si>
    <t>11.01.01.09</t>
  </si>
  <si>
    <t>Užtikrinti projektų vykdymo priežiūros ir kitas inžinerines paslaugas</t>
  </si>
  <si>
    <t>Įgyvendintos inžinerinės paslaugos</t>
  </si>
  <si>
    <t>11.01.01.10</t>
  </si>
  <si>
    <t>Likviduoti įvykių, ekstremalių įvykių ir ekstremalių situacijų pasekmes</t>
  </si>
  <si>
    <t>Likviduotos įvykusių ekstremalių įvykių/situacijų pasekmės</t>
  </si>
  <si>
    <t>11.01.01.11</t>
  </si>
  <si>
    <t>Parengti Šiaulių m. 2025–2033 m. strateginį plėtros planą</t>
  </si>
  <si>
    <t>Strateginio planavimo ir finansų skyrius</t>
  </si>
  <si>
    <t>Parinktas rengėjas</t>
  </si>
  <si>
    <t>Parengta esamos situacijos analizė</t>
  </si>
  <si>
    <t>Parengtas strateginis plėtros planas</t>
  </si>
  <si>
    <t>Parengtas strateginis veiklos planas</t>
  </si>
  <si>
    <t>11.01.02.</t>
  </si>
  <si>
    <t>Tinkamai įgyvendinti valstybines (perduotas savivaldybei) funkcijas</t>
  </si>
  <si>
    <t>11.01.02.01</t>
  </si>
  <si>
    <t>Deklaruoti gyvenamąją vietą</t>
  </si>
  <si>
    <t>Užtikrintas funkcijos įgyvendinimas</t>
  </si>
  <si>
    <t>11.01.02.02</t>
  </si>
  <si>
    <t>Teikti duomenis Valstybės registrui</t>
  </si>
  <si>
    <t>11.01.02.03</t>
  </si>
  <si>
    <t>Teikti pirminę teisinę pagalbą</t>
  </si>
  <si>
    <t>Teisės skyrius</t>
  </si>
  <si>
    <t>11.01.02.05</t>
  </si>
  <si>
    <t>Registruoti civilinės būklės aktus</t>
  </si>
  <si>
    <t>Civilinės metrikacijos skyrius</t>
  </si>
  <si>
    <t>11.01.02.06</t>
  </si>
  <si>
    <t>Tvarkyti Gyventojų registrą</t>
  </si>
  <si>
    <t>11.01.02.07</t>
  </si>
  <si>
    <t>Vykdyti valstybinės kalbos vartojimo kontrolę</t>
  </si>
  <si>
    <t>11.01.02.09</t>
  </si>
  <si>
    <t>Įgyvendinti jaunimo politiką</t>
  </si>
  <si>
    <t>Vyriausiasis specialistas (jaunimo reikalų koordinatorius)</t>
  </si>
  <si>
    <t>11.01.02.10</t>
  </si>
  <si>
    <t>Tvarkyti archyvinius dokumentus</t>
  </si>
  <si>
    <t>11.01.02.11</t>
  </si>
  <si>
    <t>Administruoti mobilizaciją</t>
  </si>
  <si>
    <t>11.01.02.12</t>
  </si>
  <si>
    <t>Organizuoti civilinę saugą</t>
  </si>
  <si>
    <t>11.01.02.13</t>
  </si>
  <si>
    <t>Vykdyti žemės ūkio funkcijas</t>
  </si>
  <si>
    <t>11.01.02.14</t>
  </si>
  <si>
    <t>Administruoti Užimtumo didinimo programą</t>
  </si>
  <si>
    <t>11.01.02.15</t>
  </si>
  <si>
    <t>Administruoti socialines pašalpas</t>
  </si>
  <si>
    <t>11.01.02.16</t>
  </si>
  <si>
    <t>Administruoti kompensacijas</t>
  </si>
  <si>
    <t>11.01.02.17</t>
  </si>
  <si>
    <t>Administruoti socialinę paramą mokiniams</t>
  </si>
  <si>
    <t>11.01.02.18</t>
  </si>
  <si>
    <t>Administruoti socialinę globą</t>
  </si>
  <si>
    <t>11.01.02.20</t>
  </si>
  <si>
    <t>Administruoti būsto nuomos ar išperkamosios būsto nuomos mokesčių dalies kompensacijas</t>
  </si>
  <si>
    <t>11.01.02.21</t>
  </si>
  <si>
    <t>Užtikrinti informacijos apie neveiksnių asmenų būklę persvarstymą</t>
  </si>
  <si>
    <t>Komisijos priimti sprendimai kreiptis į teismą</t>
  </si>
  <si>
    <t>Komisijos inicijuoti asmens būklės peržiūrėjimai</t>
  </si>
  <si>
    <t>11.01.02.22</t>
  </si>
  <si>
    <t>Organizuoti tarpinstitucinio bendradarbiavimo koordinatoriaus darbą</t>
  </si>
  <si>
    <t>11.01.02.23</t>
  </si>
  <si>
    <t>Atlikti erdvinių duomenų rinkinio tvarkymo funkciją</t>
  </si>
  <si>
    <t>Atlikta tvarkymo funkcija</t>
  </si>
  <si>
    <t>11.01.04.</t>
  </si>
  <si>
    <t>Diegti ir palaikyti Savivaldybės administracijoje modernias informacines sistemas</t>
  </si>
  <si>
    <t>11.01.04.03</t>
  </si>
  <si>
    <t>Įgyvendinti administracinės naštos mažinimo planą ir organizuoti plano įgyvendinimo stebėseną</t>
  </si>
  <si>
    <t>Įgyvendintų priemonių plano veiklų</t>
  </si>
  <si>
    <t>11.01.04.04</t>
  </si>
  <si>
    <t>Gerinti asmenų aptarnavimo ir paslaugų kokybę Šiaulių miesto savivaldybėje</t>
  </si>
  <si>
    <t>Patobulinti viešojo administravimo paslaugų organizavimo ir teikimo procesai</t>
  </si>
  <si>
    <t>11.01.04.05</t>
  </si>
  <si>
    <t>Įgyvendinti projektą „Gyventojų kortelės integravimas į teikiamų paslaugų valdymą Jelgavos ir Šiaulių savivaldybėse"</t>
  </si>
  <si>
    <t>Bendrųjų reikalų skyrius; Projektų valdymo skyrius</t>
  </si>
  <si>
    <t>11.01.04.08</t>
  </si>
  <si>
    <t>Įgyvendinti projektą „Bendradarbiavimas pasienio regione siekiant užtikrinti saugumą ir viešųjų paslaugų efektyvumą“</t>
  </si>
  <si>
    <t>11.01.06.</t>
  </si>
  <si>
    <t>Užtikrinti finansinių įsipareigojimų vykdymą</t>
  </si>
  <si>
    <t>11.01.06.01</t>
  </si>
  <si>
    <t>Vykdyti paskolų grąžinimą, palūkanų už paskolas mokėjimą ir kitus finansinius  įsipareigojimus</t>
  </si>
  <si>
    <t>Pasirašytų paskolų sutarčių</t>
  </si>
  <si>
    <t>Skolinių įsipareigojimų vykdymas</t>
  </si>
  <si>
    <t>11.01.06.02</t>
  </si>
  <si>
    <t>Kompensuoti keleivių vežimo vietiniais maršrutais organizavimo išlaidas</t>
  </si>
  <si>
    <t>11.01.07.</t>
  </si>
  <si>
    <t>Užtikrinti pagrindinius lygių galimybių principus Savivaldybės administracijoje</t>
  </si>
  <si>
    <t>11.01.07.01</t>
  </si>
  <si>
    <t>Sudaryti galimybes Savivaldybės administracijos darbuotojams dirbti nuotoliniu būdu ir taikyti lanksčius darbo grafikus</t>
  </si>
  <si>
    <t>Darbuotojai,  dirbantys pagal darbo sutartis ir valstybės karjeros tarnautojai</t>
  </si>
  <si>
    <t>11.01.07.02</t>
  </si>
  <si>
    <t>Teikti pasiūlymus dėl lygių galimybių kriterijų/krypčių numatymo Savivaldybės vykdomose programose</t>
  </si>
  <si>
    <t>Pateikti pasiūlymai</t>
  </si>
  <si>
    <t>11.01.07.03</t>
  </si>
  <si>
    <t>Užtikrinti informacijos sklaidą lygių galimybių klausimais</t>
  </si>
  <si>
    <t>Parengta straipsnių</t>
  </si>
  <si>
    <t>11.02.</t>
  </si>
  <si>
    <t>Plėtoti bendradarbiavimą su socialiniais partneriais</t>
  </si>
  <si>
    <t>Prevencinės programos įgyvendinimas</t>
  </si>
  <si>
    <t>Finansuota bendruomeninių projektų</t>
  </si>
  <si>
    <t>39,00</t>
  </si>
  <si>
    <t>11.02.01.</t>
  </si>
  <si>
    <t>Plėtoti bendradarbiavimą su miesto teisėtvarkos institucijomis ir vietos bendruomene</t>
  </si>
  <si>
    <t>11.02.01.01</t>
  </si>
  <si>
    <t>Įgyvendinti prevencines programas</t>
  </si>
  <si>
    <t>Įgyvendinta projektų</t>
  </si>
  <si>
    <t>11.02.01.02</t>
  </si>
  <si>
    <t>Įgyvendinti projektą „Civilinės saugos sistemos gerinimas Šiaulių ir Jelgavos miestuose (saugios savivaldybės koncepcija)"</t>
  </si>
  <si>
    <t>11.02.01.03</t>
  </si>
  <si>
    <t>Stiprinti bendruomeninę veiklą savivaldybėje</t>
  </si>
  <si>
    <t>Vyriausiasis specialistas (nevyriausybinių organizacijų koordinatorius)</t>
  </si>
  <si>
    <t>Finansuota projektų</t>
  </si>
  <si>
    <t>11.02.01.04</t>
  </si>
  <si>
    <t>Skatinti nevyriausybinių organizacijų veiklą ir užtikrinti jų plėtrą</t>
  </si>
  <si>
    <t>Suorganizuota mokymų</t>
  </si>
  <si>
    <t>11.02.01.05</t>
  </si>
  <si>
    <t>Dalyvauti Šiaulių vietos veiklos grupės strategijos rengime ir įgyvendinime</t>
  </si>
  <si>
    <t>Pasirašytos projektų finansavimo sutartys</t>
  </si>
  <si>
    <t>11.02.01.06</t>
  </si>
  <si>
    <t>Įgyvendinti bendruomenės iniciatyvas, skirtas gyvenamajai aplinkai gerinti</t>
  </si>
  <si>
    <t>Architektūros, urbanistikos ir paveldosaugos skyrius; Miesto ūkio ir aplinkos skyrius</t>
  </si>
  <si>
    <t>11.02.01.07</t>
  </si>
  <si>
    <t>Dalyvių</t>
  </si>
  <si>
    <t>1 000,00</t>
  </si>
  <si>
    <t>Dalyvaujančio jaunimo veikloje procentas nuo bendro jaunimo skaičiaus</t>
  </si>
  <si>
    <t>0,60</t>
  </si>
  <si>
    <t>11.02.01.08</t>
  </si>
  <si>
    <t>Įgyvendinti projektą „Savivaldybių kompetencijų didinimas teikiant paslaugas trečiųjų šalių piliečiams“ (Integracijos paslaugų trečiųjų šalių piliečiams paketo sukūrimas ir įgyvendinimas)</t>
  </si>
  <si>
    <t>Parengtas integracijos paslaugų teikimo planas</t>
  </si>
  <si>
    <t>Parengta padalomoji medžiaga</t>
  </si>
  <si>
    <t>Informacijos interneto svetainėse (savivaldybės, biudžetinių įstaigų, nevyriausybinių organizacijų ir kt.) viešinimas</t>
  </si>
  <si>
    <t>Parengta paraiška lėšoms gauti</t>
  </si>
  <si>
    <t>1.</t>
  </si>
  <si>
    <t>SAVIVALDYBĖS BIUDŽETAS IŠ VISO, IŠ JO:</t>
  </si>
  <si>
    <t>Savivaldybės biudžeto lėšos (SB)</t>
  </si>
  <si>
    <t>Skolintos lėšos (PS)</t>
  </si>
  <si>
    <t>Mokymo lėšos VB (ML)</t>
  </si>
  <si>
    <t>Lėšos valstybinėms funkcijoms atlikti VB (VF)</t>
  </si>
  <si>
    <t>Valstybės biudžeto lėšos (VB)</t>
  </si>
  <si>
    <t>Kelių priežiūros ir plėtros programos lėšos VB (KPPP)</t>
  </si>
  <si>
    <t>Valstybės investicijų projektų lėšos VB (VIP)</t>
  </si>
  <si>
    <t>Europos Sąjungos lėšos (ES)</t>
  </si>
  <si>
    <t>Įstaigos pajamų lėšos (PL)</t>
  </si>
  <si>
    <t>Lėšų likutis ataskaitinio laikotarpio pabaigoje (LIK)</t>
  </si>
  <si>
    <t>Aplinkos apsaugos rėmimo specialiosios programos lėšos SB (AA)</t>
  </si>
  <si>
    <t>2.</t>
  </si>
  <si>
    <t>KITOS LĖŠOS IŠ VISO, IŠ JŲ:</t>
  </si>
  <si>
    <t>Valstybės biudžeto lėšos KT (VB)</t>
  </si>
  <si>
    <t>Europos Sąjungos lėšos KT (ES)</t>
  </si>
  <si>
    <t>Kitų šaltinių lėšos KT (KL)</t>
  </si>
  <si>
    <t>IŠ VISO:</t>
  </si>
  <si>
    <t>Numatomi 2022 metų asignavimai (projektas)</t>
  </si>
  <si>
    <t>2021 metais patvirtinti asignavimai Nr. T-1 (2021-02-04)</t>
  </si>
  <si>
    <t>1.12.</t>
  </si>
  <si>
    <t>03.01.03.07</t>
  </si>
  <si>
    <t xml:space="preserve">Vykdyti geriamojo vandens tiekimo ir nuotekų tvarkymo infrastruktūros plėtrą  </t>
  </si>
  <si>
    <t>05.01.05.04</t>
  </si>
  <si>
    <t>Įrengti ekonominės veiklos centro infrastruktūrą</t>
  </si>
  <si>
    <t>Ekonomikos ir investicijų skyrius; Statybos ir renovacijos skyrius; SĮ Šiaulių oro uostas</t>
  </si>
  <si>
    <t>06.01.02.10</t>
  </si>
  <si>
    <t>Apmokėti paviršinių (lietaus) nuotekų ir miesto apšvietimo tinklų  kadastrinių matavimų, teisinės registracijos ir turto vertinimo paslaugas</t>
  </si>
  <si>
    <t>Įgyvendinti projektą „Kraštovaizdžio būklės gerinimas Šiaulių mieste“</t>
  </si>
  <si>
    <t>06.01.02.13</t>
  </si>
  <si>
    <t>Projektų valdymo skyrius; Architektūros ir urbanistikos skyrius</t>
  </si>
  <si>
    <t>10.01.03.08</t>
  </si>
  <si>
    <t>Atnaujinti dienos socialinės globos centro „Goda'' pastatą (Žalgirio g. 3)</t>
  </si>
  <si>
    <t>1.10</t>
  </si>
  <si>
    <t>Pastatyti (pritaikyti pastatą) nakvynės namų ir apgyvendinimo paslaugoms teikti</t>
  </si>
  <si>
    <t>10.01.03.09</t>
  </si>
  <si>
    <t>Projektų valdymo skyrius; Socialinių paslaugų skyrius; Statybos skyrius; Šiaulių miesto savivaldybės globos namai</t>
  </si>
  <si>
    <t>10.01.03.13</t>
  </si>
  <si>
    <t>Įgyvendinti projektą „Paslaugų centro vaikams įkūrimas Šiaulių regione"</t>
  </si>
  <si>
    <t>Programos pavadinimas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</si>
</sst>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0.0"/>
    <numFmt numFmtId="165" formatCode="0.0"/>
  </numFmts>
  <fonts count="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times New Roman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9"/>
      <color rgb="FF000000"/>
      <name val="Times New Roman"/>
      <family val="1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AEE80"/>
        <bgColor rgb="FFFFCC99"/>
      </patternFill>
    </fill>
    <fill>
      <patternFill patternType="solid">
        <fgColor rgb="FFC0E4F6"/>
        <bgColor rgb="FFCCFFFF"/>
      </patternFill>
    </fill>
    <fill>
      <patternFill patternType="solid">
        <fgColor rgb="FFD8FAD4"/>
        <bgColor rgb="FFCCFFFF"/>
      </patternFill>
    </fill>
    <fill>
      <patternFill patternType="solid">
        <fgColor rgb="FFEBEBEB"/>
        <bgColor rgb="FFD8FAD4"/>
      </patternFill>
    </fill>
    <fill>
      <patternFill patternType="solid">
        <fgColor theme="0"/>
        <bgColor rgb="FFD8FAD4"/>
      </patternFill>
    </fill>
    <fill>
      <patternFill patternType="solid">
        <fgColor rgb="FFC0E4F6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 applyBorder="1" applyAlignment="1" applyProtection="1"/>
    <xf numFmtId="0" fontId="1" fillId="0" borderId="0" xfId="0" applyFont="1" applyBorder="1" applyAlignment="1" applyProtection="1">
      <alignment horizontal="center"/>
    </xf>
    <xf numFmtId="0" fontId="3" fillId="2" borderId="7" xfId="0" applyFont="1" applyFill="1" applyBorder="1" applyAlignment="1" applyProtection="1">
      <alignment vertical="top" wrapText="1" readingOrder="1"/>
      <protection locked="0"/>
    </xf>
    <xf numFmtId="0" fontId="3" fillId="2" borderId="8" xfId="0" applyFont="1" applyFill="1" applyBorder="1" applyAlignment="1" applyProtection="1">
      <alignment vertical="top" wrapText="1" readingOrder="1"/>
      <protection locked="0"/>
    </xf>
    <xf numFmtId="0" fontId="3" fillId="2" borderId="8" xfId="0" applyFont="1" applyFill="1" applyBorder="1" applyAlignment="1" applyProtection="1">
      <alignment horizontal="left" vertical="top" wrapText="1" readingOrder="1"/>
      <protection locked="0"/>
    </xf>
    <xf numFmtId="0" fontId="3" fillId="3" borderId="7" xfId="0" applyFont="1" applyFill="1" applyBorder="1" applyAlignment="1" applyProtection="1">
      <alignment vertical="top" wrapText="1" readingOrder="1"/>
      <protection locked="0"/>
    </xf>
    <xf numFmtId="0" fontId="3" fillId="3" borderId="8" xfId="0" applyFont="1" applyFill="1" applyBorder="1" applyAlignment="1" applyProtection="1">
      <alignment vertical="top" wrapText="1" readingOrder="1"/>
      <protection locked="0"/>
    </xf>
    <xf numFmtId="0" fontId="3" fillId="3" borderId="8" xfId="0" applyFont="1" applyFill="1" applyBorder="1" applyAlignment="1" applyProtection="1">
      <alignment horizontal="left" vertical="top" wrapText="1" readingOrder="1"/>
      <protection locked="0"/>
    </xf>
    <xf numFmtId="0" fontId="3" fillId="4" borderId="7" xfId="0" applyFont="1" applyFill="1" applyBorder="1" applyAlignment="1" applyProtection="1">
      <alignment vertical="top" wrapText="1" readingOrder="1"/>
      <protection locked="0"/>
    </xf>
    <xf numFmtId="0" fontId="3" fillId="4" borderId="8" xfId="0" applyFont="1" applyFill="1" applyBorder="1" applyAlignment="1" applyProtection="1">
      <alignment vertical="top" wrapText="1" readingOrder="1"/>
      <protection locked="0"/>
    </xf>
    <xf numFmtId="0" fontId="3" fillId="4" borderId="8" xfId="0" applyFont="1" applyFill="1" applyBorder="1" applyAlignment="1" applyProtection="1">
      <alignment horizontal="left" vertical="top" wrapText="1" readingOrder="1"/>
      <protection locked="0"/>
    </xf>
    <xf numFmtId="0" fontId="3" fillId="0" borderId="7" xfId="0" applyFont="1" applyBorder="1" applyAlignment="1" applyProtection="1">
      <alignment vertical="top" wrapText="1" readingOrder="1"/>
      <protection locked="0"/>
    </xf>
    <xf numFmtId="0" fontId="3" fillId="0" borderId="8" xfId="0" applyFont="1" applyBorder="1" applyAlignment="1" applyProtection="1">
      <alignment vertical="top" wrapText="1" readingOrder="1"/>
      <protection locked="0"/>
    </xf>
    <xf numFmtId="0" fontId="3" fillId="0" borderId="8" xfId="0" applyFont="1" applyBorder="1" applyAlignment="1" applyProtection="1">
      <alignment horizontal="left" vertical="top" wrapText="1" readingOrder="1"/>
      <protection locked="0"/>
    </xf>
    <xf numFmtId="0" fontId="3" fillId="0" borderId="9" xfId="0" applyFont="1" applyBorder="1" applyAlignment="1" applyProtection="1">
      <alignment vertical="top" wrapText="1" readingOrder="1"/>
      <protection locked="0"/>
    </xf>
    <xf numFmtId="0" fontId="3" fillId="0" borderId="10" xfId="0" applyFont="1" applyBorder="1" applyAlignment="1" applyProtection="1">
      <alignment vertical="top" wrapText="1" readingOrder="1"/>
      <protection locked="0"/>
    </xf>
    <xf numFmtId="0" fontId="3" fillId="0" borderId="10" xfId="0" applyFont="1" applyBorder="1" applyAlignment="1" applyProtection="1">
      <alignment horizontal="left" vertical="top" wrapText="1" readingOrder="1"/>
      <protection locked="0"/>
    </xf>
    <xf numFmtId="0" fontId="3" fillId="0" borderId="4" xfId="0" applyFont="1" applyBorder="1" applyAlignment="1" applyProtection="1">
      <alignment horizontal="left" vertical="top" wrapText="1" readingOrder="1"/>
      <protection locked="0"/>
    </xf>
    <xf numFmtId="0" fontId="3" fillId="0" borderId="0" xfId="0" applyFont="1" applyBorder="1" applyAlignment="1" applyProtection="1">
      <alignment vertical="top" wrapText="1" readingOrder="1"/>
      <protection locked="0"/>
    </xf>
    <xf numFmtId="0" fontId="3" fillId="0" borderId="0" xfId="0" applyFont="1" applyBorder="1" applyAlignment="1" applyProtection="1">
      <alignment horizontal="left" vertical="top" wrapText="1" readingOrder="1"/>
      <protection locked="0"/>
    </xf>
    <xf numFmtId="0" fontId="0" fillId="0" borderId="0" xfId="0" applyBorder="1" applyAlignment="1" applyProtection="1">
      <alignment wrapText="1"/>
    </xf>
    <xf numFmtId="0" fontId="4" fillId="5" borderId="10" xfId="0" applyFont="1" applyFill="1" applyBorder="1" applyAlignment="1" applyProtection="1">
      <alignment vertical="top" wrapText="1" readingOrder="1"/>
      <protection locked="0"/>
    </xf>
    <xf numFmtId="0" fontId="4" fillId="5" borderId="10" xfId="0" applyFont="1" applyFill="1" applyBorder="1" applyAlignment="1" applyProtection="1">
      <alignment horizontal="right" vertical="top" wrapText="1" readingOrder="1"/>
      <protection locked="0"/>
    </xf>
    <xf numFmtId="164" fontId="3" fillId="0" borderId="10" xfId="0" applyNumberFormat="1" applyFont="1" applyBorder="1" applyAlignment="1" applyProtection="1">
      <alignment horizontal="center" vertical="center" wrapText="1" readingOrder="1"/>
      <protection locked="0"/>
    </xf>
    <xf numFmtId="164" fontId="3" fillId="0" borderId="10" xfId="0" applyNumberFormat="1" applyFont="1" applyBorder="1" applyAlignment="1" applyProtection="1">
      <alignment horizontal="center" vertical="center" wrapText="1" readingOrder="1"/>
    </xf>
    <xf numFmtId="164" fontId="4" fillId="5" borderId="10" xfId="0" applyNumberFormat="1" applyFont="1" applyFill="1" applyBorder="1" applyAlignment="1" applyProtection="1">
      <alignment horizontal="center" vertical="center" wrapText="1" readingOrder="1"/>
    </xf>
    <xf numFmtId="0" fontId="0" fillId="0" borderId="0" xfId="0" applyAlignment="1">
      <alignment vertical="center"/>
    </xf>
    <xf numFmtId="0" fontId="2" fillId="0" borderId="4" xfId="0" applyFont="1" applyBorder="1" applyAlignment="1" applyProtection="1">
      <alignment horizontal="center" vertical="center" wrapText="1" readingOrder="1"/>
    </xf>
    <xf numFmtId="0" fontId="2" fillId="0" borderId="6" xfId="0" applyFont="1" applyBorder="1" applyAlignment="1" applyProtection="1">
      <alignment horizontal="center" vertical="center" wrapText="1" readingOrder="1"/>
    </xf>
    <xf numFmtId="0" fontId="3" fillId="0" borderId="17" xfId="0" applyFont="1" applyBorder="1" applyAlignment="1" applyProtection="1">
      <alignment horizontal="left" vertical="top" wrapText="1" readingOrder="1"/>
      <protection locked="0"/>
    </xf>
    <xf numFmtId="0" fontId="3" fillId="0" borderId="14" xfId="0" applyFont="1" applyBorder="1" applyAlignment="1" applyProtection="1">
      <alignment vertical="top" wrapText="1" readingOrder="1"/>
      <protection locked="0"/>
    </xf>
    <xf numFmtId="0" fontId="3" fillId="0" borderId="11" xfId="0" applyFont="1" applyBorder="1" applyAlignment="1" applyProtection="1">
      <alignment vertical="top" wrapText="1" readingOrder="1"/>
      <protection locked="0"/>
    </xf>
    <xf numFmtId="0" fontId="3" fillId="0" borderId="11" xfId="0" applyFont="1" applyBorder="1" applyAlignment="1" applyProtection="1">
      <alignment horizontal="left" vertical="top" wrapText="1" readingOrder="1"/>
      <protection locked="0"/>
    </xf>
    <xf numFmtId="0" fontId="3" fillId="0" borderId="20" xfId="0" applyFont="1" applyBorder="1" applyAlignment="1" applyProtection="1">
      <alignment vertical="top" wrapText="1" readingOrder="1"/>
      <protection locked="0"/>
    </xf>
    <xf numFmtId="0" fontId="3" fillId="0" borderId="17" xfId="0" applyFont="1" applyBorder="1" applyAlignment="1" applyProtection="1">
      <alignment vertical="top" wrapText="1" readingOrder="1"/>
      <protection locked="0"/>
    </xf>
    <xf numFmtId="0" fontId="3" fillId="0" borderId="11" xfId="0" applyFont="1" applyBorder="1" applyAlignment="1" applyProtection="1">
      <alignment horizontal="left" vertical="top" wrapText="1" readingOrder="1"/>
      <protection locked="0"/>
    </xf>
    <xf numFmtId="0" fontId="3" fillId="0" borderId="12" xfId="0" applyFont="1" applyBorder="1" applyAlignment="1" applyProtection="1">
      <alignment horizontal="left" vertical="top" wrapText="1" readingOrder="1"/>
      <protection locked="0"/>
    </xf>
    <xf numFmtId="0" fontId="3" fillId="3" borderId="8" xfId="0" applyFont="1" applyFill="1" applyBorder="1" applyAlignment="1" applyProtection="1">
      <alignment horizontal="center" vertical="top" wrapText="1" readingOrder="1"/>
      <protection locked="0"/>
    </xf>
    <xf numFmtId="0" fontId="3" fillId="0" borderId="10" xfId="0" applyFont="1" applyBorder="1" applyAlignment="1" applyProtection="1">
      <alignment horizontal="center" vertical="top" wrapText="1" readingOrder="1"/>
      <protection locked="0"/>
    </xf>
    <xf numFmtId="0" fontId="3" fillId="7" borderId="10" xfId="0" applyFont="1" applyFill="1" applyBorder="1" applyAlignment="1" applyProtection="1">
      <alignment horizontal="left" vertical="top" wrapText="1" readingOrder="1"/>
      <protection locked="0"/>
    </xf>
    <xf numFmtId="0" fontId="0" fillId="0" borderId="0" xfId="0" applyBorder="1" applyAlignment="1" applyProtection="1">
      <alignment horizontal="center" vertical="top" wrapText="1"/>
    </xf>
    <xf numFmtId="164" fontId="3" fillId="2" borderId="8" xfId="0" applyNumberFormat="1" applyFont="1" applyFill="1" applyBorder="1" applyAlignment="1" applyProtection="1">
      <alignment horizontal="center" vertical="top" wrapText="1" readingOrder="1"/>
    </xf>
    <xf numFmtId="164" fontId="3" fillId="3" borderId="8" xfId="0" applyNumberFormat="1" applyFont="1" applyFill="1" applyBorder="1" applyAlignment="1" applyProtection="1">
      <alignment horizontal="center" vertical="top" wrapText="1" readingOrder="1"/>
    </xf>
    <xf numFmtId="164" fontId="3" fillId="4" borderId="8" xfId="0" applyNumberFormat="1" applyFont="1" applyFill="1" applyBorder="1" applyAlignment="1" applyProtection="1">
      <alignment horizontal="center" vertical="top" wrapText="1" readingOrder="1"/>
    </xf>
    <xf numFmtId="0" fontId="3" fillId="0" borderId="8" xfId="0" applyFont="1" applyBorder="1" applyAlignment="1" applyProtection="1">
      <alignment horizontal="center" vertical="top" wrapText="1" readingOrder="1"/>
      <protection locked="0"/>
    </xf>
    <xf numFmtId="164" fontId="3" fillId="0" borderId="8" xfId="0" applyNumberFormat="1" applyFont="1" applyBorder="1" applyAlignment="1" applyProtection="1">
      <alignment horizontal="center" vertical="top" wrapText="1" readingOrder="1"/>
    </xf>
    <xf numFmtId="164" fontId="3" fillId="0" borderId="10" xfId="0" applyNumberFormat="1" applyFont="1" applyBorder="1" applyAlignment="1" applyProtection="1">
      <alignment horizontal="center" vertical="top" wrapText="1" readingOrder="1"/>
      <protection locked="0"/>
    </xf>
    <xf numFmtId="165" fontId="3" fillId="0" borderId="17" xfId="0" applyNumberFormat="1" applyFont="1" applyBorder="1" applyAlignment="1" applyProtection="1">
      <alignment horizontal="center" vertical="top" wrapText="1" readingOrder="1"/>
      <protection locked="0"/>
    </xf>
    <xf numFmtId="164" fontId="3" fillId="0" borderId="17" xfId="0" applyNumberFormat="1" applyFont="1" applyBorder="1" applyAlignment="1" applyProtection="1">
      <alignment horizontal="center" vertical="top" wrapText="1" readingOrder="1"/>
    </xf>
    <xf numFmtId="164" fontId="3" fillId="0" borderId="11" xfId="0" applyNumberFormat="1" applyFont="1" applyBorder="1" applyAlignment="1" applyProtection="1">
      <alignment horizontal="center" vertical="top" wrapText="1" readingOrder="1"/>
      <protection locked="0"/>
    </xf>
    <xf numFmtId="0" fontId="3" fillId="0" borderId="17" xfId="0" applyFont="1" applyBorder="1" applyAlignment="1" applyProtection="1">
      <alignment horizontal="center" vertical="top" wrapText="1" readingOrder="1"/>
      <protection locked="0"/>
    </xf>
    <xf numFmtId="164" fontId="3" fillId="0" borderId="17" xfId="0" applyNumberFormat="1" applyFont="1" applyBorder="1" applyAlignment="1" applyProtection="1">
      <alignment horizontal="center" vertical="top" wrapText="1" readingOrder="1"/>
      <protection locked="0"/>
    </xf>
    <xf numFmtId="165" fontId="3" fillId="0" borderId="10" xfId="0" applyNumberFormat="1" applyFont="1" applyBorder="1" applyAlignment="1" applyProtection="1">
      <alignment horizontal="center" vertical="top" wrapText="1" readingOrder="1"/>
      <protection locked="0"/>
    </xf>
    <xf numFmtId="165" fontId="3" fillId="0" borderId="8" xfId="0" applyNumberFormat="1" applyFont="1" applyBorder="1" applyAlignment="1" applyProtection="1">
      <alignment horizontal="center" vertical="top" wrapText="1" readingOrder="1"/>
      <protection locked="0"/>
    </xf>
    <xf numFmtId="164" fontId="3" fillId="0" borderId="8" xfId="0" applyNumberFormat="1" applyFont="1" applyBorder="1" applyAlignment="1" applyProtection="1">
      <alignment horizontal="center" vertical="top" wrapText="1" readingOrder="1"/>
      <protection locked="0"/>
    </xf>
    <xf numFmtId="165" fontId="3" fillId="0" borderId="11" xfId="0" applyNumberFormat="1" applyFont="1" applyBorder="1" applyAlignment="1" applyProtection="1">
      <alignment horizontal="center" vertical="top" wrapText="1" readingOrder="1"/>
      <protection locked="0"/>
    </xf>
    <xf numFmtId="0" fontId="3" fillId="0" borderId="11" xfId="0" applyFont="1" applyBorder="1" applyAlignment="1" applyProtection="1">
      <alignment horizontal="center" vertical="top" wrapText="1" readingOrder="1"/>
      <protection locked="0"/>
    </xf>
    <xf numFmtId="2" fontId="3" fillId="0" borderId="8" xfId="0" applyNumberFormat="1" applyFont="1" applyBorder="1" applyAlignment="1" applyProtection="1">
      <alignment horizontal="center" vertical="top" wrapText="1" readingOrder="1"/>
      <protection locked="0"/>
    </xf>
    <xf numFmtId="0" fontId="3" fillId="2" borderId="8" xfId="0" applyFont="1" applyFill="1" applyBorder="1" applyAlignment="1" applyProtection="1">
      <alignment horizontal="center" vertical="top" wrapText="1" readingOrder="1"/>
      <protection locked="0"/>
    </xf>
    <xf numFmtId="0" fontId="3" fillId="4" borderId="8" xfId="0" applyFont="1" applyFill="1" applyBorder="1" applyAlignment="1" applyProtection="1">
      <alignment horizontal="center" vertical="top" wrapText="1" readingOrder="1"/>
      <protection locked="0"/>
    </xf>
    <xf numFmtId="0" fontId="3" fillId="0" borderId="4" xfId="0" applyFont="1" applyBorder="1" applyAlignment="1" applyProtection="1">
      <alignment horizontal="center" vertical="top" wrapText="1" readingOrder="1"/>
      <protection locked="0"/>
    </xf>
    <xf numFmtId="164" fontId="3" fillId="0" borderId="4" xfId="0" applyNumberFormat="1" applyFont="1" applyBorder="1" applyAlignment="1" applyProtection="1">
      <alignment horizontal="center" vertical="top" wrapText="1" readingOrder="1"/>
      <protection locked="0"/>
    </xf>
    <xf numFmtId="0" fontId="3" fillId="0" borderId="0" xfId="0" applyFont="1" applyBorder="1" applyAlignment="1" applyProtection="1">
      <alignment horizontal="center" vertical="top" wrapText="1" readingOrder="1"/>
      <protection locked="0"/>
    </xf>
    <xf numFmtId="164" fontId="3" fillId="0" borderId="0" xfId="0" applyNumberFormat="1" applyFont="1" applyBorder="1" applyAlignment="1" applyProtection="1">
      <alignment horizontal="center" vertical="top" wrapText="1" readingOrder="1"/>
      <protection locked="0"/>
    </xf>
    <xf numFmtId="164" fontId="3" fillId="0" borderId="10" xfId="0" applyNumberFormat="1" applyFont="1" applyBorder="1" applyAlignment="1" applyProtection="1">
      <alignment horizontal="center" vertical="top" wrapText="1" readingOrder="1"/>
    </xf>
    <xf numFmtId="164" fontId="3" fillId="0" borderId="0" xfId="0" applyNumberFormat="1" applyFont="1" applyBorder="1" applyAlignment="1" applyProtection="1">
      <alignment horizontal="center" vertical="top" wrapText="1" readingOrder="1"/>
    </xf>
    <xf numFmtId="164" fontId="4" fillId="5" borderId="10" xfId="0" applyNumberFormat="1" applyFont="1" applyFill="1" applyBorder="1" applyAlignment="1" applyProtection="1">
      <alignment horizontal="center" vertical="top" wrapText="1" readingOrder="1"/>
    </xf>
    <xf numFmtId="164" fontId="4" fillId="6" borderId="0" xfId="0" applyNumberFormat="1" applyFont="1" applyFill="1" applyBorder="1" applyAlignment="1" applyProtection="1">
      <alignment horizontal="center" vertical="top" wrapText="1" readingOrder="1"/>
    </xf>
    <xf numFmtId="0" fontId="3" fillId="7" borderId="10" xfId="0" applyFont="1" applyFill="1" applyBorder="1" applyAlignment="1" applyProtection="1">
      <alignment horizontal="center" vertical="top" wrapText="1" readingOrder="1"/>
      <protection locked="0"/>
    </xf>
    <xf numFmtId="0" fontId="3" fillId="0" borderId="11" xfId="0" applyFont="1" applyBorder="1" applyAlignment="1" applyProtection="1">
      <alignment horizontal="center" vertical="top" wrapText="1" readingOrder="1"/>
      <protection locked="0"/>
    </xf>
    <xf numFmtId="0" fontId="3" fillId="0" borderId="3" xfId="0" applyFont="1" applyBorder="1" applyAlignment="1" applyProtection="1">
      <alignment horizontal="center" vertical="top" wrapText="1" readingOrder="1"/>
      <protection locked="0"/>
    </xf>
    <xf numFmtId="0" fontId="3" fillId="0" borderId="5" xfId="0" applyFont="1" applyBorder="1" applyAlignment="1" applyProtection="1">
      <alignment horizontal="center" vertical="top" wrapText="1" readingOrder="1"/>
      <protection locked="0"/>
    </xf>
    <xf numFmtId="0" fontId="0" fillId="0" borderId="0" xfId="0" applyBorder="1" applyAlignment="1" applyProtection="1">
      <alignment vertical="top" wrapText="1"/>
    </xf>
    <xf numFmtId="0" fontId="3" fillId="3" borderId="3" xfId="0" applyFont="1" applyFill="1" applyBorder="1" applyAlignment="1" applyProtection="1">
      <alignment horizontal="center" vertical="top" wrapText="1" readingOrder="1"/>
      <protection locked="0"/>
    </xf>
    <xf numFmtId="0" fontId="3" fillId="4" borderId="3" xfId="0" applyFont="1" applyFill="1" applyBorder="1" applyAlignment="1" applyProtection="1">
      <alignment horizontal="center" vertical="top" wrapText="1" readingOrder="1"/>
      <protection locked="0"/>
    </xf>
    <xf numFmtId="0" fontId="3" fillId="0" borderId="18" xfId="0" applyFont="1" applyBorder="1" applyAlignment="1" applyProtection="1">
      <alignment horizontal="center" vertical="top" wrapText="1" readingOrder="1"/>
      <protection locked="0"/>
    </xf>
    <xf numFmtId="0" fontId="3" fillId="0" borderId="19" xfId="0" applyFont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0" borderId="6" xfId="0" applyFont="1" applyBorder="1" applyAlignment="1" applyProtection="1">
      <alignment horizontal="center" vertical="top" wrapText="1" readingOrder="1"/>
      <protection locked="0"/>
    </xf>
    <xf numFmtId="0" fontId="3" fillId="0" borderId="11" xfId="0" applyFont="1" applyBorder="1" applyAlignment="1" applyProtection="1">
      <alignment horizontal="center" vertical="top" wrapText="1" readingOrder="1"/>
      <protection locked="0"/>
    </xf>
    <xf numFmtId="0" fontId="3" fillId="0" borderId="19" xfId="0" applyFont="1" applyBorder="1" applyAlignment="1" applyProtection="1">
      <alignment horizontal="center" vertical="top" wrapText="1" readingOrder="1"/>
      <protection locked="0"/>
    </xf>
    <xf numFmtId="0" fontId="3" fillId="0" borderId="23" xfId="0" applyFont="1" applyBorder="1" applyAlignment="1" applyProtection="1">
      <alignment horizontal="left" vertical="top" wrapText="1" readingOrder="1"/>
      <protection locked="0"/>
    </xf>
    <xf numFmtId="0" fontId="3" fillId="0" borderId="12" xfId="0" applyFont="1" applyBorder="1" applyAlignment="1" applyProtection="1">
      <alignment horizontal="left" vertical="top" wrapText="1" readingOrder="1"/>
      <protection locked="0"/>
    </xf>
    <xf numFmtId="0" fontId="3" fillId="0" borderId="23" xfId="0" applyFont="1" applyBorder="1" applyAlignment="1" applyProtection="1">
      <alignment horizontal="center" vertical="top" wrapText="1" readingOrder="1"/>
      <protection locked="0"/>
    </xf>
    <xf numFmtId="0" fontId="3" fillId="0" borderId="24" xfId="0" applyFont="1" applyBorder="1" applyAlignment="1" applyProtection="1">
      <alignment horizontal="center" vertical="top" wrapText="1" readingOrder="1"/>
      <protection locked="0"/>
    </xf>
    <xf numFmtId="0" fontId="3" fillId="0" borderId="11" xfId="0" applyFont="1" applyBorder="1" applyAlignment="1" applyProtection="1">
      <alignment horizontal="left" vertical="top" wrapText="1" readingOrder="1"/>
      <protection locked="0"/>
    </xf>
    <xf numFmtId="0" fontId="3" fillId="0" borderId="15" xfId="0" applyFont="1" applyBorder="1" applyAlignment="1" applyProtection="1">
      <alignment horizontal="left" vertical="top" wrapText="1" readingOrder="1"/>
      <protection locked="0"/>
    </xf>
    <xf numFmtId="0" fontId="3" fillId="0" borderId="15" xfId="0" applyFont="1" applyBorder="1" applyAlignment="1" applyProtection="1">
      <alignment vertical="top" wrapText="1" readingOrder="1"/>
      <protection locked="0"/>
    </xf>
    <xf numFmtId="0" fontId="3" fillId="0" borderId="12" xfId="0" applyFont="1" applyBorder="1" applyAlignment="1" applyProtection="1">
      <alignment vertical="top" wrapText="1" readingOrder="1"/>
      <protection locked="0"/>
    </xf>
    <xf numFmtId="0" fontId="3" fillId="0" borderId="17" xfId="0" applyFont="1" applyBorder="1" applyAlignment="1" applyProtection="1">
      <alignment horizontal="center" vertical="top" wrapText="1" readingOrder="1"/>
      <protection locked="0"/>
    </xf>
    <xf numFmtId="0" fontId="3" fillId="0" borderId="17" xfId="0" applyFont="1" applyBorder="1" applyAlignment="1" applyProtection="1">
      <alignment horizontal="left" vertical="top" wrapText="1" readingOrder="1"/>
      <protection locked="0"/>
    </xf>
    <xf numFmtId="0" fontId="3" fillId="0" borderId="18" xfId="0" applyFont="1" applyBorder="1" applyAlignment="1" applyProtection="1">
      <alignment horizontal="center" vertical="top" wrapText="1" readingOrder="1"/>
      <protection locked="0"/>
    </xf>
    <xf numFmtId="2" fontId="3" fillId="0" borderId="10" xfId="0" applyNumberFormat="1" applyFont="1" applyBorder="1" applyAlignment="1" applyProtection="1">
      <alignment horizontal="center" vertical="top" wrapText="1" readingOrder="1"/>
      <protection locked="0"/>
    </xf>
    <xf numFmtId="164" fontId="3" fillId="0" borderId="23" xfId="0" applyNumberFormat="1" applyFont="1" applyBorder="1" applyAlignment="1" applyProtection="1">
      <alignment horizontal="center" vertical="top" wrapText="1" readingOrder="1"/>
      <protection locked="0"/>
    </xf>
    <xf numFmtId="0" fontId="3" fillId="0" borderId="2" xfId="0" applyFont="1" applyBorder="1" applyAlignment="1" applyProtection="1">
      <alignment horizontal="center" vertical="top" wrapText="1" readingOrder="1"/>
      <protection locked="0"/>
    </xf>
    <xf numFmtId="164" fontId="3" fillId="0" borderId="2" xfId="0" applyNumberFormat="1" applyFont="1" applyBorder="1" applyAlignment="1" applyProtection="1">
      <alignment horizontal="center" vertical="top" wrapText="1" readingOrder="1"/>
      <protection locked="0"/>
    </xf>
    <xf numFmtId="0" fontId="3" fillId="0" borderId="2" xfId="0" applyFont="1" applyBorder="1" applyAlignment="1" applyProtection="1">
      <alignment horizontal="left" vertical="top" wrapText="1" readingOrder="1"/>
      <protection locked="0"/>
    </xf>
    <xf numFmtId="0" fontId="3" fillId="0" borderId="31" xfId="0" applyFont="1" applyBorder="1" applyAlignment="1" applyProtection="1">
      <alignment horizontal="center" vertical="top" wrapText="1" readingOrder="1"/>
      <protection locked="0"/>
    </xf>
    <xf numFmtId="165" fontId="3" fillId="0" borderId="2" xfId="0" applyNumberFormat="1" applyFont="1" applyBorder="1" applyAlignment="1" applyProtection="1">
      <alignment horizontal="center" vertical="top" wrapText="1" readingOrder="1"/>
      <protection locked="0"/>
    </xf>
    <xf numFmtId="0" fontId="3" fillId="8" borderId="8" xfId="0" applyFont="1" applyFill="1" applyBorder="1" applyAlignment="1" applyProtection="1">
      <alignment horizontal="center" vertical="top" wrapText="1" readingOrder="1"/>
      <protection locked="0"/>
    </xf>
    <xf numFmtId="0" fontId="3" fillId="8" borderId="11" xfId="0" applyFont="1" applyFill="1" applyBorder="1" applyAlignment="1" applyProtection="1">
      <alignment horizontal="center" vertical="top" wrapText="1" readingOrder="1"/>
      <protection locked="0"/>
    </xf>
    <xf numFmtId="0" fontId="3" fillId="8" borderId="17" xfId="0" applyFont="1" applyFill="1" applyBorder="1" applyAlignment="1" applyProtection="1">
      <alignment horizontal="center" vertical="top" wrapText="1" readingOrder="1"/>
      <protection locked="0"/>
    </xf>
    <xf numFmtId="164" fontId="3" fillId="8" borderId="17" xfId="0" applyNumberFormat="1" applyFont="1" applyFill="1" applyBorder="1" applyAlignment="1" applyProtection="1">
      <alignment horizontal="center" vertical="top" wrapText="1" readingOrder="1"/>
    </xf>
    <xf numFmtId="0" fontId="3" fillId="8" borderId="10" xfId="0" applyFont="1" applyFill="1" applyBorder="1" applyAlignment="1" applyProtection="1">
      <alignment horizontal="center" vertical="top" wrapText="1" readingOrder="1"/>
      <protection locked="0"/>
    </xf>
    <xf numFmtId="0" fontId="3" fillId="8" borderId="1" xfId="0" applyFont="1" applyFill="1" applyBorder="1" applyAlignment="1" applyProtection="1">
      <alignment vertical="top" wrapText="1" readingOrder="1"/>
      <protection locked="0"/>
    </xf>
    <xf numFmtId="0" fontId="3" fillId="8" borderId="2" xfId="0" applyFont="1" applyFill="1" applyBorder="1" applyAlignment="1" applyProtection="1">
      <alignment vertical="top" wrapText="1" readingOrder="1"/>
      <protection locked="0"/>
    </xf>
    <xf numFmtId="0" fontId="3" fillId="8" borderId="2" xfId="0" applyFont="1" applyFill="1" applyBorder="1" applyAlignment="1" applyProtection="1">
      <alignment horizontal="left" vertical="top" wrapText="1" readingOrder="1"/>
      <protection locked="0"/>
    </xf>
    <xf numFmtId="0" fontId="3" fillId="8" borderId="2" xfId="0" applyFont="1" applyFill="1" applyBorder="1" applyAlignment="1" applyProtection="1">
      <alignment horizontal="center" vertical="top" wrapText="1" readingOrder="1"/>
      <protection locked="0"/>
    </xf>
    <xf numFmtId="164" fontId="3" fillId="8" borderId="2" xfId="0" applyNumberFormat="1" applyFont="1" applyFill="1" applyBorder="1" applyAlignment="1" applyProtection="1">
      <alignment horizontal="center" vertical="top" wrapText="1" readingOrder="1"/>
    </xf>
    <xf numFmtId="0" fontId="3" fillId="8" borderId="19" xfId="0" applyFont="1" applyFill="1" applyBorder="1" applyAlignment="1" applyProtection="1">
      <alignment horizontal="center" vertical="top" wrapText="1" readingOrder="1"/>
      <protection locked="0"/>
    </xf>
    <xf numFmtId="0" fontId="3" fillId="8" borderId="3" xfId="0" applyFont="1" applyFill="1" applyBorder="1" applyAlignment="1" applyProtection="1">
      <alignment horizontal="center" vertical="top" wrapText="1" readingOrder="1"/>
      <protection locked="0"/>
    </xf>
    <xf numFmtId="0" fontId="3" fillId="8" borderId="5" xfId="0" applyFont="1" applyFill="1" applyBorder="1" applyAlignment="1" applyProtection="1">
      <alignment horizontal="center" vertical="top" wrapText="1" readingOrder="1"/>
      <protection locked="0"/>
    </xf>
    <xf numFmtId="0" fontId="3" fillId="8" borderId="4" xfId="0" applyFont="1" applyFill="1" applyBorder="1" applyAlignment="1" applyProtection="1">
      <alignment horizontal="center" vertical="top" wrapText="1" readingOrder="1"/>
      <protection locked="0"/>
    </xf>
    <xf numFmtId="0" fontId="3" fillId="8" borderId="6" xfId="0" applyFont="1" applyFill="1" applyBorder="1" applyAlignment="1" applyProtection="1">
      <alignment horizontal="center" vertical="top" wrapText="1" readingOrder="1"/>
      <protection locked="0"/>
    </xf>
    <xf numFmtId="0" fontId="3" fillId="9" borderId="10" xfId="0" applyFont="1" applyFill="1" applyBorder="1" applyAlignment="1" applyProtection="1">
      <alignment horizontal="center" vertical="top" wrapText="1" readingOrder="1"/>
      <protection locked="0"/>
    </xf>
    <xf numFmtId="0" fontId="3" fillId="9" borderId="8" xfId="0" applyFont="1" applyFill="1" applyBorder="1" applyAlignment="1" applyProtection="1">
      <alignment horizontal="center" vertical="top" wrapText="1" readingOrder="1"/>
      <protection locked="0"/>
    </xf>
    <xf numFmtId="164" fontId="3" fillId="9" borderId="8" xfId="0" applyNumberFormat="1" applyFont="1" applyFill="1" applyBorder="1" applyAlignment="1" applyProtection="1">
      <alignment horizontal="center" vertical="top" wrapText="1" readingOrder="1"/>
    </xf>
    <xf numFmtId="165" fontId="3" fillId="9" borderId="10" xfId="0" applyNumberFormat="1" applyFont="1" applyFill="1" applyBorder="1" applyAlignment="1" applyProtection="1">
      <alignment horizontal="center" vertical="top" wrapText="1" readingOrder="1"/>
      <protection locked="0"/>
    </xf>
    <xf numFmtId="165" fontId="3" fillId="9" borderId="8" xfId="0" applyNumberFormat="1" applyFont="1" applyFill="1" applyBorder="1" applyAlignment="1" applyProtection="1">
      <alignment horizontal="center" vertical="top" wrapText="1" readingOrder="1"/>
      <protection locked="0"/>
    </xf>
    <xf numFmtId="0" fontId="3" fillId="9" borderId="23" xfId="0" applyFont="1" applyFill="1" applyBorder="1" applyAlignment="1" applyProtection="1">
      <alignment horizontal="center" vertical="top" wrapText="1" readingOrder="1"/>
      <protection locked="0"/>
    </xf>
    <xf numFmtId="165" fontId="3" fillId="9" borderId="17" xfId="0" applyNumberFormat="1" applyFont="1" applyFill="1" applyBorder="1" applyAlignment="1" applyProtection="1">
      <alignment horizontal="center" vertical="top" wrapText="1" readingOrder="1"/>
      <protection locked="0"/>
    </xf>
    <xf numFmtId="0" fontId="2" fillId="0" borderId="10" xfId="0" applyFont="1" applyBorder="1" applyAlignment="1" applyProtection="1">
      <alignment horizontal="center" vertical="center" wrapText="1" readingOrder="1"/>
    </xf>
    <xf numFmtId="0" fontId="2" fillId="0" borderId="0" xfId="0" applyFont="1" applyBorder="1" applyAlignment="1" applyProtection="1">
      <alignment horizontal="center" vertical="center" wrapText="1" readingOrder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 readingOrder="1"/>
      <protection locked="0"/>
    </xf>
    <xf numFmtId="164" fontId="3" fillId="0" borderId="0" xfId="0" applyNumberFormat="1" applyFont="1" applyBorder="1" applyAlignment="1" applyProtection="1">
      <alignment horizontal="center" vertical="center" wrapText="1" readingOrder="1"/>
    </xf>
    <xf numFmtId="0" fontId="5" fillId="0" borderId="10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wrapText="1"/>
    </xf>
    <xf numFmtId="0" fontId="6" fillId="0" borderId="10" xfId="0" applyFont="1" applyBorder="1" applyAlignment="1" applyProtection="1">
      <alignment horizontal="center" vertical="top" wrapText="1"/>
    </xf>
    <xf numFmtId="0" fontId="6" fillId="0" borderId="10" xfId="0" applyFont="1" applyBorder="1" applyAlignment="1" applyProtection="1">
      <alignment horizontal="left" wrapText="1"/>
    </xf>
    <xf numFmtId="0" fontId="4" fillId="6" borderId="0" xfId="0" applyFont="1" applyFill="1" applyBorder="1" applyAlignment="1" applyProtection="1">
      <alignment vertical="top" wrapText="1" readingOrder="1"/>
      <protection locked="0"/>
    </xf>
    <xf numFmtId="0" fontId="4" fillId="6" borderId="0" xfId="0" applyFont="1" applyFill="1" applyBorder="1" applyAlignment="1" applyProtection="1">
      <alignment horizontal="right" vertical="top" wrapText="1" readingOrder="1"/>
      <protection locked="0"/>
    </xf>
    <xf numFmtId="164" fontId="4" fillId="6" borderId="0" xfId="0" applyNumberFormat="1" applyFont="1" applyFill="1" applyBorder="1" applyAlignment="1" applyProtection="1">
      <alignment horizontal="center" vertical="center" wrapText="1" readingOrder="1"/>
    </xf>
    <xf numFmtId="0" fontId="3" fillId="0" borderId="11" xfId="0" applyFont="1" applyBorder="1" applyAlignment="1" applyProtection="1">
      <alignment horizontal="left" vertical="top" wrapText="1" readingOrder="1"/>
      <protection locked="0"/>
    </xf>
    <xf numFmtId="0" fontId="3" fillId="0" borderId="12" xfId="0" applyFont="1" applyBorder="1" applyAlignment="1" applyProtection="1">
      <alignment horizontal="left" vertical="top" wrapText="1" readingOrder="1"/>
      <protection locked="0"/>
    </xf>
    <xf numFmtId="0" fontId="3" fillId="0" borderId="13" xfId="0" applyFont="1" applyBorder="1" applyAlignment="1" applyProtection="1">
      <alignment horizontal="left" vertical="top" wrapText="1" readingOrder="1"/>
      <protection locked="0"/>
    </xf>
    <xf numFmtId="0" fontId="3" fillId="0" borderId="11" xfId="0" applyFont="1" applyBorder="1" applyAlignment="1" applyProtection="1">
      <alignment horizontal="center" vertical="top" wrapText="1" readingOrder="1"/>
      <protection locked="0"/>
    </xf>
    <xf numFmtId="0" fontId="3" fillId="0" borderId="12" xfId="0" applyFont="1" applyBorder="1" applyAlignment="1" applyProtection="1">
      <alignment horizontal="center" vertical="top" wrapText="1" readingOrder="1"/>
      <protection locked="0"/>
    </xf>
    <xf numFmtId="0" fontId="3" fillId="0" borderId="13" xfId="0" applyFont="1" applyBorder="1" applyAlignment="1" applyProtection="1">
      <alignment horizontal="center" vertical="top" wrapText="1" readingOrder="1"/>
      <protection locked="0"/>
    </xf>
    <xf numFmtId="0" fontId="3" fillId="0" borderId="19" xfId="0" applyFont="1" applyBorder="1" applyAlignment="1" applyProtection="1">
      <alignment horizontal="center" vertical="top" wrapText="1" readingOrder="1"/>
      <protection locked="0"/>
    </xf>
    <xf numFmtId="0" fontId="3" fillId="0" borderId="21" xfId="0" applyFont="1" applyBorder="1" applyAlignment="1" applyProtection="1">
      <alignment horizontal="center" vertical="top" wrapText="1" readingOrder="1"/>
      <protection locked="0"/>
    </xf>
    <xf numFmtId="0" fontId="3" fillId="0" borderId="22" xfId="0" applyFont="1" applyBorder="1" applyAlignment="1" applyProtection="1">
      <alignment horizontal="center" vertical="top" wrapText="1" readingOrder="1"/>
      <protection locked="0"/>
    </xf>
    <xf numFmtId="0" fontId="3" fillId="0" borderId="23" xfId="0" applyFont="1" applyBorder="1" applyAlignment="1" applyProtection="1">
      <alignment horizontal="left" vertical="top" wrapText="1" readingOrder="1"/>
      <protection locked="0"/>
    </xf>
    <xf numFmtId="0" fontId="3" fillId="0" borderId="17" xfId="0" applyFont="1" applyBorder="1" applyAlignment="1" applyProtection="1">
      <alignment horizontal="left" vertical="top" wrapText="1" readingOrder="1"/>
      <protection locked="0"/>
    </xf>
    <xf numFmtId="0" fontId="3" fillId="0" borderId="23" xfId="0" applyFont="1" applyBorder="1" applyAlignment="1" applyProtection="1">
      <alignment horizontal="center" vertical="top" wrapText="1" readingOrder="1"/>
      <protection locked="0"/>
    </xf>
    <xf numFmtId="0" fontId="3" fillId="0" borderId="17" xfId="0" applyFont="1" applyBorder="1" applyAlignment="1" applyProtection="1">
      <alignment horizontal="center" vertical="top" wrapText="1" readingOrder="1"/>
      <protection locked="0"/>
    </xf>
    <xf numFmtId="0" fontId="3" fillId="0" borderId="24" xfId="0" applyFont="1" applyBorder="1" applyAlignment="1" applyProtection="1">
      <alignment horizontal="center" vertical="top" wrapText="1" readingOrder="1"/>
      <protection locked="0"/>
    </xf>
    <xf numFmtId="0" fontId="3" fillId="0" borderId="18" xfId="0" applyFont="1" applyBorder="1" applyAlignment="1" applyProtection="1">
      <alignment horizontal="center" vertical="top" wrapText="1" readingOrder="1"/>
      <protection locked="0"/>
    </xf>
    <xf numFmtId="0" fontId="3" fillId="0" borderId="14" xfId="0" applyFont="1" applyBorder="1" applyAlignment="1" applyProtection="1">
      <alignment horizontal="left" vertical="top" wrapText="1" readingOrder="1"/>
      <protection locked="0"/>
    </xf>
    <xf numFmtId="0" fontId="3" fillId="0" borderId="15" xfId="0" applyFont="1" applyBorder="1" applyAlignment="1" applyProtection="1">
      <alignment horizontal="left" vertical="top" wrapText="1" readingOrder="1"/>
      <protection locked="0"/>
    </xf>
    <xf numFmtId="0" fontId="3" fillId="0" borderId="16" xfId="0" applyFont="1" applyBorder="1" applyAlignment="1" applyProtection="1">
      <alignment horizontal="left" vertical="top" wrapText="1" readingOrder="1"/>
      <protection locked="0"/>
    </xf>
    <xf numFmtId="0" fontId="1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center" vertical="center" wrapText="1" readingOrder="1"/>
    </xf>
    <xf numFmtId="0" fontId="2" fillId="0" borderId="2" xfId="0" applyFont="1" applyBorder="1" applyAlignment="1" applyProtection="1">
      <alignment horizontal="center" vertical="center" wrapText="1" readingOrder="1"/>
    </xf>
    <xf numFmtId="0" fontId="2" fillId="0" borderId="3" xfId="0" applyFont="1" applyBorder="1" applyAlignment="1" applyProtection="1">
      <alignment horizontal="center" vertical="center" wrapText="1" readingOrder="1"/>
    </xf>
    <xf numFmtId="0" fontId="2" fillId="0" borderId="4" xfId="0" applyFont="1" applyBorder="1" applyAlignment="1" applyProtection="1">
      <alignment horizontal="center" vertical="center" wrapText="1" readingOrder="1"/>
    </xf>
    <xf numFmtId="0" fontId="2" fillId="0" borderId="5" xfId="0" applyFont="1" applyBorder="1" applyAlignment="1" applyProtection="1">
      <alignment horizontal="center" vertical="center" wrapText="1" readingOrder="1"/>
    </xf>
    <xf numFmtId="0" fontId="2" fillId="0" borderId="11" xfId="0" applyFont="1" applyBorder="1" applyAlignment="1" applyProtection="1">
      <alignment horizontal="center" vertical="center" wrapText="1" readingOrder="1"/>
    </xf>
    <xf numFmtId="0" fontId="2" fillId="0" borderId="12" xfId="0" applyFont="1" applyBorder="1" applyAlignment="1" applyProtection="1">
      <alignment horizontal="center" vertical="center" wrapText="1" readingOrder="1"/>
    </xf>
    <xf numFmtId="0" fontId="2" fillId="0" borderId="13" xfId="0" applyFont="1" applyBorder="1" applyAlignment="1" applyProtection="1">
      <alignment horizontal="center" vertical="center" wrapText="1" readingOrder="1"/>
    </xf>
    <xf numFmtId="164" fontId="3" fillId="3" borderId="11" xfId="0" applyNumberFormat="1" applyFont="1" applyFill="1" applyBorder="1" applyAlignment="1" applyProtection="1">
      <alignment horizontal="center" vertical="top" wrapText="1" readingOrder="1"/>
    </xf>
    <xf numFmtId="164" fontId="3" fillId="3" borderId="12" xfId="0" applyNumberFormat="1" applyFont="1" applyFill="1" applyBorder="1" applyAlignment="1" applyProtection="1">
      <alignment horizontal="center" vertical="top" wrapText="1" readingOrder="1"/>
    </xf>
    <xf numFmtId="164" fontId="3" fillId="3" borderId="13" xfId="0" applyNumberFormat="1" applyFont="1" applyFill="1" applyBorder="1" applyAlignment="1" applyProtection="1">
      <alignment horizontal="center" vertical="top" wrapText="1" readingOrder="1"/>
    </xf>
    <xf numFmtId="0" fontId="3" fillId="3" borderId="14" xfId="0" applyFont="1" applyFill="1" applyBorder="1" applyAlignment="1" applyProtection="1">
      <alignment horizontal="left" vertical="top" wrapText="1" readingOrder="1"/>
      <protection locked="0"/>
    </xf>
    <xf numFmtId="0" fontId="3" fillId="3" borderId="16" xfId="0" applyFont="1" applyFill="1" applyBorder="1" applyAlignment="1" applyProtection="1">
      <alignment horizontal="left" vertical="top" wrapText="1" readingOrder="1"/>
      <protection locked="0"/>
    </xf>
    <xf numFmtId="0" fontId="3" fillId="3" borderId="11" xfId="0" applyFont="1" applyFill="1" applyBorder="1" applyAlignment="1" applyProtection="1">
      <alignment horizontal="left" vertical="top" wrapText="1" readingOrder="1"/>
      <protection locked="0"/>
    </xf>
    <xf numFmtId="0" fontId="3" fillId="3" borderId="13" xfId="0" applyFont="1" applyFill="1" applyBorder="1" applyAlignment="1" applyProtection="1">
      <alignment horizontal="left" vertical="top" wrapText="1" readingOrder="1"/>
      <protection locked="0"/>
    </xf>
    <xf numFmtId="0" fontId="3" fillId="3" borderId="11" xfId="0" applyFont="1" applyFill="1" applyBorder="1" applyAlignment="1" applyProtection="1">
      <alignment horizontal="center" vertical="top" wrapText="1" readingOrder="1"/>
      <protection locked="0"/>
    </xf>
    <xf numFmtId="0" fontId="3" fillId="3" borderId="13" xfId="0" applyFont="1" applyFill="1" applyBorder="1" applyAlignment="1" applyProtection="1">
      <alignment horizontal="center" vertical="top" wrapText="1" readingOrder="1"/>
      <protection locked="0"/>
    </xf>
    <xf numFmtId="0" fontId="3" fillId="3" borderId="15" xfId="0" applyFont="1" applyFill="1" applyBorder="1" applyAlignment="1" applyProtection="1">
      <alignment horizontal="left" vertical="top" wrapText="1" readingOrder="1"/>
      <protection locked="0"/>
    </xf>
    <xf numFmtId="0" fontId="3" fillId="3" borderId="12" xfId="0" applyFont="1" applyFill="1" applyBorder="1" applyAlignment="1" applyProtection="1">
      <alignment horizontal="left" vertical="top" wrapText="1" readingOrder="1"/>
      <protection locked="0"/>
    </xf>
    <xf numFmtId="0" fontId="3" fillId="3" borderId="12" xfId="0" applyFont="1" applyFill="1" applyBorder="1" applyAlignment="1" applyProtection="1">
      <alignment horizontal="center" vertical="top" wrapText="1" readingOrder="1"/>
      <protection locked="0"/>
    </xf>
    <xf numFmtId="0" fontId="3" fillId="0" borderId="19" xfId="0" applyFont="1" applyBorder="1" applyAlignment="1" applyProtection="1">
      <alignment horizontal="left" vertical="top" wrapText="1" readingOrder="1"/>
      <protection locked="0"/>
    </xf>
    <xf numFmtId="0" fontId="3" fillId="0" borderId="21" xfId="0" applyFont="1" applyBorder="1" applyAlignment="1" applyProtection="1">
      <alignment horizontal="left" vertical="top" wrapText="1" readingOrder="1"/>
      <protection locked="0"/>
    </xf>
    <xf numFmtId="0" fontId="3" fillId="0" borderId="22" xfId="0" applyFont="1" applyBorder="1" applyAlignment="1" applyProtection="1">
      <alignment horizontal="left" vertical="top" wrapText="1" readingOrder="1"/>
      <protection locked="0"/>
    </xf>
    <xf numFmtId="0" fontId="3" fillId="0" borderId="24" xfId="0" applyFont="1" applyBorder="1" applyAlignment="1" applyProtection="1">
      <alignment horizontal="left" vertical="top" wrapText="1" readingOrder="1"/>
      <protection locked="0"/>
    </xf>
    <xf numFmtId="0" fontId="3" fillId="4" borderId="25" xfId="0" applyFont="1" applyFill="1" applyBorder="1" applyAlignment="1" applyProtection="1">
      <alignment horizontal="center" vertical="top" wrapText="1" readingOrder="1"/>
      <protection locked="0"/>
    </xf>
    <xf numFmtId="0" fontId="3" fillId="4" borderId="26" xfId="0" applyFont="1" applyFill="1" applyBorder="1" applyAlignment="1" applyProtection="1">
      <alignment horizontal="center" vertical="top" wrapText="1" readingOrder="1"/>
      <protection locked="0"/>
    </xf>
    <xf numFmtId="0" fontId="3" fillId="4" borderId="27" xfId="0" applyFont="1" applyFill="1" applyBorder="1" applyAlignment="1" applyProtection="1">
      <alignment horizontal="center" vertical="top" wrapText="1" readingOrder="1"/>
      <protection locked="0"/>
    </xf>
    <xf numFmtId="0" fontId="3" fillId="2" borderId="25" xfId="0" applyFont="1" applyFill="1" applyBorder="1" applyAlignment="1" applyProtection="1">
      <alignment horizontal="center" vertical="top" wrapText="1" readingOrder="1"/>
      <protection locked="0"/>
    </xf>
    <xf numFmtId="0" fontId="3" fillId="2" borderId="26" xfId="0" applyFont="1" applyFill="1" applyBorder="1" applyAlignment="1" applyProtection="1">
      <alignment horizontal="center" vertical="top" wrapText="1" readingOrder="1"/>
      <protection locked="0"/>
    </xf>
    <xf numFmtId="0" fontId="3" fillId="2" borderId="27" xfId="0" applyFont="1" applyFill="1" applyBorder="1" applyAlignment="1" applyProtection="1">
      <alignment horizontal="center" vertical="top" wrapText="1" readingOrder="1"/>
      <protection locked="0"/>
    </xf>
    <xf numFmtId="0" fontId="3" fillId="0" borderId="28" xfId="0" applyFont="1" applyBorder="1" applyAlignment="1" applyProtection="1">
      <alignment horizontal="left" vertical="top" wrapText="1" readingOrder="1"/>
      <protection locked="0"/>
    </xf>
    <xf numFmtId="0" fontId="3" fillId="0" borderId="29" xfId="0" applyFont="1" applyBorder="1" applyAlignment="1" applyProtection="1">
      <alignment horizontal="left" vertical="top" wrapText="1" readingOrder="1"/>
      <protection locked="0"/>
    </xf>
    <xf numFmtId="0" fontId="3" fillId="0" borderId="30" xfId="0" applyFont="1" applyBorder="1" applyAlignment="1" applyProtection="1">
      <alignment horizontal="left" vertical="top" wrapText="1" readingOrder="1"/>
      <protection locked="0"/>
    </xf>
    <xf numFmtId="0" fontId="3" fillId="8" borderId="14" xfId="0" applyFont="1" applyFill="1" applyBorder="1" applyAlignment="1" applyProtection="1">
      <alignment horizontal="left" vertical="top" wrapText="1" readingOrder="1"/>
      <protection locked="0"/>
    </xf>
    <xf numFmtId="0" fontId="3" fillId="8" borderId="15" xfId="0" applyFont="1" applyFill="1" applyBorder="1" applyAlignment="1" applyProtection="1">
      <alignment horizontal="left" vertical="top" wrapText="1" readingOrder="1"/>
      <protection locked="0"/>
    </xf>
    <xf numFmtId="0" fontId="3" fillId="8" borderId="16" xfId="0" applyFont="1" applyFill="1" applyBorder="1" applyAlignment="1" applyProtection="1">
      <alignment horizontal="left" vertical="top" wrapText="1" readingOrder="1"/>
      <protection locked="0"/>
    </xf>
    <xf numFmtId="0" fontId="3" fillId="8" borderId="11" xfId="0" applyFont="1" applyFill="1" applyBorder="1" applyAlignment="1" applyProtection="1">
      <alignment horizontal="left" vertical="top" wrapText="1" readingOrder="1"/>
      <protection locked="0"/>
    </xf>
    <xf numFmtId="0" fontId="3" fillId="8" borderId="12" xfId="0" applyFont="1" applyFill="1" applyBorder="1" applyAlignment="1" applyProtection="1">
      <alignment horizontal="left" vertical="top" wrapText="1" readingOrder="1"/>
      <protection locked="0"/>
    </xf>
    <xf numFmtId="0" fontId="3" fillId="8" borderId="13" xfId="0" applyFont="1" applyFill="1" applyBorder="1" applyAlignment="1" applyProtection="1">
      <alignment horizontal="left" vertical="top" wrapText="1" readingOrder="1"/>
      <protection locked="0"/>
    </xf>
    <xf numFmtId="2" fontId="3" fillId="3" borderId="8" xfId="0" applyNumberFormat="1" applyFont="1" applyFill="1" applyBorder="1" applyAlignment="1" applyProtection="1">
      <alignment horizontal="center" vertical="top" wrapText="1" readingOrder="1"/>
      <protection locked="0"/>
    </xf>
    <xf numFmtId="2" fontId="3" fillId="3" borderId="3" xfId="0" applyNumberFormat="1" applyFont="1" applyFill="1" applyBorder="1" applyAlignment="1" applyProtection="1">
      <alignment horizontal="center" vertical="top" wrapText="1" readingOrder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BEBEB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0E4F6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8FAD4"/>
      <rgbColor rgb="FFFAEE80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E4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0"/>
  <sheetViews>
    <sheetView tabSelected="1" topLeftCell="A488" zoomScaleNormal="100" workbookViewId="0">
      <selection activeCell="I493" sqref="I493:M493"/>
    </sheetView>
  </sheetViews>
  <sheetFormatPr defaultColWidth="8.7109375" defaultRowHeight="15" x14ac:dyDescent="0.25"/>
  <cols>
    <col min="1" max="1" width="11.85546875" style="21" customWidth="1"/>
    <col min="2" max="2" width="40" style="21" customWidth="1"/>
    <col min="3" max="3" width="24.5703125" style="21" customWidth="1"/>
    <col min="4" max="5" width="10.7109375" style="41" customWidth="1"/>
    <col min="6" max="6" width="16.42578125" style="41" customWidth="1"/>
    <col min="7" max="7" width="13.85546875" style="41" customWidth="1"/>
    <col min="8" max="8" width="12" style="41" customWidth="1"/>
    <col min="9" max="9" width="29.42578125" style="73" customWidth="1"/>
    <col min="10" max="10" width="5.7109375" style="41" customWidth="1"/>
    <col min="11" max="11" width="9" style="41" customWidth="1"/>
    <col min="12" max="12" width="10.28515625" style="41" customWidth="1"/>
    <col min="13" max="13" width="8.7109375" style="41" customWidth="1"/>
  </cols>
  <sheetData>
    <row r="1" spans="1:13" s="2" customFormat="1" x14ac:dyDescent="0.25">
      <c r="A1" s="153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3" spans="1:13" ht="15.75" thickBot="1" x14ac:dyDescent="0.3"/>
    <row r="4" spans="1:13" s="27" customFormat="1" ht="15.75" thickBot="1" x14ac:dyDescent="0.3">
      <c r="A4" s="154" t="s">
        <v>1</v>
      </c>
      <c r="B4" s="155" t="s">
        <v>2</v>
      </c>
      <c r="C4" s="155" t="s">
        <v>3</v>
      </c>
      <c r="D4" s="155" t="s">
        <v>4</v>
      </c>
      <c r="E4" s="159" t="s">
        <v>1321</v>
      </c>
      <c r="F4" s="155" t="s">
        <v>1320</v>
      </c>
      <c r="G4" s="155" t="s">
        <v>6</v>
      </c>
      <c r="H4" s="155" t="s">
        <v>7</v>
      </c>
      <c r="I4" s="156" t="s">
        <v>8</v>
      </c>
      <c r="J4" s="156"/>
      <c r="K4" s="156"/>
      <c r="L4" s="156"/>
      <c r="M4" s="156"/>
    </row>
    <row r="5" spans="1:13" s="27" customFormat="1" ht="15.75" thickBot="1" x14ac:dyDescent="0.3">
      <c r="A5" s="154"/>
      <c r="B5" s="155"/>
      <c r="C5" s="155"/>
      <c r="D5" s="155"/>
      <c r="E5" s="160"/>
      <c r="F5" s="155"/>
      <c r="G5" s="155"/>
      <c r="H5" s="155"/>
      <c r="I5" s="157" t="s">
        <v>9</v>
      </c>
      <c r="J5" s="157" t="s">
        <v>10</v>
      </c>
      <c r="K5" s="158" t="s">
        <v>11</v>
      </c>
      <c r="L5" s="158"/>
      <c r="M5" s="158"/>
    </row>
    <row r="6" spans="1:13" s="27" customFormat="1" ht="29.25" customHeight="1" thickBot="1" x14ac:dyDescent="0.3">
      <c r="A6" s="154"/>
      <c r="B6" s="155"/>
      <c r="C6" s="155"/>
      <c r="D6" s="155"/>
      <c r="E6" s="161"/>
      <c r="F6" s="155"/>
      <c r="G6" s="155"/>
      <c r="H6" s="155"/>
      <c r="I6" s="155"/>
      <c r="J6" s="155"/>
      <c r="K6" s="28" t="s">
        <v>12</v>
      </c>
      <c r="L6" s="28" t="s">
        <v>13</v>
      </c>
      <c r="M6" s="29" t="s">
        <v>14</v>
      </c>
    </row>
    <row r="7" spans="1:13" ht="26.25" thickBot="1" x14ac:dyDescent="0.3">
      <c r="A7" s="3" t="s">
        <v>15</v>
      </c>
      <c r="B7" s="4" t="s">
        <v>16</v>
      </c>
      <c r="C7" s="5" t="s">
        <v>17</v>
      </c>
      <c r="D7" s="59"/>
      <c r="E7" s="42">
        <f>SUM(E8:E8)</f>
        <v>947.2</v>
      </c>
      <c r="F7" s="42">
        <f>SUM(F8:F8)</f>
        <v>968.19999999999993</v>
      </c>
      <c r="G7" s="42">
        <f>SUM(G8:G8)</f>
        <v>779.1</v>
      </c>
      <c r="H7" s="42">
        <f>SUM(H8:H8)</f>
        <v>876.9</v>
      </c>
      <c r="I7" s="181"/>
      <c r="J7" s="182"/>
      <c r="K7" s="182"/>
      <c r="L7" s="182"/>
      <c r="M7" s="183"/>
    </row>
    <row r="8" spans="1:13" ht="51.75" thickBot="1" x14ac:dyDescent="0.3">
      <c r="A8" s="6" t="s">
        <v>18</v>
      </c>
      <c r="B8" s="7" t="s">
        <v>19</v>
      </c>
      <c r="C8" s="8"/>
      <c r="D8" s="38"/>
      <c r="E8" s="43">
        <f>E9+E26+E35+E38</f>
        <v>947.2</v>
      </c>
      <c r="F8" s="43">
        <f>F9+F26+F35+F38</f>
        <v>968.19999999999993</v>
      </c>
      <c r="G8" s="43">
        <f>G9+G26+G35+G38</f>
        <v>779.1</v>
      </c>
      <c r="H8" s="43">
        <f>H9+H26+H35+H38</f>
        <v>876.9</v>
      </c>
      <c r="I8" s="8" t="s">
        <v>20</v>
      </c>
      <c r="J8" s="38" t="s">
        <v>21</v>
      </c>
      <c r="K8" s="38" t="s">
        <v>22</v>
      </c>
      <c r="L8" s="38" t="s">
        <v>23</v>
      </c>
      <c r="M8" s="74" t="s">
        <v>23</v>
      </c>
    </row>
    <row r="9" spans="1:13" ht="26.25" thickBot="1" x14ac:dyDescent="0.3">
      <c r="A9" s="9" t="s">
        <v>24</v>
      </c>
      <c r="B9" s="10" t="s">
        <v>25</v>
      </c>
      <c r="C9" s="11"/>
      <c r="D9" s="60"/>
      <c r="E9" s="44">
        <f>E10+E14+E20+E23</f>
        <v>155.1</v>
      </c>
      <c r="F9" s="44">
        <f>F10+F14+F20+F23</f>
        <v>108.8</v>
      </c>
      <c r="G9" s="44">
        <f>G10+G14+G20+G23</f>
        <v>156.5</v>
      </c>
      <c r="H9" s="44">
        <f>H10+H14+H20+H23</f>
        <v>456</v>
      </c>
      <c r="I9" s="178"/>
      <c r="J9" s="179"/>
      <c r="K9" s="179"/>
      <c r="L9" s="179"/>
      <c r="M9" s="180"/>
    </row>
    <row r="10" spans="1:13" ht="25.5" customHeight="1" x14ac:dyDescent="0.25">
      <c r="A10" s="150" t="s">
        <v>26</v>
      </c>
      <c r="B10" s="135" t="s">
        <v>27</v>
      </c>
      <c r="C10" s="135" t="s">
        <v>17</v>
      </c>
      <c r="D10" s="45" t="s">
        <v>28</v>
      </c>
      <c r="E10" s="45"/>
      <c r="F10" s="46">
        <f>SUM(F11:F13)+72.8</f>
        <v>72.8</v>
      </c>
      <c r="G10" s="46">
        <f>SUM(G11:G13)+20</f>
        <v>20</v>
      </c>
      <c r="H10" s="46">
        <f>SUM(H11:H13)+300</f>
        <v>300</v>
      </c>
      <c r="I10" s="14" t="s">
        <v>29</v>
      </c>
      <c r="J10" s="45" t="s">
        <v>21</v>
      </c>
      <c r="K10" s="45" t="s">
        <v>30</v>
      </c>
      <c r="L10" s="45" t="s">
        <v>30</v>
      </c>
      <c r="M10" s="71"/>
    </row>
    <row r="11" spans="1:13" ht="38.25" x14ac:dyDescent="0.25">
      <c r="A11" s="151"/>
      <c r="B11" s="136"/>
      <c r="C11" s="136"/>
      <c r="D11" s="39"/>
      <c r="E11" s="39"/>
      <c r="F11" s="47"/>
      <c r="G11" s="47"/>
      <c r="H11" s="47"/>
      <c r="I11" s="17" t="s">
        <v>31</v>
      </c>
      <c r="J11" s="39" t="s">
        <v>21</v>
      </c>
      <c r="K11" s="39" t="s">
        <v>30</v>
      </c>
      <c r="L11" s="39"/>
      <c r="M11" s="72"/>
    </row>
    <row r="12" spans="1:13" ht="25.5" x14ac:dyDescent="0.25">
      <c r="A12" s="151"/>
      <c r="B12" s="136"/>
      <c r="C12" s="136"/>
      <c r="D12" s="39"/>
      <c r="E12" s="39"/>
      <c r="F12" s="47"/>
      <c r="G12" s="47"/>
      <c r="H12" s="47"/>
      <c r="I12" s="17" t="s">
        <v>32</v>
      </c>
      <c r="J12" s="39" t="s">
        <v>21</v>
      </c>
      <c r="K12" s="39" t="s">
        <v>30</v>
      </c>
      <c r="L12" s="39"/>
      <c r="M12" s="72"/>
    </row>
    <row r="13" spans="1:13" ht="15.75" thickBot="1" x14ac:dyDescent="0.3">
      <c r="A13" s="152"/>
      <c r="B13" s="137"/>
      <c r="C13" s="137"/>
      <c r="D13" s="39"/>
      <c r="E13" s="39"/>
      <c r="F13" s="47"/>
      <c r="G13" s="47"/>
      <c r="H13" s="47"/>
      <c r="I13" s="17" t="s">
        <v>33</v>
      </c>
      <c r="J13" s="39" t="s">
        <v>21</v>
      </c>
      <c r="K13" s="39"/>
      <c r="L13" s="39"/>
      <c r="M13" s="72" t="s">
        <v>30</v>
      </c>
    </row>
    <row r="14" spans="1:13" ht="25.5" x14ac:dyDescent="0.25">
      <c r="A14" s="150" t="s">
        <v>34</v>
      </c>
      <c r="B14" s="135" t="s">
        <v>35</v>
      </c>
      <c r="C14" s="135" t="s">
        <v>17</v>
      </c>
      <c r="D14" s="45"/>
      <c r="E14" s="46">
        <f>SUM(E15:E19)</f>
        <v>71.400000000000006</v>
      </c>
      <c r="F14" s="46">
        <f>SUM(F15:F19)</f>
        <v>30</v>
      </c>
      <c r="G14" s="46">
        <f t="shared" ref="G14:H14" si="0">SUM(G15:G19)</f>
        <v>100</v>
      </c>
      <c r="H14" s="46">
        <f t="shared" si="0"/>
        <v>100</v>
      </c>
      <c r="I14" s="14" t="s">
        <v>36</v>
      </c>
      <c r="J14" s="45" t="s">
        <v>21</v>
      </c>
      <c r="K14" s="45" t="s">
        <v>37</v>
      </c>
      <c r="L14" s="45" t="s">
        <v>37</v>
      </c>
      <c r="M14" s="71" t="s">
        <v>37</v>
      </c>
    </row>
    <row r="15" spans="1:13" ht="51" x14ac:dyDescent="0.25">
      <c r="A15" s="151"/>
      <c r="B15" s="136"/>
      <c r="C15" s="136"/>
      <c r="D15" s="39" t="s">
        <v>28</v>
      </c>
      <c r="E15" s="39">
        <v>1.2</v>
      </c>
      <c r="F15" s="47">
        <v>30</v>
      </c>
      <c r="G15" s="47">
        <v>100</v>
      </c>
      <c r="H15" s="47">
        <v>100</v>
      </c>
      <c r="I15" s="17" t="s">
        <v>38</v>
      </c>
      <c r="J15" s="39" t="s">
        <v>21</v>
      </c>
      <c r="K15" s="39" t="s">
        <v>30</v>
      </c>
      <c r="L15" s="39"/>
      <c r="M15" s="72"/>
    </row>
    <row r="16" spans="1:13" ht="51" x14ac:dyDescent="0.25">
      <c r="A16" s="151"/>
      <c r="B16" s="136"/>
      <c r="C16" s="136"/>
      <c r="D16" s="39" t="s">
        <v>190</v>
      </c>
      <c r="E16" s="39">
        <v>70.2</v>
      </c>
      <c r="F16" s="47"/>
      <c r="G16" s="47"/>
      <c r="H16" s="47"/>
      <c r="I16" s="17" t="s">
        <v>39</v>
      </c>
      <c r="J16" s="39" t="s">
        <v>21</v>
      </c>
      <c r="K16" s="39" t="s">
        <v>30</v>
      </c>
      <c r="L16" s="39"/>
      <c r="M16" s="72"/>
    </row>
    <row r="17" spans="1:13" ht="63.75" x14ac:dyDescent="0.25">
      <c r="A17" s="151"/>
      <c r="B17" s="136"/>
      <c r="C17" s="136"/>
      <c r="D17" s="39"/>
      <c r="E17" s="39"/>
      <c r="F17" s="47"/>
      <c r="G17" s="47"/>
      <c r="H17" s="47"/>
      <c r="I17" s="17" t="s">
        <v>40</v>
      </c>
      <c r="J17" s="39" t="s">
        <v>21</v>
      </c>
      <c r="K17" s="39" t="s">
        <v>30</v>
      </c>
      <c r="L17" s="39"/>
      <c r="M17" s="72"/>
    </row>
    <row r="18" spans="1:13" ht="38.25" x14ac:dyDescent="0.25">
      <c r="A18" s="151"/>
      <c r="B18" s="136"/>
      <c r="C18" s="136"/>
      <c r="D18" s="39"/>
      <c r="E18" s="39"/>
      <c r="F18" s="47"/>
      <c r="G18" s="47"/>
      <c r="H18" s="47"/>
      <c r="I18" s="17" t="s">
        <v>41</v>
      </c>
      <c r="J18" s="39" t="s">
        <v>21</v>
      </c>
      <c r="K18" s="39" t="s">
        <v>30</v>
      </c>
      <c r="L18" s="39"/>
      <c r="M18" s="72"/>
    </row>
    <row r="19" spans="1:13" ht="39" thickBot="1" x14ac:dyDescent="0.3">
      <c r="A19" s="152"/>
      <c r="B19" s="137"/>
      <c r="C19" s="137"/>
      <c r="D19" s="39"/>
      <c r="E19" s="39"/>
      <c r="F19" s="47"/>
      <c r="G19" s="47"/>
      <c r="H19" s="47"/>
      <c r="I19" s="17" t="s">
        <v>42</v>
      </c>
      <c r="J19" s="39" t="s">
        <v>21</v>
      </c>
      <c r="K19" s="39" t="s">
        <v>30</v>
      </c>
      <c r="L19" s="39"/>
      <c r="M19" s="72"/>
    </row>
    <row r="20" spans="1:13" ht="25.5" customHeight="1" x14ac:dyDescent="0.25">
      <c r="A20" s="150" t="s">
        <v>43</v>
      </c>
      <c r="B20" s="135" t="s">
        <v>44</v>
      </c>
      <c r="C20" s="135" t="s">
        <v>17</v>
      </c>
      <c r="D20" s="45"/>
      <c r="E20" s="46">
        <f>SUM(E21:E22)</f>
        <v>33.6</v>
      </c>
      <c r="F20" s="46">
        <f>SUM(F21:F22)</f>
        <v>4</v>
      </c>
      <c r="G20" s="46">
        <f t="shared" ref="G20:H20" si="1">SUM(G21:G22)</f>
        <v>10</v>
      </c>
      <c r="H20" s="46">
        <f t="shared" si="1"/>
        <v>29.5</v>
      </c>
      <c r="I20" s="135" t="s">
        <v>45</v>
      </c>
      <c r="J20" s="138" t="s">
        <v>21</v>
      </c>
      <c r="K20" s="138" t="s">
        <v>30</v>
      </c>
      <c r="L20" s="138"/>
      <c r="M20" s="141"/>
    </row>
    <row r="21" spans="1:13" x14ac:dyDescent="0.25">
      <c r="A21" s="151"/>
      <c r="B21" s="136"/>
      <c r="C21" s="136"/>
      <c r="D21" s="51" t="s">
        <v>28</v>
      </c>
      <c r="E21" s="48">
        <v>7</v>
      </c>
      <c r="F21" s="49">
        <v>4</v>
      </c>
      <c r="G21" s="49">
        <v>10</v>
      </c>
      <c r="H21" s="49">
        <v>29.5</v>
      </c>
      <c r="I21" s="145"/>
      <c r="J21" s="147"/>
      <c r="K21" s="147"/>
      <c r="L21" s="147"/>
      <c r="M21" s="149"/>
    </row>
    <row r="22" spans="1:13" ht="51.75" thickBot="1" x14ac:dyDescent="0.3">
      <c r="A22" s="152"/>
      <c r="B22" s="137"/>
      <c r="C22" s="137"/>
      <c r="D22" s="39" t="s">
        <v>190</v>
      </c>
      <c r="E22" s="39">
        <v>26.6</v>
      </c>
      <c r="F22" s="47"/>
      <c r="G22" s="47"/>
      <c r="H22" s="47"/>
      <c r="I22" s="17" t="s">
        <v>46</v>
      </c>
      <c r="J22" s="39" t="s">
        <v>21</v>
      </c>
      <c r="K22" s="39"/>
      <c r="L22" s="39" t="s">
        <v>30</v>
      </c>
      <c r="M22" s="72" t="s">
        <v>30</v>
      </c>
    </row>
    <row r="23" spans="1:13" ht="38.25" customHeight="1" x14ac:dyDescent="0.25">
      <c r="A23" s="150" t="s">
        <v>47</v>
      </c>
      <c r="B23" s="135" t="s">
        <v>48</v>
      </c>
      <c r="C23" s="135" t="s">
        <v>17</v>
      </c>
      <c r="D23" s="57"/>
      <c r="E23" s="50">
        <f>SUM(E24:E25)</f>
        <v>50.1</v>
      </c>
      <c r="F23" s="50">
        <f>SUM(F24:F25)</f>
        <v>2</v>
      </c>
      <c r="G23" s="50">
        <f t="shared" ref="G23:H23" si="2">SUM(G24:G25)</f>
        <v>26.5</v>
      </c>
      <c r="H23" s="50">
        <f t="shared" si="2"/>
        <v>26.5</v>
      </c>
      <c r="I23" s="135" t="s">
        <v>49</v>
      </c>
      <c r="J23" s="138" t="s">
        <v>21</v>
      </c>
      <c r="K23" s="138" t="s">
        <v>50</v>
      </c>
      <c r="L23" s="138" t="s">
        <v>50</v>
      </c>
      <c r="M23" s="141" t="s">
        <v>50</v>
      </c>
    </row>
    <row r="24" spans="1:13" x14ac:dyDescent="0.25">
      <c r="A24" s="151"/>
      <c r="B24" s="136"/>
      <c r="C24" s="136"/>
      <c r="D24" s="39" t="s">
        <v>28</v>
      </c>
      <c r="E24" s="39">
        <v>2</v>
      </c>
      <c r="F24" s="47">
        <v>2</v>
      </c>
      <c r="G24" s="47">
        <v>26.5</v>
      </c>
      <c r="H24" s="47">
        <v>26.5</v>
      </c>
      <c r="I24" s="136"/>
      <c r="J24" s="139"/>
      <c r="K24" s="139"/>
      <c r="L24" s="139"/>
      <c r="M24" s="142"/>
    </row>
    <row r="25" spans="1:13" ht="15.75" thickBot="1" x14ac:dyDescent="0.3">
      <c r="A25" s="152"/>
      <c r="B25" s="137"/>
      <c r="C25" s="137"/>
      <c r="D25" s="51" t="s">
        <v>190</v>
      </c>
      <c r="E25" s="51">
        <v>48.1</v>
      </c>
      <c r="F25" s="52"/>
      <c r="G25" s="52"/>
      <c r="H25" s="52"/>
      <c r="I25" s="137"/>
      <c r="J25" s="140"/>
      <c r="K25" s="140"/>
      <c r="L25" s="140"/>
      <c r="M25" s="143"/>
    </row>
    <row r="26" spans="1:13" ht="26.25" thickBot="1" x14ac:dyDescent="0.3">
      <c r="A26" s="9" t="s">
        <v>51</v>
      </c>
      <c r="B26" s="10" t="s">
        <v>52</v>
      </c>
      <c r="C26" s="11"/>
      <c r="D26" s="60"/>
      <c r="E26" s="44">
        <f>E27+E31+E32</f>
        <v>766.5</v>
      </c>
      <c r="F26" s="44">
        <f>F27+F31+F32</f>
        <v>718</v>
      </c>
      <c r="G26" s="44">
        <f>G27+G31+G32</f>
        <v>592</v>
      </c>
      <c r="H26" s="44">
        <f>H27+H31+H32</f>
        <v>388</v>
      </c>
      <c r="I26" s="178"/>
      <c r="J26" s="179"/>
      <c r="K26" s="179"/>
      <c r="L26" s="179"/>
      <c r="M26" s="180"/>
    </row>
    <row r="27" spans="1:13" ht="25.5" x14ac:dyDescent="0.25">
      <c r="A27" s="150" t="s">
        <v>53</v>
      </c>
      <c r="B27" s="135" t="s">
        <v>54</v>
      </c>
      <c r="C27" s="135" t="s">
        <v>17</v>
      </c>
      <c r="D27" s="45"/>
      <c r="E27" s="46">
        <f>SUM(E28:E30)</f>
        <v>308.7</v>
      </c>
      <c r="F27" s="46">
        <f>SUM(F28:F30)</f>
        <v>52</v>
      </c>
      <c r="G27" s="46">
        <f t="shared" ref="G27:H27" si="3">SUM(G28:G30)</f>
        <v>220</v>
      </c>
      <c r="H27" s="46">
        <f t="shared" si="3"/>
        <v>15</v>
      </c>
      <c r="I27" s="14" t="s">
        <v>55</v>
      </c>
      <c r="J27" s="45" t="s">
        <v>21</v>
      </c>
      <c r="K27" s="45" t="s">
        <v>56</v>
      </c>
      <c r="L27" s="45" t="s">
        <v>56</v>
      </c>
      <c r="M27" s="71" t="s">
        <v>56</v>
      </c>
    </row>
    <row r="28" spans="1:13" ht="25.5" x14ac:dyDescent="0.25">
      <c r="A28" s="151"/>
      <c r="B28" s="136"/>
      <c r="C28" s="136"/>
      <c r="D28" s="39" t="s">
        <v>28</v>
      </c>
      <c r="E28" s="39">
        <v>305.7</v>
      </c>
      <c r="F28" s="47">
        <v>52</v>
      </c>
      <c r="G28" s="47">
        <v>220</v>
      </c>
      <c r="H28" s="47">
        <v>15</v>
      </c>
      <c r="I28" s="17" t="s">
        <v>57</v>
      </c>
      <c r="J28" s="39" t="s">
        <v>21</v>
      </c>
      <c r="K28" s="39" t="s">
        <v>30</v>
      </c>
      <c r="L28" s="39"/>
      <c r="M28" s="72"/>
    </row>
    <row r="29" spans="1:13" ht="38.25" x14ac:dyDescent="0.25">
      <c r="A29" s="151"/>
      <c r="B29" s="136"/>
      <c r="C29" s="136"/>
      <c r="D29" s="39" t="s">
        <v>190</v>
      </c>
      <c r="E29" s="53">
        <v>3</v>
      </c>
      <c r="F29" s="47"/>
      <c r="G29" s="47"/>
      <c r="H29" s="47"/>
      <c r="I29" s="17" t="s">
        <v>58</v>
      </c>
      <c r="J29" s="39" t="s">
        <v>21</v>
      </c>
      <c r="K29" s="39" t="s">
        <v>30</v>
      </c>
      <c r="L29" s="39"/>
      <c r="M29" s="72"/>
    </row>
    <row r="30" spans="1:13" ht="26.25" thickBot="1" x14ac:dyDescent="0.3">
      <c r="A30" s="152"/>
      <c r="B30" s="137"/>
      <c r="C30" s="137"/>
      <c r="D30" s="39"/>
      <c r="E30" s="39"/>
      <c r="F30" s="47"/>
      <c r="G30" s="47"/>
      <c r="H30" s="47"/>
      <c r="I30" s="17" t="s">
        <v>59</v>
      </c>
      <c r="J30" s="39" t="s">
        <v>21</v>
      </c>
      <c r="K30" s="39"/>
      <c r="L30" s="39" t="s">
        <v>30</v>
      </c>
      <c r="M30" s="72"/>
    </row>
    <row r="31" spans="1:13" ht="51.75" thickBot="1" x14ac:dyDescent="0.3">
      <c r="A31" s="12" t="s">
        <v>60</v>
      </c>
      <c r="B31" s="13" t="s">
        <v>61</v>
      </c>
      <c r="C31" s="14" t="s">
        <v>17</v>
      </c>
      <c r="D31" s="45" t="s">
        <v>28</v>
      </c>
      <c r="E31" s="54">
        <v>6</v>
      </c>
      <c r="F31" s="55">
        <v>1</v>
      </c>
      <c r="G31" s="55">
        <v>2</v>
      </c>
      <c r="H31" s="55">
        <v>3</v>
      </c>
      <c r="I31" s="14" t="s">
        <v>62</v>
      </c>
      <c r="J31" s="45" t="s">
        <v>21</v>
      </c>
      <c r="K31" s="45" t="s">
        <v>30</v>
      </c>
      <c r="L31" s="45" t="s">
        <v>30</v>
      </c>
      <c r="M31" s="71" t="s">
        <v>30</v>
      </c>
    </row>
    <row r="32" spans="1:13" ht="63.75" customHeight="1" x14ac:dyDescent="0.25">
      <c r="A32" s="150" t="s">
        <v>63</v>
      </c>
      <c r="B32" s="135" t="s">
        <v>64</v>
      </c>
      <c r="C32" s="135" t="s">
        <v>65</v>
      </c>
      <c r="D32" s="45" t="s">
        <v>28</v>
      </c>
      <c r="E32" s="46">
        <f>SUM(E33:E34)</f>
        <v>451.8</v>
      </c>
      <c r="F32" s="46">
        <f>SUM(F33:F34)</f>
        <v>665</v>
      </c>
      <c r="G32" s="46">
        <f t="shared" ref="G32:H32" si="4">SUM(G33:G34)</f>
        <v>370</v>
      </c>
      <c r="H32" s="46">
        <f t="shared" si="4"/>
        <v>370</v>
      </c>
      <c r="I32" s="14" t="s">
        <v>66</v>
      </c>
      <c r="J32" s="45" t="s">
        <v>21</v>
      </c>
      <c r="K32" s="45" t="s">
        <v>67</v>
      </c>
      <c r="L32" s="45"/>
      <c r="M32" s="71"/>
    </row>
    <row r="33" spans="1:13" ht="25.5" x14ac:dyDescent="0.25">
      <c r="A33" s="151"/>
      <c r="B33" s="136"/>
      <c r="C33" s="136"/>
      <c r="D33" s="39" t="s">
        <v>28</v>
      </c>
      <c r="E33" s="39">
        <v>418.5</v>
      </c>
      <c r="F33" s="47">
        <v>665</v>
      </c>
      <c r="G33" s="47">
        <v>370</v>
      </c>
      <c r="H33" s="47">
        <v>370</v>
      </c>
      <c r="I33" s="17" t="s">
        <v>68</v>
      </c>
      <c r="J33" s="39" t="s">
        <v>21</v>
      </c>
      <c r="K33" s="39" t="s">
        <v>69</v>
      </c>
      <c r="L33" s="39" t="s">
        <v>70</v>
      </c>
      <c r="M33" s="72" t="s">
        <v>70</v>
      </c>
    </row>
    <row r="34" spans="1:13" ht="26.25" thickBot="1" x14ac:dyDescent="0.3">
      <c r="A34" s="152"/>
      <c r="B34" s="137"/>
      <c r="C34" s="137"/>
      <c r="D34" s="39" t="s">
        <v>190</v>
      </c>
      <c r="E34" s="39">
        <v>33.299999999999997</v>
      </c>
      <c r="F34" s="47"/>
      <c r="G34" s="47"/>
      <c r="H34" s="47"/>
      <c r="I34" s="17" t="s">
        <v>71</v>
      </c>
      <c r="J34" s="39" t="s">
        <v>21</v>
      </c>
      <c r="K34" s="39" t="s">
        <v>70</v>
      </c>
      <c r="L34" s="39" t="s">
        <v>70</v>
      </c>
      <c r="M34" s="72" t="s">
        <v>70</v>
      </c>
    </row>
    <row r="35" spans="1:13" ht="15.75" thickBot="1" x14ac:dyDescent="0.3">
      <c r="A35" s="9" t="s">
        <v>72</v>
      </c>
      <c r="B35" s="10" t="s">
        <v>73</v>
      </c>
      <c r="C35" s="11"/>
      <c r="D35" s="60"/>
      <c r="E35" s="44">
        <f>SUM(E36:E37)</f>
        <v>5</v>
      </c>
      <c r="F35" s="44">
        <f>SUM(F36:F37)</f>
        <v>118.1</v>
      </c>
      <c r="G35" s="44">
        <f>SUM(G36:G37)</f>
        <v>6</v>
      </c>
      <c r="H35" s="44">
        <f>SUM(H36:H37)</f>
        <v>6.9</v>
      </c>
      <c r="I35" s="178"/>
      <c r="J35" s="179"/>
      <c r="K35" s="179"/>
      <c r="L35" s="179"/>
      <c r="M35" s="180"/>
    </row>
    <row r="36" spans="1:13" ht="26.25" thickBot="1" x14ac:dyDescent="0.3">
      <c r="A36" s="12" t="s">
        <v>74</v>
      </c>
      <c r="B36" s="13" t="s">
        <v>75</v>
      </c>
      <c r="C36" s="14" t="s">
        <v>17</v>
      </c>
      <c r="D36" s="45" t="s">
        <v>28</v>
      </c>
      <c r="E36" s="45"/>
      <c r="F36" s="55">
        <v>113.1</v>
      </c>
      <c r="G36" s="55"/>
      <c r="H36" s="55"/>
      <c r="I36" s="14" t="s">
        <v>76</v>
      </c>
      <c r="J36" s="45" t="s">
        <v>21</v>
      </c>
      <c r="K36" s="45" t="s">
        <v>30</v>
      </c>
      <c r="L36" s="45"/>
      <c r="M36" s="71"/>
    </row>
    <row r="37" spans="1:13" ht="26.25" thickBot="1" x14ac:dyDescent="0.3">
      <c r="A37" s="12" t="s">
        <v>77</v>
      </c>
      <c r="B37" s="13" t="s">
        <v>78</v>
      </c>
      <c r="C37" s="14" t="s">
        <v>17</v>
      </c>
      <c r="D37" s="45" t="s">
        <v>28</v>
      </c>
      <c r="E37" s="54">
        <v>5</v>
      </c>
      <c r="F37" s="55">
        <v>5</v>
      </c>
      <c r="G37" s="55">
        <v>6</v>
      </c>
      <c r="H37" s="55">
        <v>6.9</v>
      </c>
      <c r="I37" s="14" t="s">
        <v>79</v>
      </c>
      <c r="J37" s="45" t="s">
        <v>21</v>
      </c>
      <c r="K37" s="45" t="s">
        <v>30</v>
      </c>
      <c r="L37" s="45" t="s">
        <v>30</v>
      </c>
      <c r="M37" s="71" t="s">
        <v>30</v>
      </c>
    </row>
    <row r="38" spans="1:13" ht="26.25" thickBot="1" x14ac:dyDescent="0.3">
      <c r="A38" s="9" t="s">
        <v>80</v>
      </c>
      <c r="B38" s="10" t="s">
        <v>81</v>
      </c>
      <c r="C38" s="11"/>
      <c r="D38" s="60"/>
      <c r="E38" s="44">
        <f>SUM(E39:E40)</f>
        <v>20.6</v>
      </c>
      <c r="F38" s="44">
        <f>SUM(F39:F40)</f>
        <v>23.3</v>
      </c>
      <c r="G38" s="44">
        <f>SUM(G39:G40)</f>
        <v>24.6</v>
      </c>
      <c r="H38" s="44">
        <f>SUM(H39:H40)</f>
        <v>26</v>
      </c>
      <c r="I38" s="178"/>
      <c r="J38" s="179"/>
      <c r="K38" s="179"/>
      <c r="L38" s="179"/>
      <c r="M38" s="180"/>
    </row>
    <row r="39" spans="1:13" ht="39" thickBot="1" x14ac:dyDescent="0.3">
      <c r="A39" s="12" t="s">
        <v>82</v>
      </c>
      <c r="B39" s="13" t="s">
        <v>83</v>
      </c>
      <c r="C39" s="14" t="s">
        <v>17</v>
      </c>
      <c r="D39" s="45" t="s">
        <v>28</v>
      </c>
      <c r="E39" s="45">
        <v>12.1</v>
      </c>
      <c r="F39" s="55">
        <v>13.3</v>
      </c>
      <c r="G39" s="55">
        <v>14.6</v>
      </c>
      <c r="H39" s="55">
        <v>16</v>
      </c>
      <c r="I39" s="14" t="s">
        <v>84</v>
      </c>
      <c r="J39" s="45" t="s">
        <v>21</v>
      </c>
      <c r="K39" s="45" t="s">
        <v>56</v>
      </c>
      <c r="L39" s="45" t="s">
        <v>56</v>
      </c>
      <c r="M39" s="71" t="s">
        <v>56</v>
      </c>
    </row>
    <row r="40" spans="1:13" ht="26.25" thickBot="1" x14ac:dyDescent="0.3">
      <c r="A40" s="12" t="s">
        <v>85</v>
      </c>
      <c r="B40" s="13" t="s">
        <v>86</v>
      </c>
      <c r="C40" s="14" t="s">
        <v>17</v>
      </c>
      <c r="D40" s="45" t="s">
        <v>28</v>
      </c>
      <c r="E40" s="45">
        <v>8.5</v>
      </c>
      <c r="F40" s="55">
        <v>10</v>
      </c>
      <c r="G40" s="55">
        <v>10</v>
      </c>
      <c r="H40" s="55">
        <v>10</v>
      </c>
      <c r="I40" s="14" t="s">
        <v>87</v>
      </c>
      <c r="J40" s="45" t="s">
        <v>21</v>
      </c>
      <c r="K40" s="45" t="s">
        <v>37</v>
      </c>
      <c r="L40" s="45" t="s">
        <v>37</v>
      </c>
      <c r="M40" s="71" t="s">
        <v>37</v>
      </c>
    </row>
    <row r="41" spans="1:13" ht="15.75" thickBot="1" x14ac:dyDescent="0.3">
      <c r="A41" s="3" t="s">
        <v>88</v>
      </c>
      <c r="B41" s="4" t="s">
        <v>89</v>
      </c>
      <c r="C41" s="5" t="s">
        <v>90</v>
      </c>
      <c r="D41" s="59"/>
      <c r="E41" s="42">
        <f>E42+E81</f>
        <v>8816.4999999999982</v>
      </c>
      <c r="F41" s="42">
        <f>F42+F81</f>
        <v>8106.6</v>
      </c>
      <c r="G41" s="42">
        <f>G42+G81</f>
        <v>5528.2</v>
      </c>
      <c r="H41" s="42">
        <f>H42+H81</f>
        <v>5456.5999999999995</v>
      </c>
      <c r="I41" s="181"/>
      <c r="J41" s="182"/>
      <c r="K41" s="182"/>
      <c r="L41" s="182"/>
      <c r="M41" s="183"/>
    </row>
    <row r="42" spans="1:13" ht="51" customHeight="1" x14ac:dyDescent="0.25">
      <c r="A42" s="165" t="s">
        <v>91</v>
      </c>
      <c r="B42" s="167" t="s">
        <v>92</v>
      </c>
      <c r="C42" s="169"/>
      <c r="D42" s="169"/>
      <c r="E42" s="162">
        <f>E43+E44+E45+E57</f>
        <v>8351.8999999999978</v>
      </c>
      <c r="F42" s="162">
        <f>F43+F44+F45+F57</f>
        <v>7781.2000000000007</v>
      </c>
      <c r="G42" s="162">
        <f>G43+G44+G45+G57</f>
        <v>5500.5999999999995</v>
      </c>
      <c r="H42" s="162">
        <f>H43+H44+H45+H57</f>
        <v>5427.5999999999995</v>
      </c>
      <c r="I42" s="8" t="s">
        <v>93</v>
      </c>
      <c r="J42" s="38" t="s">
        <v>94</v>
      </c>
      <c r="K42" s="38" t="s">
        <v>95</v>
      </c>
      <c r="L42" s="38" t="s">
        <v>56</v>
      </c>
      <c r="M42" s="74" t="s">
        <v>96</v>
      </c>
    </row>
    <row r="43" spans="1:13" ht="25.5" x14ac:dyDescent="0.25">
      <c r="A43" s="171"/>
      <c r="B43" s="172"/>
      <c r="C43" s="173"/>
      <c r="D43" s="173"/>
      <c r="E43" s="163"/>
      <c r="F43" s="163"/>
      <c r="G43" s="163"/>
      <c r="H43" s="163"/>
      <c r="I43" s="40" t="s">
        <v>97</v>
      </c>
      <c r="J43" s="69" t="s">
        <v>94</v>
      </c>
      <c r="K43" s="69" t="s">
        <v>95</v>
      </c>
      <c r="L43" s="69" t="s">
        <v>56</v>
      </c>
      <c r="M43" s="78" t="s">
        <v>96</v>
      </c>
    </row>
    <row r="44" spans="1:13" ht="26.25" thickBot="1" x14ac:dyDescent="0.3">
      <c r="A44" s="166"/>
      <c r="B44" s="168"/>
      <c r="C44" s="170"/>
      <c r="D44" s="170"/>
      <c r="E44" s="164"/>
      <c r="F44" s="164"/>
      <c r="G44" s="164"/>
      <c r="H44" s="164"/>
      <c r="I44" s="40" t="s">
        <v>98</v>
      </c>
      <c r="J44" s="69" t="s">
        <v>21</v>
      </c>
      <c r="K44" s="69" t="s">
        <v>67</v>
      </c>
      <c r="L44" s="69" t="s">
        <v>30</v>
      </c>
      <c r="M44" s="78"/>
    </row>
    <row r="45" spans="1:13" ht="51.75" thickBot="1" x14ac:dyDescent="0.3">
      <c r="A45" s="9" t="s">
        <v>99</v>
      </c>
      <c r="B45" s="10" t="s">
        <v>100</v>
      </c>
      <c r="C45" s="11"/>
      <c r="D45" s="60"/>
      <c r="E45" s="44">
        <f>E46+E47+E48+E50</f>
        <v>660</v>
      </c>
      <c r="F45" s="44">
        <f>F46+F47+F48+F50</f>
        <v>711.2</v>
      </c>
      <c r="G45" s="44">
        <f>G46+G47+G48+G50</f>
        <v>714</v>
      </c>
      <c r="H45" s="44">
        <f>H46+H47+H48+H50</f>
        <v>728.9</v>
      </c>
      <c r="I45" s="178"/>
      <c r="J45" s="179"/>
      <c r="K45" s="179"/>
      <c r="L45" s="179"/>
      <c r="M45" s="180"/>
    </row>
    <row r="46" spans="1:13" ht="26.25" thickBot="1" x14ac:dyDescent="0.3">
      <c r="A46" s="12" t="s">
        <v>101</v>
      </c>
      <c r="B46" s="13" t="s">
        <v>102</v>
      </c>
      <c r="C46" s="14" t="s">
        <v>90</v>
      </c>
      <c r="D46" s="45" t="s">
        <v>28</v>
      </c>
      <c r="E46" s="54">
        <v>40</v>
      </c>
      <c r="F46" s="55">
        <v>45</v>
      </c>
      <c r="G46" s="55">
        <v>46</v>
      </c>
      <c r="H46" s="55">
        <v>49</v>
      </c>
      <c r="I46" s="14" t="s">
        <v>103</v>
      </c>
      <c r="J46" s="45" t="s">
        <v>21</v>
      </c>
      <c r="K46" s="45" t="s">
        <v>104</v>
      </c>
      <c r="L46" s="45" t="s">
        <v>105</v>
      </c>
      <c r="M46" s="71" t="s">
        <v>106</v>
      </c>
    </row>
    <row r="47" spans="1:13" ht="15.75" thickBot="1" x14ac:dyDescent="0.3">
      <c r="A47" s="12" t="s">
        <v>107</v>
      </c>
      <c r="B47" s="13" t="s">
        <v>108</v>
      </c>
      <c r="C47" s="14" t="s">
        <v>90</v>
      </c>
      <c r="D47" s="45" t="s">
        <v>28</v>
      </c>
      <c r="E47" s="45">
        <v>26.2</v>
      </c>
      <c r="F47" s="55">
        <v>26.2</v>
      </c>
      <c r="G47" s="55">
        <v>26.2</v>
      </c>
      <c r="H47" s="55">
        <v>26.2</v>
      </c>
      <c r="I47" s="14" t="s">
        <v>109</v>
      </c>
      <c r="J47" s="45" t="s">
        <v>21</v>
      </c>
      <c r="K47" s="45" t="s">
        <v>110</v>
      </c>
      <c r="L47" s="45" t="s">
        <v>110</v>
      </c>
      <c r="M47" s="71" t="s">
        <v>110</v>
      </c>
    </row>
    <row r="48" spans="1:13" ht="51" customHeight="1" x14ac:dyDescent="0.25">
      <c r="A48" s="150" t="s">
        <v>111</v>
      </c>
      <c r="B48" s="135" t="s">
        <v>112</v>
      </c>
      <c r="C48" s="135" t="s">
        <v>90</v>
      </c>
      <c r="D48" s="45" t="s">
        <v>28</v>
      </c>
      <c r="E48" s="54">
        <v>250</v>
      </c>
      <c r="F48" s="46">
        <f>SUM(F49:F49)+250</f>
        <v>250</v>
      </c>
      <c r="G48" s="46">
        <f>SUM(G49:G49)+250</f>
        <v>250</v>
      </c>
      <c r="H48" s="46">
        <f>SUM(H49:H49)+253</f>
        <v>253</v>
      </c>
      <c r="I48" s="14" t="s">
        <v>113</v>
      </c>
      <c r="J48" s="45" t="s">
        <v>21</v>
      </c>
      <c r="K48" s="45" t="s">
        <v>114</v>
      </c>
      <c r="L48" s="45" t="s">
        <v>114</v>
      </c>
      <c r="M48" s="71" t="s">
        <v>114</v>
      </c>
    </row>
    <row r="49" spans="1:13" ht="26.25" thickBot="1" x14ac:dyDescent="0.3">
      <c r="A49" s="152"/>
      <c r="B49" s="137"/>
      <c r="C49" s="137"/>
      <c r="D49" s="39"/>
      <c r="E49" s="39"/>
      <c r="F49" s="47"/>
      <c r="G49" s="47"/>
      <c r="H49" s="47"/>
      <c r="I49" s="17" t="s">
        <v>115</v>
      </c>
      <c r="J49" s="39" t="s">
        <v>21</v>
      </c>
      <c r="K49" s="39" t="s">
        <v>30</v>
      </c>
      <c r="L49" s="39" t="s">
        <v>56</v>
      </c>
      <c r="M49" s="72" t="s">
        <v>56</v>
      </c>
    </row>
    <row r="50" spans="1:13" ht="38.25" customHeight="1" x14ac:dyDescent="0.25">
      <c r="A50" s="150" t="s">
        <v>116</v>
      </c>
      <c r="B50" s="135" t="s">
        <v>117</v>
      </c>
      <c r="C50" s="135" t="s">
        <v>90</v>
      </c>
      <c r="D50" s="45" t="s">
        <v>28</v>
      </c>
      <c r="E50" s="45">
        <v>343.8</v>
      </c>
      <c r="F50" s="46">
        <f>SUM(F51:F56)+390</f>
        <v>390</v>
      </c>
      <c r="G50" s="46">
        <f>SUM(G51:G56)+391.8</f>
        <v>391.8</v>
      </c>
      <c r="H50" s="46">
        <f>SUM(H51:H56)+400.7</f>
        <v>400.7</v>
      </c>
      <c r="I50" s="14" t="s">
        <v>118</v>
      </c>
      <c r="J50" s="45" t="s">
        <v>21</v>
      </c>
      <c r="K50" s="45" t="s">
        <v>30</v>
      </c>
      <c r="L50" s="45" t="s">
        <v>30</v>
      </c>
      <c r="M50" s="71" t="s">
        <v>30</v>
      </c>
    </row>
    <row r="51" spans="1:13" ht="25.5" x14ac:dyDescent="0.25">
      <c r="A51" s="151"/>
      <c r="B51" s="136"/>
      <c r="C51" s="136"/>
      <c r="D51" s="39"/>
      <c r="E51" s="39"/>
      <c r="F51" s="47"/>
      <c r="G51" s="47"/>
      <c r="H51" s="47"/>
      <c r="I51" s="17" t="s">
        <v>119</v>
      </c>
      <c r="J51" s="39" t="s">
        <v>21</v>
      </c>
      <c r="K51" s="39" t="s">
        <v>120</v>
      </c>
      <c r="L51" s="39" t="s">
        <v>120</v>
      </c>
      <c r="M51" s="72" t="s">
        <v>120</v>
      </c>
    </row>
    <row r="52" spans="1:13" ht="25.5" x14ac:dyDescent="0.25">
      <c r="A52" s="151"/>
      <c r="B52" s="136"/>
      <c r="C52" s="136"/>
      <c r="D52" s="39"/>
      <c r="E52" s="39"/>
      <c r="F52" s="47"/>
      <c r="G52" s="47"/>
      <c r="H52" s="47"/>
      <c r="I52" s="17" t="s">
        <v>121</v>
      </c>
      <c r="J52" s="39" t="s">
        <v>21</v>
      </c>
      <c r="K52" s="39" t="s">
        <v>106</v>
      </c>
      <c r="L52" s="39" t="s">
        <v>122</v>
      </c>
      <c r="M52" s="72" t="s">
        <v>123</v>
      </c>
    </row>
    <row r="53" spans="1:13" ht="38.25" x14ac:dyDescent="0.25">
      <c r="A53" s="151"/>
      <c r="B53" s="136"/>
      <c r="C53" s="136"/>
      <c r="D53" s="39"/>
      <c r="E53" s="39"/>
      <c r="F53" s="47"/>
      <c r="G53" s="47"/>
      <c r="H53" s="47"/>
      <c r="I53" s="17" t="s">
        <v>124</v>
      </c>
      <c r="J53" s="39" t="s">
        <v>21</v>
      </c>
      <c r="K53" s="39" t="s">
        <v>125</v>
      </c>
      <c r="L53" s="39" t="s">
        <v>125</v>
      </c>
      <c r="M53" s="72" t="s">
        <v>125</v>
      </c>
    </row>
    <row r="54" spans="1:13" x14ac:dyDescent="0.25">
      <c r="A54" s="151"/>
      <c r="B54" s="136"/>
      <c r="C54" s="136"/>
      <c r="D54" s="39"/>
      <c r="E54" s="39"/>
      <c r="F54" s="47"/>
      <c r="G54" s="47"/>
      <c r="H54" s="47"/>
      <c r="I54" s="17" t="s">
        <v>126</v>
      </c>
      <c r="J54" s="39" t="s">
        <v>21</v>
      </c>
      <c r="K54" s="39" t="s">
        <v>67</v>
      </c>
      <c r="L54" s="39" t="s">
        <v>67</v>
      </c>
      <c r="M54" s="72" t="s">
        <v>67</v>
      </c>
    </row>
    <row r="55" spans="1:13" ht="25.5" x14ac:dyDescent="0.25">
      <c r="A55" s="151"/>
      <c r="B55" s="136"/>
      <c r="C55" s="136"/>
      <c r="D55" s="39"/>
      <c r="E55" s="39"/>
      <c r="F55" s="47"/>
      <c r="G55" s="47"/>
      <c r="H55" s="47"/>
      <c r="I55" s="17" t="s">
        <v>127</v>
      </c>
      <c r="J55" s="39" t="s">
        <v>21</v>
      </c>
      <c r="K55" s="39" t="s">
        <v>128</v>
      </c>
      <c r="L55" s="39" t="s">
        <v>128</v>
      </c>
      <c r="M55" s="72" t="s">
        <v>128</v>
      </c>
    </row>
    <row r="56" spans="1:13" ht="26.25" thickBot="1" x14ac:dyDescent="0.3">
      <c r="A56" s="152"/>
      <c r="B56" s="137"/>
      <c r="C56" s="137"/>
      <c r="D56" s="39"/>
      <c r="E56" s="39"/>
      <c r="F56" s="47"/>
      <c r="G56" s="47"/>
      <c r="H56" s="47"/>
      <c r="I56" s="17" t="s">
        <v>129</v>
      </c>
      <c r="J56" s="39" t="s">
        <v>21</v>
      </c>
      <c r="K56" s="39" t="s">
        <v>70</v>
      </c>
      <c r="L56" s="39" t="s">
        <v>130</v>
      </c>
      <c r="M56" s="72" t="s">
        <v>131</v>
      </c>
    </row>
    <row r="57" spans="1:13" ht="26.25" thickBot="1" x14ac:dyDescent="0.3">
      <c r="A57" s="9" t="s">
        <v>132</v>
      </c>
      <c r="B57" s="10" t="s">
        <v>133</v>
      </c>
      <c r="C57" s="11"/>
      <c r="D57" s="60"/>
      <c r="E57" s="44">
        <f>E58+E69+E70+E74+E75+E76+E77+E78</f>
        <v>7691.8999999999987</v>
      </c>
      <c r="F57" s="44">
        <f>F58+F69+F70+F74+F75+F76+F77+F78</f>
        <v>7070.0000000000009</v>
      </c>
      <c r="G57" s="44">
        <f>G58+G69+G70+G74+G75+G76+G77+G78</f>
        <v>4786.5999999999995</v>
      </c>
      <c r="H57" s="44">
        <f>H58+H69+H70+H74+H75+H76+H77+H78</f>
        <v>4698.7</v>
      </c>
      <c r="I57" s="178"/>
      <c r="J57" s="179"/>
      <c r="K57" s="179"/>
      <c r="L57" s="179"/>
      <c r="M57" s="180"/>
    </row>
    <row r="58" spans="1:13" x14ac:dyDescent="0.25">
      <c r="A58" s="150" t="s">
        <v>134</v>
      </c>
      <c r="B58" s="135" t="s">
        <v>135</v>
      </c>
      <c r="C58" s="135" t="s">
        <v>90</v>
      </c>
      <c r="D58" s="45"/>
      <c r="E58" s="46">
        <f>SUM(E59:E68)</f>
        <v>3936.7999999999997</v>
      </c>
      <c r="F58" s="46">
        <f>SUM(F59:F68)</f>
        <v>4554.6000000000004</v>
      </c>
      <c r="G58" s="46">
        <f>SUM(G59:G68)</f>
        <v>4586.5999999999995</v>
      </c>
      <c r="H58" s="46">
        <f>SUM(H59:H68)</f>
        <v>4698.7</v>
      </c>
      <c r="I58" s="14" t="s">
        <v>136</v>
      </c>
      <c r="J58" s="45" t="s">
        <v>21</v>
      </c>
      <c r="K58" s="45" t="s">
        <v>137</v>
      </c>
      <c r="L58" s="45" t="s">
        <v>138</v>
      </c>
      <c r="M58" s="71" t="s">
        <v>138</v>
      </c>
    </row>
    <row r="59" spans="1:13" x14ac:dyDescent="0.25">
      <c r="A59" s="151"/>
      <c r="B59" s="136"/>
      <c r="C59" s="136"/>
      <c r="D59" s="39" t="s">
        <v>139</v>
      </c>
      <c r="E59" s="39">
        <v>140.69999999999999</v>
      </c>
      <c r="F59" s="47">
        <v>181.1</v>
      </c>
      <c r="G59" s="47">
        <v>204.7</v>
      </c>
      <c r="H59" s="47">
        <v>216.5</v>
      </c>
      <c r="I59" s="17" t="s">
        <v>140</v>
      </c>
      <c r="J59" s="39" t="s">
        <v>21</v>
      </c>
      <c r="K59" s="39" t="s">
        <v>141</v>
      </c>
      <c r="L59" s="39" t="s">
        <v>142</v>
      </c>
      <c r="M59" s="72" t="s">
        <v>143</v>
      </c>
    </row>
    <row r="60" spans="1:13" x14ac:dyDescent="0.25">
      <c r="A60" s="151"/>
      <c r="B60" s="136"/>
      <c r="C60" s="136"/>
      <c r="D60" s="39" t="s">
        <v>28</v>
      </c>
      <c r="E60" s="39">
        <v>3357.7</v>
      </c>
      <c r="F60" s="47">
        <v>4033.5</v>
      </c>
      <c r="G60" s="47">
        <v>4061</v>
      </c>
      <c r="H60" s="47">
        <v>4150.3999999999996</v>
      </c>
      <c r="I60" s="17" t="s">
        <v>144</v>
      </c>
      <c r="J60" s="39" t="s">
        <v>21</v>
      </c>
      <c r="K60" s="39" t="s">
        <v>145</v>
      </c>
      <c r="L60" s="39" t="s">
        <v>146</v>
      </c>
      <c r="M60" s="72" t="s">
        <v>147</v>
      </c>
    </row>
    <row r="61" spans="1:13" x14ac:dyDescent="0.25">
      <c r="A61" s="151"/>
      <c r="B61" s="136"/>
      <c r="C61" s="136"/>
      <c r="D61" s="39" t="s">
        <v>148</v>
      </c>
      <c r="E61" s="39">
        <v>83.7</v>
      </c>
      <c r="F61" s="47">
        <v>40</v>
      </c>
      <c r="G61" s="47">
        <v>40.700000000000003</v>
      </c>
      <c r="H61" s="47">
        <v>41.6</v>
      </c>
      <c r="I61" s="17" t="s">
        <v>149</v>
      </c>
      <c r="J61" s="39" t="s">
        <v>21</v>
      </c>
      <c r="K61" s="39" t="s">
        <v>150</v>
      </c>
      <c r="L61" s="39" t="s">
        <v>151</v>
      </c>
      <c r="M61" s="72" t="s">
        <v>151</v>
      </c>
    </row>
    <row r="62" spans="1:13" ht="38.25" x14ac:dyDescent="0.25">
      <c r="A62" s="151"/>
      <c r="B62" s="136"/>
      <c r="C62" s="136"/>
      <c r="D62" s="39" t="s">
        <v>152</v>
      </c>
      <c r="E62" s="53">
        <v>115</v>
      </c>
      <c r="F62" s="47">
        <v>144.19999999999999</v>
      </c>
      <c r="G62" s="47">
        <v>121.9</v>
      </c>
      <c r="H62" s="47">
        <v>131.4</v>
      </c>
      <c r="I62" s="17" t="s">
        <v>153</v>
      </c>
      <c r="J62" s="39" t="s">
        <v>21</v>
      </c>
      <c r="K62" s="39" t="s">
        <v>154</v>
      </c>
      <c r="L62" s="39" t="s">
        <v>155</v>
      </c>
      <c r="M62" s="72" t="s">
        <v>156</v>
      </c>
    </row>
    <row r="63" spans="1:13" ht="25.5" x14ac:dyDescent="0.25">
      <c r="A63" s="151"/>
      <c r="B63" s="136"/>
      <c r="C63" s="136"/>
      <c r="D63" s="39" t="s">
        <v>157</v>
      </c>
      <c r="E63" s="39">
        <v>190.3</v>
      </c>
      <c r="F63" s="47">
        <v>154.30000000000001</v>
      </c>
      <c r="G63" s="47">
        <v>156.80000000000001</v>
      </c>
      <c r="H63" s="47">
        <v>158.80000000000001</v>
      </c>
      <c r="I63" s="17" t="s">
        <v>158</v>
      </c>
      <c r="J63" s="39" t="s">
        <v>21</v>
      </c>
      <c r="K63" s="39" t="s">
        <v>159</v>
      </c>
      <c r="L63" s="39" t="s">
        <v>160</v>
      </c>
      <c r="M63" s="72" t="s">
        <v>161</v>
      </c>
    </row>
    <row r="64" spans="1:13" ht="25.5" x14ac:dyDescent="0.25">
      <c r="A64" s="151"/>
      <c r="B64" s="136"/>
      <c r="C64" s="136"/>
      <c r="D64" s="39" t="s">
        <v>162</v>
      </c>
      <c r="E64" s="39">
        <v>1.5</v>
      </c>
      <c r="F64" s="47">
        <v>1.5</v>
      </c>
      <c r="G64" s="47">
        <v>1.5</v>
      </c>
      <c r="H64" s="47"/>
      <c r="I64" s="17" t="s">
        <v>163</v>
      </c>
      <c r="J64" s="39" t="s">
        <v>21</v>
      </c>
      <c r="K64" s="39" t="s">
        <v>164</v>
      </c>
      <c r="L64" s="39" t="s">
        <v>165</v>
      </c>
      <c r="M64" s="72" t="s">
        <v>166</v>
      </c>
    </row>
    <row r="65" spans="1:13" ht="38.25" x14ac:dyDescent="0.25">
      <c r="A65" s="151"/>
      <c r="B65" s="136"/>
      <c r="C65" s="136"/>
      <c r="D65" s="39" t="s">
        <v>190</v>
      </c>
      <c r="E65" s="39">
        <v>47.9</v>
      </c>
      <c r="F65" s="47"/>
      <c r="G65" s="47"/>
      <c r="H65" s="47"/>
      <c r="I65" s="17" t="s">
        <v>167</v>
      </c>
      <c r="J65" s="39" t="s">
        <v>21</v>
      </c>
      <c r="K65" s="39" t="s">
        <v>168</v>
      </c>
      <c r="L65" s="39" t="s">
        <v>169</v>
      </c>
      <c r="M65" s="72" t="s">
        <v>170</v>
      </c>
    </row>
    <row r="66" spans="1:13" ht="25.5" x14ac:dyDescent="0.25">
      <c r="A66" s="151"/>
      <c r="B66" s="136"/>
      <c r="C66" s="136"/>
      <c r="D66" s="39"/>
      <c r="E66" s="39"/>
      <c r="F66" s="47"/>
      <c r="G66" s="47"/>
      <c r="H66" s="47"/>
      <c r="I66" s="17" t="s">
        <v>171</v>
      </c>
      <c r="J66" s="39" t="s">
        <v>21</v>
      </c>
      <c r="K66" s="39" t="s">
        <v>172</v>
      </c>
      <c r="L66" s="39" t="s">
        <v>173</v>
      </c>
      <c r="M66" s="72" t="s">
        <v>174</v>
      </c>
    </row>
    <row r="67" spans="1:13" x14ac:dyDescent="0.25">
      <c r="A67" s="151"/>
      <c r="B67" s="136"/>
      <c r="C67" s="136"/>
      <c r="D67" s="39"/>
      <c r="E67" s="39"/>
      <c r="F67" s="47"/>
      <c r="G67" s="47"/>
      <c r="H67" s="47"/>
      <c r="I67" s="17" t="s">
        <v>175</v>
      </c>
      <c r="J67" s="39" t="s">
        <v>21</v>
      </c>
      <c r="K67" s="39" t="s">
        <v>176</v>
      </c>
      <c r="L67" s="39" t="s">
        <v>177</v>
      </c>
      <c r="M67" s="72" t="s">
        <v>177</v>
      </c>
    </row>
    <row r="68" spans="1:13" ht="26.25" thickBot="1" x14ac:dyDescent="0.3">
      <c r="A68" s="152"/>
      <c r="B68" s="137"/>
      <c r="C68" s="137"/>
      <c r="D68" s="39"/>
      <c r="E68" s="39"/>
      <c r="F68" s="47"/>
      <c r="G68" s="47"/>
      <c r="H68" s="47"/>
      <c r="I68" s="17" t="s">
        <v>178</v>
      </c>
      <c r="J68" s="39" t="s">
        <v>21</v>
      </c>
      <c r="K68" s="39" t="s">
        <v>179</v>
      </c>
      <c r="L68" s="39" t="s">
        <v>180</v>
      </c>
      <c r="M68" s="72" t="s">
        <v>181</v>
      </c>
    </row>
    <row r="69" spans="1:13" ht="0.75" hidden="1" customHeight="1" thickBot="1" x14ac:dyDescent="0.3">
      <c r="A69" s="12" t="s">
        <v>182</v>
      </c>
      <c r="B69" s="13" t="s">
        <v>183</v>
      </c>
      <c r="C69" s="14" t="s">
        <v>184</v>
      </c>
      <c r="D69" s="45" t="s">
        <v>190</v>
      </c>
      <c r="E69" s="45">
        <v>0.5</v>
      </c>
      <c r="F69" s="55"/>
      <c r="G69" s="55"/>
      <c r="H69" s="55"/>
      <c r="I69" s="14"/>
      <c r="J69" s="45"/>
      <c r="K69" s="45"/>
      <c r="L69" s="45"/>
      <c r="M69" s="71"/>
    </row>
    <row r="70" spans="1:13" ht="38.25" customHeight="1" x14ac:dyDescent="0.25">
      <c r="A70" s="150" t="s">
        <v>185</v>
      </c>
      <c r="B70" s="135" t="s">
        <v>186</v>
      </c>
      <c r="C70" s="135" t="s">
        <v>187</v>
      </c>
      <c r="D70" s="45"/>
      <c r="E70" s="46">
        <f>SUM(E71:E73)</f>
        <v>2563.8999999999996</v>
      </c>
      <c r="F70" s="46">
        <f t="shared" ref="F70" si="5">SUM(F71:F73)</f>
        <v>1250.0999999999999</v>
      </c>
      <c r="G70" s="46"/>
      <c r="H70" s="46"/>
      <c r="I70" s="135" t="s">
        <v>188</v>
      </c>
      <c r="J70" s="138" t="s">
        <v>94</v>
      </c>
      <c r="K70" s="138" t="s">
        <v>189</v>
      </c>
      <c r="L70" s="138"/>
      <c r="M70" s="141"/>
    </row>
    <row r="71" spans="1:13" x14ac:dyDescent="0.25">
      <c r="A71" s="151"/>
      <c r="B71" s="136"/>
      <c r="C71" s="136"/>
      <c r="D71" s="39" t="s">
        <v>28</v>
      </c>
      <c r="E71" s="39">
        <v>315.8</v>
      </c>
      <c r="F71" s="47">
        <v>750</v>
      </c>
      <c r="G71" s="47"/>
      <c r="H71" s="47"/>
      <c r="I71" s="136"/>
      <c r="J71" s="139"/>
      <c r="K71" s="139"/>
      <c r="L71" s="139"/>
      <c r="M71" s="142"/>
    </row>
    <row r="72" spans="1:13" x14ac:dyDescent="0.25">
      <c r="A72" s="151"/>
      <c r="B72" s="136"/>
      <c r="C72" s="136"/>
      <c r="D72" s="39" t="s">
        <v>190</v>
      </c>
      <c r="E72" s="39">
        <v>1398.1</v>
      </c>
      <c r="F72" s="47">
        <v>500.1</v>
      </c>
      <c r="G72" s="47"/>
      <c r="H72" s="47"/>
      <c r="I72" s="136"/>
      <c r="J72" s="139"/>
      <c r="K72" s="139"/>
      <c r="L72" s="139"/>
      <c r="M72" s="142"/>
    </row>
    <row r="73" spans="1:13" ht="15.75" thickBot="1" x14ac:dyDescent="0.3">
      <c r="A73" s="152"/>
      <c r="B73" s="137"/>
      <c r="C73" s="137"/>
      <c r="D73" s="51" t="s">
        <v>162</v>
      </c>
      <c r="E73" s="48">
        <v>850</v>
      </c>
      <c r="F73" s="52"/>
      <c r="G73" s="52"/>
      <c r="H73" s="52"/>
      <c r="I73" s="137"/>
      <c r="J73" s="140"/>
      <c r="K73" s="140"/>
      <c r="L73" s="140"/>
      <c r="M73" s="143"/>
    </row>
    <row r="74" spans="1:13" ht="51.75" thickBot="1" x14ac:dyDescent="0.3">
      <c r="A74" s="12" t="s">
        <v>191</v>
      </c>
      <c r="B74" s="13" t="s">
        <v>192</v>
      </c>
      <c r="C74" s="14" t="s">
        <v>193</v>
      </c>
      <c r="D74" s="45" t="s">
        <v>28</v>
      </c>
      <c r="E74" s="45"/>
      <c r="F74" s="55">
        <v>488.8</v>
      </c>
      <c r="G74" s="55">
        <v>200</v>
      </c>
      <c r="H74" s="55"/>
      <c r="I74" s="14" t="s">
        <v>188</v>
      </c>
      <c r="J74" s="45" t="s">
        <v>94</v>
      </c>
      <c r="K74" s="45" t="s">
        <v>50</v>
      </c>
      <c r="L74" s="45" t="s">
        <v>189</v>
      </c>
      <c r="M74" s="71"/>
    </row>
    <row r="75" spans="1:13" ht="25.5" x14ac:dyDescent="0.25">
      <c r="A75" s="12" t="s">
        <v>194</v>
      </c>
      <c r="B75" s="13" t="s">
        <v>195</v>
      </c>
      <c r="C75" s="14" t="s">
        <v>196</v>
      </c>
      <c r="D75" s="45" t="s">
        <v>28</v>
      </c>
      <c r="E75" s="45"/>
      <c r="F75" s="55">
        <v>227.1</v>
      </c>
      <c r="G75" s="55"/>
      <c r="H75" s="55"/>
      <c r="I75" s="14" t="s">
        <v>188</v>
      </c>
      <c r="J75" s="45" t="s">
        <v>94</v>
      </c>
      <c r="K75" s="45" t="s">
        <v>189</v>
      </c>
      <c r="L75" s="45"/>
      <c r="M75" s="71"/>
    </row>
    <row r="76" spans="1:13" ht="48.75" customHeight="1" x14ac:dyDescent="0.25">
      <c r="A76" s="12" t="s">
        <v>197</v>
      </c>
      <c r="B76" s="13" t="s">
        <v>198</v>
      </c>
      <c r="C76" s="14" t="s">
        <v>196</v>
      </c>
      <c r="D76" s="45" t="s">
        <v>28</v>
      </c>
      <c r="E76" s="45"/>
      <c r="F76" s="55">
        <v>549.4</v>
      </c>
      <c r="G76" s="55"/>
      <c r="H76" s="55"/>
      <c r="I76" s="14" t="s">
        <v>188</v>
      </c>
      <c r="J76" s="45" t="s">
        <v>94</v>
      </c>
      <c r="K76" s="45" t="s">
        <v>189</v>
      </c>
      <c r="L76" s="45"/>
      <c r="M76" s="71"/>
    </row>
    <row r="77" spans="1:13" ht="2.25" hidden="1" customHeight="1" thickBot="1" x14ac:dyDescent="0.3">
      <c r="A77" s="12" t="s">
        <v>199</v>
      </c>
      <c r="B77" s="13" t="s">
        <v>200</v>
      </c>
      <c r="C77" s="14" t="s">
        <v>201</v>
      </c>
      <c r="D77" s="45" t="s">
        <v>28</v>
      </c>
      <c r="E77" s="54">
        <v>50</v>
      </c>
      <c r="F77" s="55">
        <v>0</v>
      </c>
      <c r="G77" s="55">
        <v>0</v>
      </c>
      <c r="H77" s="55">
        <v>0</v>
      </c>
      <c r="I77" s="14"/>
      <c r="J77" s="45"/>
      <c r="K77" s="45"/>
      <c r="L77" s="45"/>
      <c r="M77" s="71"/>
    </row>
    <row r="78" spans="1:13" ht="39" hidden="1" thickBot="1" x14ac:dyDescent="0.3">
      <c r="A78" s="31" t="s">
        <v>202</v>
      </c>
      <c r="B78" s="32" t="s">
        <v>203</v>
      </c>
      <c r="C78" s="33" t="s">
        <v>204</v>
      </c>
      <c r="D78" s="57"/>
      <c r="E78" s="56">
        <f>SUM(E79:E80)</f>
        <v>1140.7</v>
      </c>
      <c r="F78" s="56">
        <f t="shared" ref="F78:H78" si="6">SUM(F79:F80)</f>
        <v>0</v>
      </c>
      <c r="G78" s="56">
        <f t="shared" si="6"/>
        <v>0</v>
      </c>
      <c r="H78" s="56">
        <f t="shared" si="6"/>
        <v>0</v>
      </c>
      <c r="I78" s="33"/>
      <c r="J78" s="57"/>
      <c r="K78" s="57"/>
      <c r="L78" s="57"/>
      <c r="M78" s="77"/>
    </row>
    <row r="79" spans="1:13" ht="15.75" hidden="1" thickBot="1" x14ac:dyDescent="0.3">
      <c r="A79" s="15"/>
      <c r="B79" s="16"/>
      <c r="C79" s="17"/>
      <c r="D79" s="39" t="s">
        <v>28</v>
      </c>
      <c r="E79" s="39">
        <v>783.5</v>
      </c>
      <c r="F79" s="47"/>
      <c r="G79" s="47"/>
      <c r="H79" s="47"/>
      <c r="I79" s="17"/>
      <c r="J79" s="39"/>
      <c r="K79" s="39"/>
      <c r="L79" s="39"/>
      <c r="M79" s="72"/>
    </row>
    <row r="80" spans="1:13" ht="30" customHeight="1" thickBot="1" x14ac:dyDescent="0.3">
      <c r="A80" s="34"/>
      <c r="B80" s="35"/>
      <c r="C80" s="30"/>
      <c r="D80" s="51" t="s">
        <v>162</v>
      </c>
      <c r="E80" s="51">
        <v>357.2</v>
      </c>
      <c r="F80" s="52"/>
      <c r="G80" s="52"/>
      <c r="H80" s="52"/>
      <c r="I80" s="30"/>
      <c r="J80" s="51"/>
      <c r="K80" s="51"/>
      <c r="L80" s="51"/>
      <c r="M80" s="76"/>
    </row>
    <row r="81" spans="1:13" ht="38.25" x14ac:dyDescent="0.25">
      <c r="A81" s="165" t="s">
        <v>205</v>
      </c>
      <c r="B81" s="167" t="s">
        <v>206</v>
      </c>
      <c r="C81" s="169"/>
      <c r="D81" s="169"/>
      <c r="E81" s="162">
        <f>E82+E83+E95</f>
        <v>464.59999999999997</v>
      </c>
      <c r="F81" s="162">
        <f>F82+F83+F95</f>
        <v>325.40000000000003</v>
      </c>
      <c r="G81" s="162">
        <f>G82+G83+G95</f>
        <v>27.6</v>
      </c>
      <c r="H81" s="162">
        <f>H82+H83+H95</f>
        <v>29</v>
      </c>
      <c r="I81" s="8" t="s">
        <v>207</v>
      </c>
      <c r="J81" s="38" t="s">
        <v>21</v>
      </c>
      <c r="K81" s="38" t="s">
        <v>208</v>
      </c>
      <c r="L81" s="38" t="s">
        <v>208</v>
      </c>
      <c r="M81" s="74" t="s">
        <v>208</v>
      </c>
    </row>
    <row r="82" spans="1:13" ht="26.25" thickBot="1" x14ac:dyDescent="0.3">
      <c r="A82" s="166"/>
      <c r="B82" s="168"/>
      <c r="C82" s="170"/>
      <c r="D82" s="170"/>
      <c r="E82" s="164"/>
      <c r="F82" s="164"/>
      <c r="G82" s="164"/>
      <c r="H82" s="164"/>
      <c r="I82" s="40" t="s">
        <v>209</v>
      </c>
      <c r="J82" s="69" t="s">
        <v>94</v>
      </c>
      <c r="K82" s="69" t="s">
        <v>67</v>
      </c>
      <c r="L82" s="69" t="s">
        <v>67</v>
      </c>
      <c r="M82" s="78" t="s">
        <v>67</v>
      </c>
    </row>
    <row r="83" spans="1:13" ht="15.75" thickBot="1" x14ac:dyDescent="0.3">
      <c r="A83" s="9" t="s">
        <v>210</v>
      </c>
      <c r="B83" s="10" t="s">
        <v>211</v>
      </c>
      <c r="C83" s="11"/>
      <c r="D83" s="60"/>
      <c r="E83" s="44">
        <f>E84+E88+E91+E94</f>
        <v>453.09999999999997</v>
      </c>
      <c r="F83" s="44">
        <f>F84+F88+F91+F94</f>
        <v>313.90000000000003</v>
      </c>
      <c r="G83" s="44">
        <f>G84+G88+G91+G94</f>
        <v>16.100000000000001</v>
      </c>
      <c r="H83" s="44">
        <f>H84+H88+H91+H94</f>
        <v>17.5</v>
      </c>
      <c r="I83" s="178"/>
      <c r="J83" s="179"/>
      <c r="K83" s="179"/>
      <c r="L83" s="179"/>
      <c r="M83" s="180"/>
    </row>
    <row r="84" spans="1:13" ht="51" customHeight="1" x14ac:dyDescent="0.25">
      <c r="A84" s="150" t="s">
        <v>212</v>
      </c>
      <c r="B84" s="135" t="s">
        <v>213</v>
      </c>
      <c r="C84" s="135" t="s">
        <v>214</v>
      </c>
      <c r="D84" s="45"/>
      <c r="E84" s="46">
        <f>SUM(E85:E87)</f>
        <v>164.2</v>
      </c>
      <c r="F84" s="46">
        <f>SUM(F85:F87)</f>
        <v>141</v>
      </c>
      <c r="G84" s="46"/>
      <c r="H84" s="46"/>
      <c r="I84" s="135" t="s">
        <v>215</v>
      </c>
      <c r="J84" s="138" t="s">
        <v>21</v>
      </c>
      <c r="K84" s="138" t="s">
        <v>56</v>
      </c>
      <c r="L84" s="138"/>
      <c r="M84" s="141"/>
    </row>
    <row r="85" spans="1:13" x14ac:dyDescent="0.25">
      <c r="A85" s="151"/>
      <c r="B85" s="136"/>
      <c r="C85" s="136"/>
      <c r="D85" s="39" t="s">
        <v>190</v>
      </c>
      <c r="E85" s="39"/>
      <c r="F85" s="47">
        <v>11.2</v>
      </c>
      <c r="G85" s="47"/>
      <c r="H85" s="47"/>
      <c r="I85" s="136"/>
      <c r="J85" s="139"/>
      <c r="K85" s="139"/>
      <c r="L85" s="139"/>
      <c r="M85" s="142"/>
    </row>
    <row r="86" spans="1:13" x14ac:dyDescent="0.25">
      <c r="A86" s="151"/>
      <c r="B86" s="136"/>
      <c r="C86" s="136"/>
      <c r="D86" s="39" t="s">
        <v>216</v>
      </c>
      <c r="E86" s="39">
        <v>160.6</v>
      </c>
      <c r="F86" s="47">
        <v>119.7</v>
      </c>
      <c r="G86" s="47"/>
      <c r="H86" s="47"/>
      <c r="I86" s="136"/>
      <c r="J86" s="139"/>
      <c r="K86" s="139"/>
      <c r="L86" s="139"/>
      <c r="M86" s="142"/>
    </row>
    <row r="87" spans="1:13" ht="15.75" thickBot="1" x14ac:dyDescent="0.3">
      <c r="A87" s="152"/>
      <c r="B87" s="137"/>
      <c r="C87" s="137"/>
      <c r="D87" s="39" t="s">
        <v>28</v>
      </c>
      <c r="E87" s="39">
        <v>3.6</v>
      </c>
      <c r="F87" s="47">
        <v>10.1</v>
      </c>
      <c r="G87" s="47"/>
      <c r="H87" s="47"/>
      <c r="I87" s="137"/>
      <c r="J87" s="140"/>
      <c r="K87" s="140"/>
      <c r="L87" s="140"/>
      <c r="M87" s="143"/>
    </row>
    <row r="88" spans="1:13" ht="51" customHeight="1" x14ac:dyDescent="0.25">
      <c r="A88" s="150" t="s">
        <v>217</v>
      </c>
      <c r="B88" s="135" t="s">
        <v>218</v>
      </c>
      <c r="C88" s="135" t="s">
        <v>219</v>
      </c>
      <c r="D88" s="57"/>
      <c r="E88" s="57">
        <f>SUM(E89:E90)</f>
        <v>104.6</v>
      </c>
      <c r="F88" s="57">
        <f t="shared" ref="F88" si="7">SUM(F89:F90)</f>
        <v>61.6</v>
      </c>
      <c r="G88" s="57"/>
      <c r="H88" s="57"/>
      <c r="I88" s="135" t="s">
        <v>220</v>
      </c>
      <c r="J88" s="135" t="s">
        <v>94</v>
      </c>
      <c r="K88" s="138" t="s">
        <v>189</v>
      </c>
      <c r="L88" s="135"/>
      <c r="M88" s="174"/>
    </row>
    <row r="89" spans="1:13" x14ac:dyDescent="0.25">
      <c r="A89" s="151"/>
      <c r="B89" s="136"/>
      <c r="C89" s="136"/>
      <c r="D89" s="39" t="s">
        <v>28</v>
      </c>
      <c r="E89" s="39">
        <v>85.5</v>
      </c>
      <c r="F89" s="47">
        <v>61.6</v>
      </c>
      <c r="G89" s="47"/>
      <c r="H89" s="47"/>
      <c r="I89" s="136"/>
      <c r="J89" s="136"/>
      <c r="K89" s="139"/>
      <c r="L89" s="136"/>
      <c r="M89" s="175"/>
    </row>
    <row r="90" spans="1:13" ht="15.75" thickBot="1" x14ac:dyDescent="0.3">
      <c r="A90" s="152"/>
      <c r="B90" s="137"/>
      <c r="C90" s="137"/>
      <c r="D90" s="51" t="s">
        <v>190</v>
      </c>
      <c r="E90" s="51">
        <v>19.100000000000001</v>
      </c>
      <c r="F90" s="52"/>
      <c r="G90" s="52"/>
      <c r="H90" s="52"/>
      <c r="I90" s="137"/>
      <c r="J90" s="137"/>
      <c r="K90" s="140"/>
      <c r="L90" s="137"/>
      <c r="M90" s="176"/>
    </row>
    <row r="91" spans="1:13" ht="51" customHeight="1" x14ac:dyDescent="0.25">
      <c r="A91" s="150" t="s">
        <v>221</v>
      </c>
      <c r="B91" s="135" t="s">
        <v>222</v>
      </c>
      <c r="C91" s="135" t="s">
        <v>219</v>
      </c>
      <c r="D91" s="57"/>
      <c r="E91" s="57">
        <f>SUM(E92:E93)</f>
        <v>177.3</v>
      </c>
      <c r="F91" s="57">
        <f t="shared" ref="F91" si="8">SUM(F92:F93)</f>
        <v>85.5</v>
      </c>
      <c r="G91" s="57"/>
      <c r="H91" s="57"/>
      <c r="I91" s="135" t="s">
        <v>220</v>
      </c>
      <c r="J91" s="135" t="s">
        <v>94</v>
      </c>
      <c r="K91" s="138" t="s">
        <v>189</v>
      </c>
      <c r="L91" s="135"/>
      <c r="M91" s="174"/>
    </row>
    <row r="92" spans="1:13" x14ac:dyDescent="0.25">
      <c r="A92" s="151"/>
      <c r="B92" s="136"/>
      <c r="C92" s="136"/>
      <c r="D92" s="39" t="s">
        <v>28</v>
      </c>
      <c r="E92" s="39">
        <v>162.80000000000001</v>
      </c>
      <c r="F92" s="47">
        <v>85.5</v>
      </c>
      <c r="G92" s="47"/>
      <c r="H92" s="47"/>
      <c r="I92" s="136"/>
      <c r="J92" s="136"/>
      <c r="K92" s="139"/>
      <c r="L92" s="136"/>
      <c r="M92" s="175"/>
    </row>
    <row r="93" spans="1:13" ht="15.75" thickBot="1" x14ac:dyDescent="0.3">
      <c r="A93" s="152"/>
      <c r="B93" s="137"/>
      <c r="C93" s="137"/>
      <c r="D93" s="51" t="s">
        <v>190</v>
      </c>
      <c r="E93" s="51">
        <v>14.5</v>
      </c>
      <c r="F93" s="52"/>
      <c r="G93" s="52"/>
      <c r="H93" s="52"/>
      <c r="I93" s="137"/>
      <c r="J93" s="137"/>
      <c r="K93" s="140"/>
      <c r="L93" s="137"/>
      <c r="M93" s="176"/>
    </row>
    <row r="94" spans="1:13" ht="39" thickBot="1" x14ac:dyDescent="0.3">
      <c r="A94" s="12" t="s">
        <v>223</v>
      </c>
      <c r="B94" s="13" t="s">
        <v>224</v>
      </c>
      <c r="C94" s="14" t="s">
        <v>225</v>
      </c>
      <c r="D94" s="45" t="s">
        <v>28</v>
      </c>
      <c r="E94" s="58">
        <v>7</v>
      </c>
      <c r="F94" s="55">
        <v>25.8</v>
      </c>
      <c r="G94" s="55">
        <v>16.100000000000001</v>
      </c>
      <c r="H94" s="55">
        <v>17.5</v>
      </c>
      <c r="I94" s="14" t="s">
        <v>226</v>
      </c>
      <c r="J94" s="45" t="s">
        <v>21</v>
      </c>
      <c r="K94" s="45" t="s">
        <v>208</v>
      </c>
      <c r="L94" s="45" t="s">
        <v>208</v>
      </c>
      <c r="M94" s="71" t="s">
        <v>208</v>
      </c>
    </row>
    <row r="95" spans="1:13" ht="26.25" thickBot="1" x14ac:dyDescent="0.3">
      <c r="A95" s="9" t="s">
        <v>227</v>
      </c>
      <c r="B95" s="10" t="s">
        <v>228</v>
      </c>
      <c r="C95" s="11" t="s">
        <v>90</v>
      </c>
      <c r="D95" s="60"/>
      <c r="E95" s="44">
        <f>SUM(E96:E97)</f>
        <v>11.5</v>
      </c>
      <c r="F95" s="44">
        <f>SUM(F96:F97)</f>
        <v>11.5</v>
      </c>
      <c r="G95" s="44">
        <f>SUM(G96:G97)</f>
        <v>11.5</v>
      </c>
      <c r="H95" s="44">
        <f>SUM(H96:H97)</f>
        <v>11.5</v>
      </c>
      <c r="I95" s="178"/>
      <c r="J95" s="179"/>
      <c r="K95" s="179"/>
      <c r="L95" s="179"/>
      <c r="M95" s="180"/>
    </row>
    <row r="96" spans="1:13" ht="39" thickBot="1" x14ac:dyDescent="0.3">
      <c r="A96" s="12" t="s">
        <v>229</v>
      </c>
      <c r="B96" s="13" t="s">
        <v>230</v>
      </c>
      <c r="C96" s="14" t="s">
        <v>225</v>
      </c>
      <c r="D96" s="45" t="s">
        <v>28</v>
      </c>
      <c r="E96" s="45">
        <v>1.5</v>
      </c>
      <c r="F96" s="55">
        <v>1.5</v>
      </c>
      <c r="G96" s="55">
        <v>1.5</v>
      </c>
      <c r="H96" s="55">
        <v>1.5</v>
      </c>
      <c r="I96" s="14" t="s">
        <v>231</v>
      </c>
      <c r="J96" s="45" t="s">
        <v>21</v>
      </c>
      <c r="K96" s="45" t="s">
        <v>30</v>
      </c>
      <c r="L96" s="45" t="s">
        <v>30</v>
      </c>
      <c r="M96" s="71" t="s">
        <v>30</v>
      </c>
    </row>
    <row r="97" spans="1:13" ht="39" thickBot="1" x14ac:dyDescent="0.3">
      <c r="A97" s="12" t="s">
        <v>232</v>
      </c>
      <c r="B97" s="13" t="s">
        <v>233</v>
      </c>
      <c r="C97" s="14" t="s">
        <v>225</v>
      </c>
      <c r="D97" s="45" t="s">
        <v>28</v>
      </c>
      <c r="E97" s="54">
        <v>10</v>
      </c>
      <c r="F97" s="55">
        <v>10</v>
      </c>
      <c r="G97" s="55">
        <v>10</v>
      </c>
      <c r="H97" s="55">
        <v>10</v>
      </c>
      <c r="I97" s="14" t="s">
        <v>234</v>
      </c>
      <c r="J97" s="45" t="s">
        <v>21</v>
      </c>
      <c r="K97" s="45" t="s">
        <v>30</v>
      </c>
      <c r="L97" s="45" t="s">
        <v>30</v>
      </c>
      <c r="M97" s="71" t="s">
        <v>30</v>
      </c>
    </row>
    <row r="98" spans="1:13" ht="26.25" thickBot="1" x14ac:dyDescent="0.3">
      <c r="A98" s="3" t="s">
        <v>235</v>
      </c>
      <c r="B98" s="4" t="s">
        <v>236</v>
      </c>
      <c r="C98" s="5" t="s">
        <v>237</v>
      </c>
      <c r="D98" s="59"/>
      <c r="E98" s="42">
        <f>SUM(E99:E99)</f>
        <v>6865.0000000000009</v>
      </c>
      <c r="F98" s="42">
        <f>SUM(F99:F99)</f>
        <v>5398.0999999999995</v>
      </c>
      <c r="G98" s="42">
        <f>SUM(G99:G99)</f>
        <v>4971.3</v>
      </c>
      <c r="H98" s="42">
        <f>SUM(H99:H99)</f>
        <v>4219</v>
      </c>
      <c r="I98" s="181"/>
      <c r="J98" s="182"/>
      <c r="K98" s="182"/>
      <c r="L98" s="182"/>
      <c r="M98" s="183"/>
    </row>
    <row r="99" spans="1:13" ht="39" thickBot="1" x14ac:dyDescent="0.3">
      <c r="A99" s="6" t="s">
        <v>238</v>
      </c>
      <c r="B99" s="7" t="s">
        <v>239</v>
      </c>
      <c r="C99" s="8"/>
      <c r="D99" s="38"/>
      <c r="E99" s="43">
        <f>E100+E110+E118+E141+E147</f>
        <v>6865.0000000000009</v>
      </c>
      <c r="F99" s="43">
        <f>F100+F110+F118+F141+F147</f>
        <v>5398.0999999999995</v>
      </c>
      <c r="G99" s="43">
        <f>G100+G110+G118+G141+G147</f>
        <v>4971.3</v>
      </c>
      <c r="H99" s="43">
        <f>H100+H110+H118+H141+H147</f>
        <v>4219</v>
      </c>
      <c r="I99" s="8" t="s">
        <v>240</v>
      </c>
      <c r="J99" s="38" t="s">
        <v>241</v>
      </c>
      <c r="K99" s="38" t="s">
        <v>242</v>
      </c>
      <c r="L99" s="38" t="s">
        <v>242</v>
      </c>
      <c r="M99" s="74" t="s">
        <v>242</v>
      </c>
    </row>
    <row r="100" spans="1:13" ht="26.25" thickBot="1" x14ac:dyDescent="0.3">
      <c r="A100" s="9" t="s">
        <v>243</v>
      </c>
      <c r="B100" s="10" t="s">
        <v>244</v>
      </c>
      <c r="C100" s="11"/>
      <c r="D100" s="60"/>
      <c r="E100" s="44">
        <f>E101+E102+E104+E107</f>
        <v>4287.2000000000007</v>
      </c>
      <c r="F100" s="44">
        <f>F101+F102+F104+F107</f>
        <v>4366.3999999999996</v>
      </c>
      <c r="G100" s="44">
        <f>G101+G102+G104+G107</f>
        <v>3750</v>
      </c>
      <c r="H100" s="44">
        <f>H101+H102+H104+H107</f>
        <v>3800</v>
      </c>
      <c r="I100" s="178"/>
      <c r="J100" s="179"/>
      <c r="K100" s="179"/>
      <c r="L100" s="179"/>
      <c r="M100" s="180"/>
    </row>
    <row r="101" spans="1:13" ht="39" thickBot="1" x14ac:dyDescent="0.3">
      <c r="A101" s="12" t="s">
        <v>245</v>
      </c>
      <c r="B101" s="13" t="s">
        <v>246</v>
      </c>
      <c r="C101" s="14" t="s">
        <v>247</v>
      </c>
      <c r="D101" s="45" t="s">
        <v>28</v>
      </c>
      <c r="E101" s="54">
        <v>3900</v>
      </c>
      <c r="F101" s="55">
        <v>3690</v>
      </c>
      <c r="G101" s="55">
        <v>3740</v>
      </c>
      <c r="H101" s="55">
        <v>3790</v>
      </c>
      <c r="I101" s="14" t="s">
        <v>248</v>
      </c>
      <c r="J101" s="45" t="s">
        <v>241</v>
      </c>
      <c r="K101" s="45" t="s">
        <v>249</v>
      </c>
      <c r="L101" s="45" t="s">
        <v>249</v>
      </c>
      <c r="M101" s="71" t="s">
        <v>249</v>
      </c>
    </row>
    <row r="102" spans="1:13" ht="25.5" x14ac:dyDescent="0.25">
      <c r="A102" s="150" t="s">
        <v>250</v>
      </c>
      <c r="B102" s="135" t="s">
        <v>251</v>
      </c>
      <c r="C102" s="135" t="s">
        <v>237</v>
      </c>
      <c r="D102" s="45" t="s">
        <v>252</v>
      </c>
      <c r="E102" s="54">
        <v>5</v>
      </c>
      <c r="F102" s="46">
        <f>SUM(F103:F103)+10</f>
        <v>10</v>
      </c>
      <c r="G102" s="46">
        <f>SUM(G103:G103)+10</f>
        <v>10</v>
      </c>
      <c r="H102" s="46">
        <f>SUM(H103:H103)+10</f>
        <v>10</v>
      </c>
      <c r="I102" s="14" t="s">
        <v>253</v>
      </c>
      <c r="J102" s="45" t="s">
        <v>94</v>
      </c>
      <c r="K102" s="45" t="s">
        <v>189</v>
      </c>
      <c r="L102" s="45" t="s">
        <v>189</v>
      </c>
      <c r="M102" s="71" t="s">
        <v>189</v>
      </c>
    </row>
    <row r="103" spans="1:13" ht="15.75" thickBot="1" x14ac:dyDescent="0.3">
      <c r="A103" s="152"/>
      <c r="B103" s="137"/>
      <c r="C103" s="137"/>
      <c r="D103" s="39"/>
      <c r="E103" s="39"/>
      <c r="F103" s="47"/>
      <c r="G103" s="47"/>
      <c r="H103" s="47"/>
      <c r="I103" s="17" t="s">
        <v>254</v>
      </c>
      <c r="J103" s="39" t="s">
        <v>241</v>
      </c>
      <c r="K103" s="39" t="s">
        <v>189</v>
      </c>
      <c r="L103" s="39" t="s">
        <v>189</v>
      </c>
      <c r="M103" s="72" t="s">
        <v>189</v>
      </c>
    </row>
    <row r="104" spans="1:13" ht="38.25" customHeight="1" x14ac:dyDescent="0.25">
      <c r="A104" s="150" t="s">
        <v>255</v>
      </c>
      <c r="B104" s="135" t="s">
        <v>256</v>
      </c>
      <c r="C104" s="135" t="s">
        <v>257</v>
      </c>
      <c r="D104" s="45"/>
      <c r="E104" s="46">
        <f>SUM(E105:E106)</f>
        <v>321.60000000000002</v>
      </c>
      <c r="F104" s="46">
        <f>SUM(F105:F106)</f>
        <v>565.4</v>
      </c>
      <c r="G104" s="46"/>
      <c r="H104" s="46"/>
      <c r="I104" s="14" t="s">
        <v>258</v>
      </c>
      <c r="J104" s="45" t="s">
        <v>21</v>
      </c>
      <c r="K104" s="45" t="s">
        <v>110</v>
      </c>
      <c r="L104" s="45"/>
      <c r="M104" s="71"/>
    </row>
    <row r="105" spans="1:13" ht="51" customHeight="1" x14ac:dyDescent="0.25">
      <c r="A105" s="151"/>
      <c r="B105" s="136"/>
      <c r="C105" s="136"/>
      <c r="D105" s="39" t="s">
        <v>28</v>
      </c>
      <c r="E105" s="39"/>
      <c r="F105" s="47">
        <v>244.2</v>
      </c>
      <c r="G105" s="47"/>
      <c r="H105" s="47"/>
      <c r="I105" s="144" t="s">
        <v>259</v>
      </c>
      <c r="J105" s="144" t="s">
        <v>21</v>
      </c>
      <c r="K105" s="144" t="s">
        <v>30</v>
      </c>
      <c r="L105" s="144"/>
      <c r="M105" s="177"/>
    </row>
    <row r="106" spans="1:13" ht="15.75" thickBot="1" x14ac:dyDescent="0.3">
      <c r="A106" s="152"/>
      <c r="B106" s="137"/>
      <c r="C106" s="137"/>
      <c r="D106" s="39" t="s">
        <v>190</v>
      </c>
      <c r="E106" s="39">
        <v>321.60000000000002</v>
      </c>
      <c r="F106" s="47">
        <v>321.2</v>
      </c>
      <c r="G106" s="47"/>
      <c r="H106" s="47"/>
      <c r="I106" s="137"/>
      <c r="J106" s="137"/>
      <c r="K106" s="137"/>
      <c r="L106" s="137"/>
      <c r="M106" s="176"/>
    </row>
    <row r="107" spans="1:13" ht="38.25" customHeight="1" x14ac:dyDescent="0.25">
      <c r="A107" s="150" t="s">
        <v>260</v>
      </c>
      <c r="B107" s="135" t="s">
        <v>261</v>
      </c>
      <c r="C107" s="135" t="s">
        <v>184</v>
      </c>
      <c r="D107" s="45"/>
      <c r="E107" s="46">
        <f>SUM(E108:E109)</f>
        <v>60.6</v>
      </c>
      <c r="F107" s="46">
        <f>SUM(F108:F109)</f>
        <v>101</v>
      </c>
      <c r="G107" s="46"/>
      <c r="H107" s="46"/>
      <c r="I107" s="14" t="s">
        <v>262</v>
      </c>
      <c r="J107" s="45" t="s">
        <v>21</v>
      </c>
      <c r="K107" s="45" t="s">
        <v>30</v>
      </c>
      <c r="L107" s="45"/>
      <c r="M107" s="71"/>
    </row>
    <row r="108" spans="1:13" x14ac:dyDescent="0.25">
      <c r="A108" s="151"/>
      <c r="B108" s="136"/>
      <c r="C108" s="136"/>
      <c r="D108" s="39" t="s">
        <v>190</v>
      </c>
      <c r="E108" s="39"/>
      <c r="F108" s="47">
        <v>60.6</v>
      </c>
      <c r="G108" s="47"/>
      <c r="H108" s="47"/>
      <c r="I108" s="17" t="s">
        <v>263</v>
      </c>
      <c r="J108" s="39" t="s">
        <v>21</v>
      </c>
      <c r="K108" s="39" t="s">
        <v>264</v>
      </c>
      <c r="L108" s="39"/>
      <c r="M108" s="72"/>
    </row>
    <row r="109" spans="1:13" ht="15.75" thickBot="1" x14ac:dyDescent="0.3">
      <c r="A109" s="152"/>
      <c r="B109" s="137"/>
      <c r="C109" s="137"/>
      <c r="D109" s="39" t="s">
        <v>28</v>
      </c>
      <c r="E109" s="39">
        <v>60.6</v>
      </c>
      <c r="F109" s="47">
        <v>40.4</v>
      </c>
      <c r="G109" s="47"/>
      <c r="H109" s="47"/>
      <c r="I109" s="17" t="s">
        <v>265</v>
      </c>
      <c r="J109" s="39" t="s">
        <v>21</v>
      </c>
      <c r="K109" s="39" t="s">
        <v>30</v>
      </c>
      <c r="L109" s="39"/>
      <c r="M109" s="72"/>
    </row>
    <row r="110" spans="1:13" ht="26.25" thickBot="1" x14ac:dyDescent="0.3">
      <c r="A110" s="9" t="s">
        <v>266</v>
      </c>
      <c r="B110" s="10" t="s">
        <v>267</v>
      </c>
      <c r="C110" s="11"/>
      <c r="D110" s="60"/>
      <c r="E110" s="44">
        <f>E111+E113</f>
        <v>257.2</v>
      </c>
      <c r="F110" s="44">
        <f>F111+F113</f>
        <v>161</v>
      </c>
      <c r="G110" s="44">
        <f>G111+G113</f>
        <v>165</v>
      </c>
      <c r="H110" s="44">
        <f>H111+H113</f>
        <v>171</v>
      </c>
      <c r="I110" s="178"/>
      <c r="J110" s="179"/>
      <c r="K110" s="179"/>
      <c r="L110" s="179"/>
      <c r="M110" s="180"/>
    </row>
    <row r="111" spans="1:13" ht="25.5" x14ac:dyDescent="0.25">
      <c r="A111" s="150" t="s">
        <v>268</v>
      </c>
      <c r="B111" s="135" t="s">
        <v>269</v>
      </c>
      <c r="C111" s="135" t="s">
        <v>237</v>
      </c>
      <c r="D111" s="45" t="s">
        <v>252</v>
      </c>
      <c r="E111" s="54">
        <v>40</v>
      </c>
      <c r="F111" s="46">
        <f>SUM(F112:F112)+50</f>
        <v>50</v>
      </c>
      <c r="G111" s="46">
        <f>SUM(G112:G112)+50</f>
        <v>50</v>
      </c>
      <c r="H111" s="46">
        <f>SUM(H112:H112)+50</f>
        <v>50</v>
      </c>
      <c r="I111" s="14" t="s">
        <v>270</v>
      </c>
      <c r="J111" s="45" t="s">
        <v>21</v>
      </c>
      <c r="K111" s="45" t="s">
        <v>30</v>
      </c>
      <c r="L111" s="45" t="s">
        <v>30</v>
      </c>
      <c r="M111" s="71" t="s">
        <v>30</v>
      </c>
    </row>
    <row r="112" spans="1:13" ht="26.25" thickBot="1" x14ac:dyDescent="0.3">
      <c r="A112" s="152"/>
      <c r="B112" s="137"/>
      <c r="C112" s="137"/>
      <c r="D112" s="39"/>
      <c r="E112" s="39"/>
      <c r="F112" s="47"/>
      <c r="G112" s="47"/>
      <c r="H112" s="47"/>
      <c r="I112" s="17" t="s">
        <v>271</v>
      </c>
      <c r="J112" s="39" t="s">
        <v>21</v>
      </c>
      <c r="K112" s="39" t="s">
        <v>67</v>
      </c>
      <c r="L112" s="39" t="s">
        <v>67</v>
      </c>
      <c r="M112" s="72" t="s">
        <v>67</v>
      </c>
    </row>
    <row r="113" spans="1:13" ht="76.5" x14ac:dyDescent="0.25">
      <c r="A113" s="150" t="s">
        <v>272</v>
      </c>
      <c r="B113" s="135" t="s">
        <v>273</v>
      </c>
      <c r="C113" s="135" t="s">
        <v>237</v>
      </c>
      <c r="D113" s="45" t="s">
        <v>252</v>
      </c>
      <c r="E113" s="46">
        <f>SUM(E114:E117)</f>
        <v>217.2</v>
      </c>
      <c r="F113" s="46">
        <f>SUM(F114:F117)</f>
        <v>111</v>
      </c>
      <c r="G113" s="46">
        <f t="shared" ref="G113:H113" si="9">SUM(G114:G117)</f>
        <v>115</v>
      </c>
      <c r="H113" s="46">
        <f t="shared" si="9"/>
        <v>121</v>
      </c>
      <c r="I113" s="14" t="s">
        <v>274</v>
      </c>
      <c r="J113" s="45" t="s">
        <v>94</v>
      </c>
      <c r="K113" s="45" t="s">
        <v>189</v>
      </c>
      <c r="L113" s="45" t="s">
        <v>189</v>
      </c>
      <c r="M113" s="71" t="s">
        <v>189</v>
      </c>
    </row>
    <row r="114" spans="1:13" ht="25.5" x14ac:dyDescent="0.25">
      <c r="A114" s="151"/>
      <c r="B114" s="136"/>
      <c r="C114" s="136"/>
      <c r="D114" s="39" t="s">
        <v>28</v>
      </c>
      <c r="E114" s="39">
        <v>17.7</v>
      </c>
      <c r="F114" s="47"/>
      <c r="G114" s="47"/>
      <c r="H114" s="47"/>
      <c r="I114" s="17" t="s">
        <v>275</v>
      </c>
      <c r="J114" s="39" t="s">
        <v>276</v>
      </c>
      <c r="K114" s="39" t="s">
        <v>277</v>
      </c>
      <c r="L114" s="39" t="s">
        <v>278</v>
      </c>
      <c r="M114" s="72" t="s">
        <v>279</v>
      </c>
    </row>
    <row r="115" spans="1:13" x14ac:dyDescent="0.25">
      <c r="A115" s="151"/>
      <c r="B115" s="136"/>
      <c r="C115" s="136"/>
      <c r="D115" s="39" t="s">
        <v>252</v>
      </c>
      <c r="E115" s="39">
        <v>67.3</v>
      </c>
      <c r="F115" s="47">
        <v>111</v>
      </c>
      <c r="G115" s="47">
        <v>115</v>
      </c>
      <c r="H115" s="47">
        <v>121</v>
      </c>
      <c r="I115" s="144" t="s">
        <v>280</v>
      </c>
      <c r="J115" s="144" t="s">
        <v>21</v>
      </c>
      <c r="K115" s="144" t="s">
        <v>189</v>
      </c>
      <c r="L115" s="144" t="s">
        <v>189</v>
      </c>
      <c r="M115" s="177" t="s">
        <v>189</v>
      </c>
    </row>
    <row r="116" spans="1:13" x14ac:dyDescent="0.25">
      <c r="A116" s="151"/>
      <c r="B116" s="136"/>
      <c r="C116" s="136"/>
      <c r="D116" s="39" t="s">
        <v>1322</v>
      </c>
      <c r="E116" s="39">
        <v>125.6</v>
      </c>
      <c r="F116" s="47"/>
      <c r="G116" s="47"/>
      <c r="H116" s="47"/>
      <c r="I116" s="136"/>
      <c r="J116" s="136"/>
      <c r="K116" s="136"/>
      <c r="L116" s="136"/>
      <c r="M116" s="175"/>
    </row>
    <row r="117" spans="1:13" ht="15.75" thickBot="1" x14ac:dyDescent="0.3">
      <c r="A117" s="152"/>
      <c r="B117" s="137"/>
      <c r="C117" s="137"/>
      <c r="D117" s="39" t="s">
        <v>148</v>
      </c>
      <c r="E117" s="39">
        <v>6.6</v>
      </c>
      <c r="F117" s="47"/>
      <c r="G117" s="47"/>
      <c r="H117" s="47"/>
      <c r="I117" s="137"/>
      <c r="J117" s="137"/>
      <c r="K117" s="137"/>
      <c r="L117" s="137"/>
      <c r="M117" s="176"/>
    </row>
    <row r="118" spans="1:13" ht="26.25" thickBot="1" x14ac:dyDescent="0.3">
      <c r="A118" s="9" t="s">
        <v>281</v>
      </c>
      <c r="B118" s="10" t="s">
        <v>282</v>
      </c>
      <c r="C118" s="11"/>
      <c r="D118" s="60"/>
      <c r="E118" s="44">
        <f>E119+E122+E123+E126+E131+E134+E138+E139+E140</f>
        <v>2262.9</v>
      </c>
      <c r="F118" s="44">
        <f>F119+F122+F126+F131+F134+F138+F139+F140</f>
        <v>857.69999999999993</v>
      </c>
      <c r="G118" s="44">
        <f>G119+G122+G126+G131+G134+G138+G139+G140</f>
        <v>1043.3</v>
      </c>
      <c r="H118" s="44">
        <f>H119+H122+H126+H131+H134+H138+H139+H140</f>
        <v>235</v>
      </c>
      <c r="I118" s="178"/>
      <c r="J118" s="179"/>
      <c r="K118" s="179"/>
      <c r="L118" s="179"/>
      <c r="M118" s="180"/>
    </row>
    <row r="119" spans="1:13" ht="38.25" customHeight="1" x14ac:dyDescent="0.25">
      <c r="A119" s="150" t="s">
        <v>283</v>
      </c>
      <c r="B119" s="135" t="s">
        <v>284</v>
      </c>
      <c r="C119" s="135" t="s">
        <v>257</v>
      </c>
      <c r="D119" s="45"/>
      <c r="E119" s="46">
        <f>SUM(E120:E121)</f>
        <v>70</v>
      </c>
      <c r="F119" s="46">
        <f>SUM(F120:F121)</f>
        <v>71</v>
      </c>
      <c r="G119" s="46">
        <f>SUM(G120:G121)</f>
        <v>80</v>
      </c>
      <c r="H119" s="46">
        <f>SUM(H120:H121)</f>
        <v>80</v>
      </c>
      <c r="I119" s="138" t="s">
        <v>285</v>
      </c>
      <c r="J119" s="138" t="s">
        <v>21</v>
      </c>
      <c r="K119" s="138" t="s">
        <v>286</v>
      </c>
      <c r="L119" s="138" t="s">
        <v>286</v>
      </c>
      <c r="M119" s="141" t="s">
        <v>286</v>
      </c>
    </row>
    <row r="120" spans="1:13" x14ac:dyDescent="0.25">
      <c r="A120" s="151"/>
      <c r="B120" s="136"/>
      <c r="C120" s="136"/>
      <c r="D120" s="39" t="s">
        <v>252</v>
      </c>
      <c r="E120" s="53">
        <v>20</v>
      </c>
      <c r="F120" s="47">
        <v>30</v>
      </c>
      <c r="G120" s="47">
        <v>30</v>
      </c>
      <c r="H120" s="47">
        <v>30</v>
      </c>
      <c r="I120" s="139"/>
      <c r="J120" s="139"/>
      <c r="K120" s="139"/>
      <c r="L120" s="139"/>
      <c r="M120" s="142"/>
    </row>
    <row r="121" spans="1:13" ht="15.75" thickBot="1" x14ac:dyDescent="0.3">
      <c r="A121" s="152"/>
      <c r="B121" s="137"/>
      <c r="C121" s="137"/>
      <c r="D121" s="39" t="s">
        <v>28</v>
      </c>
      <c r="E121" s="53">
        <v>50</v>
      </c>
      <c r="F121" s="47">
        <v>41</v>
      </c>
      <c r="G121" s="47">
        <v>50</v>
      </c>
      <c r="H121" s="47">
        <v>50</v>
      </c>
      <c r="I121" s="140"/>
      <c r="J121" s="140"/>
      <c r="K121" s="140"/>
      <c r="L121" s="140"/>
      <c r="M121" s="143"/>
    </row>
    <row r="122" spans="1:13" ht="51" customHeight="1" thickBot="1" x14ac:dyDescent="0.3">
      <c r="A122" s="12" t="s">
        <v>287</v>
      </c>
      <c r="B122" s="13" t="s">
        <v>288</v>
      </c>
      <c r="C122" s="14" t="s">
        <v>257</v>
      </c>
      <c r="D122" s="45" t="s">
        <v>28</v>
      </c>
      <c r="E122" s="45">
        <v>14.2</v>
      </c>
      <c r="F122" s="55">
        <v>18.600000000000001</v>
      </c>
      <c r="G122" s="55"/>
      <c r="H122" s="55"/>
      <c r="I122" s="14" t="s">
        <v>289</v>
      </c>
      <c r="J122" s="45" t="s">
        <v>290</v>
      </c>
      <c r="K122" s="45" t="s">
        <v>291</v>
      </c>
      <c r="L122" s="45"/>
      <c r="M122" s="71"/>
    </row>
    <row r="123" spans="1:13" ht="1.5" hidden="1" customHeight="1" thickBot="1" x14ac:dyDescent="0.3">
      <c r="A123" s="31" t="s">
        <v>1323</v>
      </c>
      <c r="B123" s="32" t="s">
        <v>1324</v>
      </c>
      <c r="C123" s="33" t="s">
        <v>237</v>
      </c>
      <c r="D123" s="57"/>
      <c r="E123" s="57">
        <f>SUM(E124:E125)</f>
        <v>296.5</v>
      </c>
      <c r="F123" s="50"/>
      <c r="G123" s="50"/>
      <c r="H123" s="50"/>
      <c r="I123" s="33"/>
      <c r="J123" s="57"/>
      <c r="K123" s="57"/>
      <c r="L123" s="57"/>
      <c r="M123" s="77"/>
    </row>
    <row r="124" spans="1:13" ht="15.75" hidden="1" thickBot="1" x14ac:dyDescent="0.3">
      <c r="A124" s="15"/>
      <c r="B124" s="16"/>
      <c r="C124" s="17"/>
      <c r="D124" s="39" t="s">
        <v>190</v>
      </c>
      <c r="E124" s="39">
        <v>102.9</v>
      </c>
      <c r="F124" s="47"/>
      <c r="G124" s="47"/>
      <c r="H124" s="47"/>
      <c r="I124" s="17"/>
      <c r="J124" s="39"/>
      <c r="K124" s="39"/>
      <c r="L124" s="39"/>
      <c r="M124" s="72"/>
    </row>
    <row r="125" spans="1:13" ht="15.75" hidden="1" thickBot="1" x14ac:dyDescent="0.3">
      <c r="A125" s="34"/>
      <c r="B125" s="35"/>
      <c r="C125" s="30"/>
      <c r="D125" s="51" t="s">
        <v>152</v>
      </c>
      <c r="E125" s="51">
        <v>193.6</v>
      </c>
      <c r="F125" s="52"/>
      <c r="G125" s="52"/>
      <c r="H125" s="52"/>
      <c r="I125" s="30"/>
      <c r="J125" s="51"/>
      <c r="K125" s="51"/>
      <c r="L125" s="51"/>
      <c r="M125" s="76"/>
    </row>
    <row r="126" spans="1:13" ht="51" customHeight="1" x14ac:dyDescent="0.25">
      <c r="A126" s="150" t="s">
        <v>292</v>
      </c>
      <c r="B126" s="135" t="s">
        <v>293</v>
      </c>
      <c r="C126" s="135" t="s">
        <v>294</v>
      </c>
      <c r="D126" s="45"/>
      <c r="E126" s="46">
        <f>SUM(E127:E130)</f>
        <v>90.9</v>
      </c>
      <c r="F126" s="46">
        <f>SUM(F127:F130)</f>
        <v>171.2</v>
      </c>
      <c r="G126" s="46">
        <f>SUM(G127:G130)</f>
        <v>107.9</v>
      </c>
      <c r="H126" s="46">
        <f>SUM(H127:H130)</f>
        <v>110</v>
      </c>
      <c r="I126" s="14" t="s">
        <v>295</v>
      </c>
      <c r="J126" s="45" t="s">
        <v>21</v>
      </c>
      <c r="K126" s="45" t="s">
        <v>30</v>
      </c>
      <c r="L126" s="45" t="s">
        <v>30</v>
      </c>
      <c r="M126" s="71" t="s">
        <v>30</v>
      </c>
    </row>
    <row r="127" spans="1:13" ht="51" customHeight="1" x14ac:dyDescent="0.25">
      <c r="A127" s="151"/>
      <c r="B127" s="136"/>
      <c r="C127" s="136"/>
      <c r="D127" s="39" t="s">
        <v>139</v>
      </c>
      <c r="E127" s="53">
        <v>3</v>
      </c>
      <c r="F127" s="47">
        <v>3</v>
      </c>
      <c r="G127" s="47">
        <v>3</v>
      </c>
      <c r="H127" s="47">
        <v>3</v>
      </c>
      <c r="I127" s="144" t="s">
        <v>296</v>
      </c>
      <c r="J127" s="146" t="s">
        <v>21</v>
      </c>
      <c r="K127" s="146" t="s">
        <v>30</v>
      </c>
      <c r="L127" s="146" t="s">
        <v>30</v>
      </c>
      <c r="M127" s="148" t="s">
        <v>30</v>
      </c>
    </row>
    <row r="128" spans="1:13" x14ac:dyDescent="0.25">
      <c r="A128" s="151"/>
      <c r="B128" s="136"/>
      <c r="C128" s="136"/>
      <c r="D128" s="39" t="s">
        <v>190</v>
      </c>
      <c r="E128" s="39">
        <v>0.7</v>
      </c>
      <c r="F128" s="47"/>
      <c r="G128" s="47"/>
      <c r="H128" s="47"/>
      <c r="I128" s="136"/>
      <c r="J128" s="139"/>
      <c r="K128" s="139"/>
      <c r="L128" s="139"/>
      <c r="M128" s="142"/>
    </row>
    <row r="129" spans="1:13" x14ac:dyDescent="0.25">
      <c r="A129" s="151"/>
      <c r="B129" s="136"/>
      <c r="C129" s="136"/>
      <c r="D129" s="39" t="s">
        <v>28</v>
      </c>
      <c r="E129" s="39">
        <v>69.2</v>
      </c>
      <c r="F129" s="47">
        <v>160.19999999999999</v>
      </c>
      <c r="G129" s="47">
        <v>96.9</v>
      </c>
      <c r="H129" s="47">
        <v>99</v>
      </c>
      <c r="I129" s="136"/>
      <c r="J129" s="139"/>
      <c r="K129" s="139"/>
      <c r="L129" s="139"/>
      <c r="M129" s="142"/>
    </row>
    <row r="130" spans="1:13" ht="15.75" thickBot="1" x14ac:dyDescent="0.3">
      <c r="A130" s="152"/>
      <c r="B130" s="137"/>
      <c r="C130" s="137"/>
      <c r="D130" s="39" t="s">
        <v>252</v>
      </c>
      <c r="E130" s="53">
        <v>18</v>
      </c>
      <c r="F130" s="47">
        <v>8</v>
      </c>
      <c r="G130" s="47">
        <v>8</v>
      </c>
      <c r="H130" s="47">
        <v>8</v>
      </c>
      <c r="I130" s="137"/>
      <c r="J130" s="140"/>
      <c r="K130" s="140"/>
      <c r="L130" s="140"/>
      <c r="M130" s="143"/>
    </row>
    <row r="131" spans="1:13" ht="89.25" customHeight="1" x14ac:dyDescent="0.25">
      <c r="A131" s="150" t="s">
        <v>297</v>
      </c>
      <c r="B131" s="135" t="s">
        <v>298</v>
      </c>
      <c r="C131" s="135" t="s">
        <v>257</v>
      </c>
      <c r="D131" s="57" t="s">
        <v>252</v>
      </c>
      <c r="E131" s="57">
        <f>SUM(E132:E133)</f>
        <v>43.9</v>
      </c>
      <c r="F131" s="56">
        <f t="shared" ref="F131:H131" si="10">SUM(F132:F133)</f>
        <v>25</v>
      </c>
      <c r="G131" s="56">
        <f t="shared" si="10"/>
        <v>25</v>
      </c>
      <c r="H131" s="56">
        <f t="shared" si="10"/>
        <v>25</v>
      </c>
      <c r="I131" s="135" t="s">
        <v>299</v>
      </c>
      <c r="J131" s="138" t="s">
        <v>241</v>
      </c>
      <c r="K131" s="138" t="s">
        <v>300</v>
      </c>
      <c r="L131" s="138" t="s">
        <v>300</v>
      </c>
      <c r="M131" s="141" t="s">
        <v>300</v>
      </c>
    </row>
    <row r="132" spans="1:13" x14ac:dyDescent="0.25">
      <c r="A132" s="151"/>
      <c r="B132" s="136"/>
      <c r="C132" s="136"/>
      <c r="D132" s="39" t="s">
        <v>190</v>
      </c>
      <c r="E132" s="39">
        <v>18.899999999999999</v>
      </c>
      <c r="F132" s="47"/>
      <c r="G132" s="47"/>
      <c r="H132" s="47"/>
      <c r="I132" s="136"/>
      <c r="J132" s="139"/>
      <c r="K132" s="139"/>
      <c r="L132" s="139"/>
      <c r="M132" s="142"/>
    </row>
    <row r="133" spans="1:13" ht="15.75" thickBot="1" x14ac:dyDescent="0.3">
      <c r="A133" s="152"/>
      <c r="B133" s="137"/>
      <c r="C133" s="137"/>
      <c r="D133" s="51" t="s">
        <v>252</v>
      </c>
      <c r="E133" s="48">
        <v>25</v>
      </c>
      <c r="F133" s="52">
        <v>25</v>
      </c>
      <c r="G133" s="52">
        <v>25</v>
      </c>
      <c r="H133" s="52">
        <v>25</v>
      </c>
      <c r="I133" s="137"/>
      <c r="J133" s="140"/>
      <c r="K133" s="140"/>
      <c r="L133" s="140"/>
      <c r="M133" s="143"/>
    </row>
    <row r="134" spans="1:13" ht="38.25" x14ac:dyDescent="0.25">
      <c r="A134" s="150" t="s">
        <v>301</v>
      </c>
      <c r="B134" s="135" t="s">
        <v>302</v>
      </c>
      <c r="C134" s="135" t="s">
        <v>257</v>
      </c>
      <c r="D134" s="45"/>
      <c r="E134" s="46">
        <f>SUM(E135:E137)</f>
        <v>1722.4</v>
      </c>
      <c r="F134" s="46">
        <f>SUM(F135:F137)</f>
        <v>551.9</v>
      </c>
      <c r="G134" s="46">
        <f>SUM(G135:G137)</f>
        <v>810.4</v>
      </c>
      <c r="H134" s="46"/>
      <c r="I134" s="14" t="s">
        <v>303</v>
      </c>
      <c r="J134" s="45" t="s">
        <v>304</v>
      </c>
      <c r="K134" s="45" t="s">
        <v>70</v>
      </c>
      <c r="L134" s="45" t="s">
        <v>69</v>
      </c>
      <c r="M134" s="71"/>
    </row>
    <row r="135" spans="1:13" x14ac:dyDescent="0.25">
      <c r="A135" s="151"/>
      <c r="B135" s="136"/>
      <c r="C135" s="136"/>
      <c r="D135" s="39" t="s">
        <v>190</v>
      </c>
      <c r="E135" s="39">
        <v>602.9</v>
      </c>
      <c r="F135" s="47">
        <v>234.5</v>
      </c>
      <c r="G135" s="47"/>
      <c r="H135" s="47"/>
      <c r="I135" s="144" t="s">
        <v>220</v>
      </c>
      <c r="J135" s="146" t="s">
        <v>94</v>
      </c>
      <c r="K135" s="146" t="s">
        <v>305</v>
      </c>
      <c r="L135" s="146" t="s">
        <v>189</v>
      </c>
      <c r="M135" s="148"/>
    </row>
    <row r="136" spans="1:13" x14ac:dyDescent="0.25">
      <c r="A136" s="151"/>
      <c r="B136" s="136"/>
      <c r="C136" s="136"/>
      <c r="D136" s="39" t="s">
        <v>28</v>
      </c>
      <c r="E136" s="39">
        <v>59</v>
      </c>
      <c r="F136" s="47">
        <v>30</v>
      </c>
      <c r="G136" s="47">
        <v>40.299999999999997</v>
      </c>
      <c r="H136" s="47"/>
      <c r="I136" s="136"/>
      <c r="J136" s="139"/>
      <c r="K136" s="139"/>
      <c r="L136" s="139"/>
      <c r="M136" s="142"/>
    </row>
    <row r="137" spans="1:13" ht="15.75" thickBot="1" x14ac:dyDescent="0.3">
      <c r="A137" s="152"/>
      <c r="B137" s="137"/>
      <c r="C137" s="137"/>
      <c r="D137" s="39" t="s">
        <v>216</v>
      </c>
      <c r="E137" s="39">
        <v>1060.5</v>
      </c>
      <c r="F137" s="47">
        <v>287.39999999999998</v>
      </c>
      <c r="G137" s="47">
        <v>770.1</v>
      </c>
      <c r="H137" s="47"/>
      <c r="I137" s="137"/>
      <c r="J137" s="140"/>
      <c r="K137" s="140"/>
      <c r="L137" s="140"/>
      <c r="M137" s="143"/>
    </row>
    <row r="138" spans="1:13" ht="26.25" thickBot="1" x14ac:dyDescent="0.3">
      <c r="A138" s="12" t="s">
        <v>306</v>
      </c>
      <c r="B138" s="13" t="s">
        <v>307</v>
      </c>
      <c r="C138" s="14" t="s">
        <v>308</v>
      </c>
      <c r="D138" s="45" t="s">
        <v>252</v>
      </c>
      <c r="E138" s="54">
        <v>5</v>
      </c>
      <c r="F138" s="55">
        <v>5</v>
      </c>
      <c r="G138" s="55">
        <v>5</v>
      </c>
      <c r="H138" s="55">
        <v>5</v>
      </c>
      <c r="I138" s="14" t="s">
        <v>309</v>
      </c>
      <c r="J138" s="45" t="s">
        <v>94</v>
      </c>
      <c r="K138" s="45" t="s">
        <v>189</v>
      </c>
      <c r="L138" s="45" t="s">
        <v>189</v>
      </c>
      <c r="M138" s="71" t="s">
        <v>189</v>
      </c>
    </row>
    <row r="139" spans="1:13" ht="26.25" hidden="1" thickBot="1" x14ac:dyDescent="0.3">
      <c r="A139" s="12" t="s">
        <v>310</v>
      </c>
      <c r="B139" s="13" t="s">
        <v>311</v>
      </c>
      <c r="C139" s="14" t="s">
        <v>237</v>
      </c>
      <c r="D139" s="45" t="s">
        <v>252</v>
      </c>
      <c r="E139" s="54">
        <v>5</v>
      </c>
      <c r="F139" s="55"/>
      <c r="G139" s="55"/>
      <c r="H139" s="55"/>
      <c r="I139" s="14"/>
      <c r="J139" s="45"/>
      <c r="K139" s="45"/>
      <c r="L139" s="45"/>
      <c r="M139" s="71"/>
    </row>
    <row r="140" spans="1:13" ht="64.5" thickBot="1" x14ac:dyDescent="0.3">
      <c r="A140" s="12" t="s">
        <v>312</v>
      </c>
      <c r="B140" s="13" t="s">
        <v>313</v>
      </c>
      <c r="C140" s="14" t="s">
        <v>308</v>
      </c>
      <c r="D140" s="45" t="s">
        <v>28</v>
      </c>
      <c r="E140" s="54">
        <v>15</v>
      </c>
      <c r="F140" s="55">
        <v>15</v>
      </c>
      <c r="G140" s="55">
        <v>15</v>
      </c>
      <c r="H140" s="55">
        <v>15</v>
      </c>
      <c r="I140" s="14" t="s">
        <v>314</v>
      </c>
      <c r="J140" s="45" t="s">
        <v>315</v>
      </c>
      <c r="K140" s="45" t="s">
        <v>316</v>
      </c>
      <c r="L140" s="45" t="s">
        <v>316</v>
      </c>
      <c r="M140" s="71" t="s">
        <v>316</v>
      </c>
    </row>
    <row r="141" spans="1:13" ht="26.25" thickBot="1" x14ac:dyDescent="0.3">
      <c r="A141" s="9" t="s">
        <v>317</v>
      </c>
      <c r="B141" s="10" t="s">
        <v>318</v>
      </c>
      <c r="C141" s="11"/>
      <c r="D141" s="60"/>
      <c r="E141" s="44">
        <f>SUM(E142:E143)</f>
        <v>22.7</v>
      </c>
      <c r="F141" s="44">
        <f>SUM(F142:F143)</f>
        <v>13</v>
      </c>
      <c r="G141" s="44">
        <f>SUM(G142:G143)</f>
        <v>13</v>
      </c>
      <c r="H141" s="44">
        <f>SUM(H142:H143)</f>
        <v>13</v>
      </c>
      <c r="I141" s="178"/>
      <c r="J141" s="179"/>
      <c r="K141" s="179"/>
      <c r="L141" s="179"/>
      <c r="M141" s="180"/>
    </row>
    <row r="142" spans="1:13" ht="39" thickBot="1" x14ac:dyDescent="0.3">
      <c r="A142" s="12" t="s">
        <v>319</v>
      </c>
      <c r="B142" s="13" t="s">
        <v>320</v>
      </c>
      <c r="C142" s="14" t="s">
        <v>237</v>
      </c>
      <c r="D142" s="45" t="s">
        <v>252</v>
      </c>
      <c r="E142" s="54">
        <v>13</v>
      </c>
      <c r="F142" s="55">
        <v>10</v>
      </c>
      <c r="G142" s="55">
        <v>10</v>
      </c>
      <c r="H142" s="55">
        <v>10</v>
      </c>
      <c r="I142" s="14" t="s">
        <v>321</v>
      </c>
      <c r="J142" s="45" t="s">
        <v>21</v>
      </c>
      <c r="K142" s="45" t="s">
        <v>322</v>
      </c>
      <c r="L142" s="45" t="s">
        <v>322</v>
      </c>
      <c r="M142" s="71" t="s">
        <v>322</v>
      </c>
    </row>
    <row r="143" spans="1:13" ht="51" customHeight="1" x14ac:dyDescent="0.25">
      <c r="A143" s="150" t="s">
        <v>323</v>
      </c>
      <c r="B143" s="135" t="s">
        <v>324</v>
      </c>
      <c r="C143" s="135" t="s">
        <v>237</v>
      </c>
      <c r="D143" s="45" t="s">
        <v>252</v>
      </c>
      <c r="E143" s="45">
        <v>9.6999999999999993</v>
      </c>
      <c r="F143" s="46">
        <f>SUM(F144:F146)+3</f>
        <v>3</v>
      </c>
      <c r="G143" s="46">
        <f>SUM(G144:G146)+3</f>
        <v>3</v>
      </c>
      <c r="H143" s="46">
        <f>SUM(H144:H146)+3</f>
        <v>3</v>
      </c>
      <c r="I143" s="14" t="s">
        <v>325</v>
      </c>
      <c r="J143" s="45" t="s">
        <v>21</v>
      </c>
      <c r="K143" s="45" t="s">
        <v>106</v>
      </c>
      <c r="L143" s="45" t="s">
        <v>106</v>
      </c>
      <c r="M143" s="71" t="s">
        <v>106</v>
      </c>
    </row>
    <row r="144" spans="1:13" ht="25.5" x14ac:dyDescent="0.25">
      <c r="A144" s="151"/>
      <c r="B144" s="136"/>
      <c r="C144" s="136"/>
      <c r="D144" s="39"/>
      <c r="E144" s="39"/>
      <c r="F144" s="47"/>
      <c r="G144" s="47"/>
      <c r="H144" s="47"/>
      <c r="I144" s="17" t="s">
        <v>326</v>
      </c>
      <c r="J144" s="39" t="s">
        <v>21</v>
      </c>
      <c r="K144" s="39" t="s">
        <v>56</v>
      </c>
      <c r="L144" s="39" t="s">
        <v>56</v>
      </c>
      <c r="M144" s="72" t="s">
        <v>56</v>
      </c>
    </row>
    <row r="145" spans="1:13" ht="25.5" x14ac:dyDescent="0.25">
      <c r="A145" s="151"/>
      <c r="B145" s="136"/>
      <c r="C145" s="136"/>
      <c r="D145" s="39"/>
      <c r="E145" s="39"/>
      <c r="F145" s="47"/>
      <c r="G145" s="47"/>
      <c r="H145" s="47"/>
      <c r="I145" s="17" t="s">
        <v>327</v>
      </c>
      <c r="J145" s="39" t="s">
        <v>21</v>
      </c>
      <c r="K145" s="39" t="s">
        <v>56</v>
      </c>
      <c r="L145" s="39" t="s">
        <v>56</v>
      </c>
      <c r="M145" s="72" t="s">
        <v>56</v>
      </c>
    </row>
    <row r="146" spans="1:13" ht="26.25" thickBot="1" x14ac:dyDescent="0.3">
      <c r="A146" s="152"/>
      <c r="B146" s="137"/>
      <c r="C146" s="137"/>
      <c r="D146" s="39"/>
      <c r="E146" s="39"/>
      <c r="F146" s="47"/>
      <c r="G146" s="47"/>
      <c r="H146" s="47"/>
      <c r="I146" s="17" t="s">
        <v>328</v>
      </c>
      <c r="J146" s="39" t="s">
        <v>21</v>
      </c>
      <c r="K146" s="39" t="s">
        <v>30</v>
      </c>
      <c r="L146" s="39" t="s">
        <v>30</v>
      </c>
      <c r="M146" s="72" t="s">
        <v>30</v>
      </c>
    </row>
    <row r="147" spans="1:13" ht="26.25" hidden="1" thickBot="1" x14ac:dyDescent="0.3">
      <c r="A147" s="9" t="s">
        <v>329</v>
      </c>
      <c r="B147" s="10" t="s">
        <v>330</v>
      </c>
      <c r="C147" s="11"/>
      <c r="D147" s="60"/>
      <c r="E147" s="44">
        <f>SUM(E148:E148)</f>
        <v>35</v>
      </c>
      <c r="F147" s="44">
        <f>SUM(F148:F148)</f>
        <v>0</v>
      </c>
      <c r="G147" s="44">
        <f>SUM(G148:G148)</f>
        <v>0</v>
      </c>
      <c r="H147" s="44">
        <f>SUM(H148:H148)</f>
        <v>0</v>
      </c>
      <c r="I147" s="11"/>
      <c r="J147" s="60"/>
      <c r="K147" s="60"/>
      <c r="L147" s="60"/>
      <c r="M147" s="75"/>
    </row>
    <row r="148" spans="1:13" ht="25.5" hidden="1" x14ac:dyDescent="0.25">
      <c r="A148" s="12" t="s">
        <v>331</v>
      </c>
      <c r="B148" s="13" t="s">
        <v>332</v>
      </c>
      <c r="C148" s="14" t="s">
        <v>237</v>
      </c>
      <c r="D148" s="45" t="s">
        <v>28</v>
      </c>
      <c r="E148" s="54">
        <v>35</v>
      </c>
      <c r="F148" s="55"/>
      <c r="G148" s="55"/>
      <c r="H148" s="55"/>
      <c r="I148" s="14"/>
      <c r="J148" s="45"/>
      <c r="K148" s="45"/>
      <c r="L148" s="45"/>
      <c r="M148" s="71"/>
    </row>
    <row r="149" spans="1:13" ht="26.25" thickBot="1" x14ac:dyDescent="0.3">
      <c r="A149" s="3" t="s">
        <v>333</v>
      </c>
      <c r="B149" s="4" t="s">
        <v>334</v>
      </c>
      <c r="C149" s="5" t="s">
        <v>237</v>
      </c>
      <c r="D149" s="59"/>
      <c r="E149" s="42">
        <f>E150+E214</f>
        <v>29196.6</v>
      </c>
      <c r="F149" s="42">
        <f>F150+F214</f>
        <v>26435.599999999999</v>
      </c>
      <c r="G149" s="42">
        <f>G150+G214</f>
        <v>19448.2</v>
      </c>
      <c r="H149" s="42">
        <f>H150+H214</f>
        <v>18028.8</v>
      </c>
      <c r="I149" s="181"/>
      <c r="J149" s="182"/>
      <c r="K149" s="182"/>
      <c r="L149" s="182"/>
      <c r="M149" s="183"/>
    </row>
    <row r="150" spans="1:13" ht="39" thickBot="1" x14ac:dyDescent="0.3">
      <c r="A150" s="6" t="s">
        <v>335</v>
      </c>
      <c r="B150" s="7" t="s">
        <v>336</v>
      </c>
      <c r="C150" s="8"/>
      <c r="D150" s="38"/>
      <c r="E150" s="43">
        <f>E151+E157+E168</f>
        <v>18438.5</v>
      </c>
      <c r="F150" s="43">
        <f>F151+F157+F168</f>
        <v>12012.5</v>
      </c>
      <c r="G150" s="43">
        <f>G151+G157+G168</f>
        <v>7518.7000000000007</v>
      </c>
      <c r="H150" s="43">
        <f>H151+H157+H168</f>
        <v>6624</v>
      </c>
      <c r="I150" s="8" t="s">
        <v>337</v>
      </c>
      <c r="J150" s="38" t="s">
        <v>94</v>
      </c>
      <c r="K150" s="38" t="s">
        <v>189</v>
      </c>
      <c r="L150" s="38" t="s">
        <v>189</v>
      </c>
      <c r="M150" s="74" t="s">
        <v>189</v>
      </c>
    </row>
    <row r="151" spans="1:13" ht="26.25" thickBot="1" x14ac:dyDescent="0.3">
      <c r="A151" s="9" t="s">
        <v>338</v>
      </c>
      <c r="B151" s="10" t="s">
        <v>339</v>
      </c>
      <c r="C151" s="11"/>
      <c r="D151" s="60"/>
      <c r="E151" s="44">
        <f>E152+E156</f>
        <v>5562</v>
      </c>
      <c r="F151" s="44">
        <f>F152+F156</f>
        <v>6279.2</v>
      </c>
      <c r="G151" s="44">
        <f>G152+G156</f>
        <v>6148.6</v>
      </c>
      <c r="H151" s="44">
        <f>H152+H156</f>
        <v>6149</v>
      </c>
      <c r="I151" s="178"/>
      <c r="J151" s="179"/>
      <c r="K151" s="179"/>
      <c r="L151" s="179"/>
      <c r="M151" s="180"/>
    </row>
    <row r="152" spans="1:13" ht="102" x14ac:dyDescent="0.25">
      <c r="A152" s="150" t="s">
        <v>340</v>
      </c>
      <c r="B152" s="135" t="s">
        <v>341</v>
      </c>
      <c r="C152" s="135" t="s">
        <v>342</v>
      </c>
      <c r="D152" s="45"/>
      <c r="E152" s="46">
        <f>SUM(E153:E155)</f>
        <v>5462</v>
      </c>
      <c r="F152" s="46">
        <f>SUM(F153:F155)</f>
        <v>5779.2</v>
      </c>
      <c r="G152" s="46">
        <f>SUM(G153:G155)</f>
        <v>5648.6</v>
      </c>
      <c r="H152" s="46">
        <f>SUM(H153:H155)</f>
        <v>5649</v>
      </c>
      <c r="I152" s="14" t="s">
        <v>343</v>
      </c>
      <c r="J152" s="45" t="s">
        <v>94</v>
      </c>
      <c r="K152" s="45" t="s">
        <v>189</v>
      </c>
      <c r="L152" s="45" t="s">
        <v>189</v>
      </c>
      <c r="M152" s="71" t="s">
        <v>189</v>
      </c>
    </row>
    <row r="153" spans="1:13" ht="49.5" customHeight="1" x14ac:dyDescent="0.25">
      <c r="A153" s="151"/>
      <c r="B153" s="136"/>
      <c r="C153" s="136"/>
      <c r="D153" s="39" t="s">
        <v>28</v>
      </c>
      <c r="E153" s="53">
        <v>5007</v>
      </c>
      <c r="F153" s="47">
        <v>5419.2</v>
      </c>
      <c r="G153" s="47">
        <v>5288.6</v>
      </c>
      <c r="H153" s="47">
        <v>5289</v>
      </c>
      <c r="I153" s="144" t="s">
        <v>344</v>
      </c>
      <c r="J153" s="146" t="s">
        <v>94</v>
      </c>
      <c r="K153" s="146" t="s">
        <v>189</v>
      </c>
      <c r="L153" s="146" t="s">
        <v>189</v>
      </c>
      <c r="M153" s="148" t="s">
        <v>189</v>
      </c>
    </row>
    <row r="154" spans="1:13" x14ac:dyDescent="0.25">
      <c r="A154" s="151"/>
      <c r="B154" s="136"/>
      <c r="C154" s="136"/>
      <c r="D154" s="39" t="s">
        <v>190</v>
      </c>
      <c r="E154" s="53">
        <v>25</v>
      </c>
      <c r="F154" s="47"/>
      <c r="G154" s="47"/>
      <c r="H154" s="47"/>
      <c r="I154" s="136"/>
      <c r="J154" s="139"/>
      <c r="K154" s="139"/>
      <c r="L154" s="139"/>
      <c r="M154" s="142"/>
    </row>
    <row r="155" spans="1:13" ht="15.75" thickBot="1" x14ac:dyDescent="0.3">
      <c r="A155" s="152"/>
      <c r="B155" s="137"/>
      <c r="C155" s="137"/>
      <c r="D155" s="39" t="s">
        <v>345</v>
      </c>
      <c r="E155" s="53">
        <v>430</v>
      </c>
      <c r="F155" s="47">
        <v>360</v>
      </c>
      <c r="G155" s="47">
        <v>360</v>
      </c>
      <c r="H155" s="47">
        <v>360</v>
      </c>
      <c r="I155" s="137"/>
      <c r="J155" s="140"/>
      <c r="K155" s="140"/>
      <c r="L155" s="140"/>
      <c r="M155" s="143"/>
    </row>
    <row r="156" spans="1:13" ht="39" thickBot="1" x14ac:dyDescent="0.3">
      <c r="A156" s="12" t="s">
        <v>346</v>
      </c>
      <c r="B156" s="13" t="s">
        <v>347</v>
      </c>
      <c r="C156" s="14" t="s">
        <v>237</v>
      </c>
      <c r="D156" s="45" t="s">
        <v>28</v>
      </c>
      <c r="E156" s="54">
        <v>100</v>
      </c>
      <c r="F156" s="55">
        <v>500</v>
      </c>
      <c r="G156" s="55">
        <v>500</v>
      </c>
      <c r="H156" s="55">
        <v>500</v>
      </c>
      <c r="I156" s="14" t="s">
        <v>348</v>
      </c>
      <c r="J156" s="45" t="s">
        <v>21</v>
      </c>
      <c r="K156" s="45" t="s">
        <v>189</v>
      </c>
      <c r="L156" s="45" t="s">
        <v>189</v>
      </c>
      <c r="M156" s="71" t="s">
        <v>189</v>
      </c>
    </row>
    <row r="157" spans="1:13" ht="26.25" thickBot="1" x14ac:dyDescent="0.3">
      <c r="A157" s="9" t="s">
        <v>349</v>
      </c>
      <c r="B157" s="10" t="s">
        <v>350</v>
      </c>
      <c r="C157" s="11"/>
      <c r="D157" s="60"/>
      <c r="E157" s="44">
        <f>E158+E161+E165</f>
        <v>687.4</v>
      </c>
      <c r="F157" s="44">
        <f>F158+F161+F165</f>
        <v>1152.5</v>
      </c>
      <c r="G157" s="44">
        <f>G158+G161+G165</f>
        <v>397.5</v>
      </c>
      <c r="H157" s="44">
        <f>H158+H161+H165</f>
        <v>275</v>
      </c>
      <c r="I157" s="178"/>
      <c r="J157" s="179"/>
      <c r="K157" s="179"/>
      <c r="L157" s="179"/>
      <c r="M157" s="180"/>
    </row>
    <row r="158" spans="1:13" ht="25.5" x14ac:dyDescent="0.25">
      <c r="A158" s="150" t="s">
        <v>351</v>
      </c>
      <c r="B158" s="135" t="s">
        <v>352</v>
      </c>
      <c r="C158" s="135" t="s">
        <v>237</v>
      </c>
      <c r="D158" s="45" t="s">
        <v>28</v>
      </c>
      <c r="E158" s="54">
        <v>100</v>
      </c>
      <c r="F158" s="46">
        <f>SUM(F159:F160)+280</f>
        <v>280</v>
      </c>
      <c r="G158" s="46">
        <f>SUM(G159:G160)+270</f>
        <v>270</v>
      </c>
      <c r="H158" s="46">
        <f>SUM(H159:H160)+270</f>
        <v>270</v>
      </c>
      <c r="I158" s="14" t="s">
        <v>353</v>
      </c>
      <c r="J158" s="45" t="s">
        <v>21</v>
      </c>
      <c r="K158" s="45" t="s">
        <v>30</v>
      </c>
      <c r="L158" s="45" t="s">
        <v>30</v>
      </c>
      <c r="M158" s="71" t="s">
        <v>30</v>
      </c>
    </row>
    <row r="159" spans="1:13" x14ac:dyDescent="0.25">
      <c r="A159" s="151"/>
      <c r="B159" s="136"/>
      <c r="C159" s="136"/>
      <c r="D159" s="39"/>
      <c r="E159" s="39"/>
      <c r="F159" s="47"/>
      <c r="G159" s="47"/>
      <c r="H159" s="47"/>
      <c r="I159" s="17" t="s">
        <v>354</v>
      </c>
      <c r="J159" s="39" t="s">
        <v>355</v>
      </c>
      <c r="K159" s="39" t="s">
        <v>356</v>
      </c>
      <c r="L159" s="39" t="s">
        <v>356</v>
      </c>
      <c r="M159" s="72" t="s">
        <v>356</v>
      </c>
    </row>
    <row r="160" spans="1:13" ht="39" thickBot="1" x14ac:dyDescent="0.3">
      <c r="A160" s="152"/>
      <c r="B160" s="137"/>
      <c r="C160" s="137"/>
      <c r="D160" s="39"/>
      <c r="E160" s="39"/>
      <c r="F160" s="47"/>
      <c r="G160" s="47"/>
      <c r="H160" s="47"/>
      <c r="I160" s="17" t="s">
        <v>357</v>
      </c>
      <c r="J160" s="39" t="s">
        <v>94</v>
      </c>
      <c r="K160" s="39" t="s">
        <v>189</v>
      </c>
      <c r="L160" s="39" t="s">
        <v>189</v>
      </c>
      <c r="M160" s="72" t="s">
        <v>189</v>
      </c>
    </row>
    <row r="161" spans="1:13" ht="38.25" customHeight="1" x14ac:dyDescent="0.25">
      <c r="A161" s="150" t="s">
        <v>358</v>
      </c>
      <c r="B161" s="135" t="s">
        <v>359</v>
      </c>
      <c r="C161" s="135" t="s">
        <v>360</v>
      </c>
      <c r="D161" s="45"/>
      <c r="E161" s="46">
        <f>SUM(E162:E164)</f>
        <v>187.4</v>
      </c>
      <c r="F161" s="46">
        <f>SUM(F162:F164)</f>
        <v>82.5</v>
      </c>
      <c r="G161" s="46">
        <f>SUM(G162:G164)</f>
        <v>127.5</v>
      </c>
      <c r="H161" s="46">
        <f>SUM(H162:H164)</f>
        <v>5</v>
      </c>
      <c r="I161" s="14" t="s">
        <v>361</v>
      </c>
      <c r="J161" s="45" t="s">
        <v>94</v>
      </c>
      <c r="K161" s="45" t="s">
        <v>106</v>
      </c>
      <c r="L161" s="45" t="s">
        <v>189</v>
      </c>
      <c r="M161" s="71"/>
    </row>
    <row r="162" spans="1:13" ht="38.25" customHeight="1" x14ac:dyDescent="0.25">
      <c r="A162" s="151"/>
      <c r="B162" s="136"/>
      <c r="C162" s="136"/>
      <c r="D162" s="39" t="s">
        <v>139</v>
      </c>
      <c r="E162" s="53">
        <v>30</v>
      </c>
      <c r="F162" s="47">
        <v>10</v>
      </c>
      <c r="G162" s="47"/>
      <c r="H162" s="47"/>
      <c r="I162" s="144" t="s">
        <v>362</v>
      </c>
      <c r="J162" s="146" t="s">
        <v>94</v>
      </c>
      <c r="K162" s="146" t="s">
        <v>189</v>
      </c>
      <c r="L162" s="146" t="s">
        <v>189</v>
      </c>
      <c r="M162" s="148" t="s">
        <v>189</v>
      </c>
    </row>
    <row r="163" spans="1:13" x14ac:dyDescent="0.25">
      <c r="A163" s="151"/>
      <c r="B163" s="136"/>
      <c r="C163" s="136"/>
      <c r="D163" s="39" t="s">
        <v>190</v>
      </c>
      <c r="E163" s="39">
        <v>157.4</v>
      </c>
      <c r="F163" s="47"/>
      <c r="G163" s="47"/>
      <c r="H163" s="47"/>
      <c r="I163" s="136"/>
      <c r="J163" s="139"/>
      <c r="K163" s="139"/>
      <c r="L163" s="139"/>
      <c r="M163" s="142"/>
    </row>
    <row r="164" spans="1:13" ht="15.75" thickBot="1" x14ac:dyDescent="0.3">
      <c r="A164" s="152"/>
      <c r="B164" s="137"/>
      <c r="C164" s="137"/>
      <c r="D164" s="39" t="s">
        <v>28</v>
      </c>
      <c r="E164" s="39"/>
      <c r="F164" s="47">
        <v>72.5</v>
      </c>
      <c r="G164" s="47">
        <v>127.5</v>
      </c>
      <c r="H164" s="47">
        <v>5</v>
      </c>
      <c r="I164" s="137"/>
      <c r="J164" s="140"/>
      <c r="K164" s="140"/>
      <c r="L164" s="140"/>
      <c r="M164" s="143"/>
    </row>
    <row r="165" spans="1:13" ht="63.75" customHeight="1" x14ac:dyDescent="0.25">
      <c r="A165" s="150" t="s">
        <v>363</v>
      </c>
      <c r="B165" s="135" t="s">
        <v>364</v>
      </c>
      <c r="C165" s="135" t="s">
        <v>365</v>
      </c>
      <c r="D165" s="70"/>
      <c r="E165" s="56">
        <f>SUM(E166:E167)</f>
        <v>400</v>
      </c>
      <c r="F165" s="56">
        <f t="shared" ref="F165" si="11">SUM(F166:F167)</f>
        <v>790</v>
      </c>
      <c r="G165" s="70"/>
      <c r="H165" s="70"/>
      <c r="I165" s="135" t="s">
        <v>366</v>
      </c>
      <c r="J165" s="138" t="s">
        <v>94</v>
      </c>
      <c r="K165" s="138" t="s">
        <v>189</v>
      </c>
      <c r="L165" s="138"/>
      <c r="M165" s="141"/>
    </row>
    <row r="166" spans="1:13" x14ac:dyDescent="0.25">
      <c r="A166" s="151"/>
      <c r="B166" s="136"/>
      <c r="C166" s="136"/>
      <c r="D166" s="39" t="s">
        <v>28</v>
      </c>
      <c r="E166" s="39"/>
      <c r="F166" s="47">
        <v>790</v>
      </c>
      <c r="G166" s="47"/>
      <c r="H166" s="47"/>
      <c r="I166" s="136"/>
      <c r="J166" s="139"/>
      <c r="K166" s="139"/>
      <c r="L166" s="139"/>
      <c r="M166" s="142"/>
    </row>
    <row r="167" spans="1:13" ht="15.75" thickBot="1" x14ac:dyDescent="0.3">
      <c r="A167" s="152"/>
      <c r="B167" s="137"/>
      <c r="C167" s="137"/>
      <c r="D167" s="51" t="s">
        <v>190</v>
      </c>
      <c r="E167" s="48">
        <v>400</v>
      </c>
      <c r="F167" s="52"/>
      <c r="G167" s="52"/>
      <c r="H167" s="52"/>
      <c r="I167" s="137"/>
      <c r="J167" s="140"/>
      <c r="K167" s="140"/>
      <c r="L167" s="140"/>
      <c r="M167" s="143"/>
    </row>
    <row r="168" spans="1:13" ht="15" customHeight="1" thickBot="1" x14ac:dyDescent="0.3">
      <c r="A168" s="9" t="s">
        <v>367</v>
      </c>
      <c r="B168" s="10" t="s">
        <v>368</v>
      </c>
      <c r="C168" s="11"/>
      <c r="D168" s="60"/>
      <c r="E168" s="44">
        <f>E169+E173+E179+E185+E191+E197+E203+E209</f>
        <v>12189.099999999999</v>
      </c>
      <c r="F168" s="44">
        <f>F169+F173+F179+F185+F191+F197+F203+F209</f>
        <v>4580.8</v>
      </c>
      <c r="G168" s="44">
        <f>G169+G173+G179+G185+G191+G197+G203+G209</f>
        <v>972.59999999999991</v>
      </c>
      <c r="H168" s="44">
        <f>H169+H173+H179+H185+H191+H197+H203+H209</f>
        <v>200</v>
      </c>
      <c r="I168" s="178"/>
      <c r="J168" s="179"/>
      <c r="K168" s="179"/>
      <c r="L168" s="179"/>
      <c r="M168" s="180"/>
    </row>
    <row r="169" spans="1:13" ht="1.5" hidden="1" customHeight="1" thickBot="1" x14ac:dyDescent="0.3">
      <c r="A169" s="31" t="s">
        <v>369</v>
      </c>
      <c r="B169" s="32" t="s">
        <v>370</v>
      </c>
      <c r="C169" s="36" t="s">
        <v>184</v>
      </c>
      <c r="D169" s="70"/>
      <c r="E169" s="70">
        <f>SUM(E170:E172)</f>
        <v>277.59999999999997</v>
      </c>
      <c r="F169" s="50"/>
      <c r="G169" s="50"/>
      <c r="H169" s="50"/>
      <c r="I169" s="36"/>
      <c r="J169" s="70"/>
      <c r="K169" s="70"/>
      <c r="L169" s="70"/>
      <c r="M169" s="77"/>
    </row>
    <row r="170" spans="1:13" ht="15.75" hidden="1" thickBot="1" x14ac:dyDescent="0.3">
      <c r="A170" s="15"/>
      <c r="B170" s="16"/>
      <c r="C170" s="17"/>
      <c r="D170" s="39" t="s">
        <v>190</v>
      </c>
      <c r="E170" s="53">
        <v>6</v>
      </c>
      <c r="F170" s="47"/>
      <c r="G170" s="47"/>
      <c r="H170" s="47"/>
      <c r="I170" s="17"/>
      <c r="J170" s="39"/>
      <c r="K170" s="39"/>
      <c r="L170" s="39"/>
      <c r="M170" s="72"/>
    </row>
    <row r="171" spans="1:13" ht="15.75" hidden="1" thickBot="1" x14ac:dyDescent="0.3">
      <c r="A171" s="15"/>
      <c r="B171" s="16"/>
      <c r="C171" s="17"/>
      <c r="D171" s="39" t="s">
        <v>216</v>
      </c>
      <c r="E171" s="39">
        <v>251.2</v>
      </c>
      <c r="F171" s="47"/>
      <c r="G171" s="47"/>
      <c r="H171" s="47"/>
      <c r="I171" s="17"/>
      <c r="J171" s="39"/>
      <c r="K171" s="39"/>
      <c r="L171" s="39"/>
      <c r="M171" s="72"/>
    </row>
    <row r="172" spans="1:13" ht="15.75" hidden="1" thickBot="1" x14ac:dyDescent="0.3">
      <c r="A172" s="88"/>
      <c r="B172" s="89"/>
      <c r="C172" s="37"/>
      <c r="D172" s="51" t="s">
        <v>148</v>
      </c>
      <c r="E172" s="51">
        <v>20.399999999999999</v>
      </c>
      <c r="F172" s="52"/>
      <c r="G172" s="52"/>
      <c r="H172" s="52"/>
      <c r="I172" s="30"/>
      <c r="J172" s="51"/>
      <c r="K172" s="51"/>
      <c r="L172" s="51"/>
      <c r="M172" s="76"/>
    </row>
    <row r="173" spans="1:13" ht="25.5" customHeight="1" x14ac:dyDescent="0.25">
      <c r="A173" s="150" t="s">
        <v>371</v>
      </c>
      <c r="B173" s="135" t="s">
        <v>372</v>
      </c>
      <c r="C173" s="135" t="s">
        <v>184</v>
      </c>
      <c r="D173" s="45"/>
      <c r="E173" s="46">
        <f>SUM(E174:E178)</f>
        <v>3581.6</v>
      </c>
      <c r="F173" s="46">
        <f>SUM(F174:F178)</f>
        <v>1245.3</v>
      </c>
      <c r="G173" s="46"/>
      <c r="H173" s="46"/>
      <c r="I173" s="14" t="s">
        <v>373</v>
      </c>
      <c r="J173" s="45" t="s">
        <v>94</v>
      </c>
      <c r="K173" s="45" t="s">
        <v>189</v>
      </c>
      <c r="L173" s="45"/>
      <c r="M173" s="71"/>
    </row>
    <row r="174" spans="1:13" ht="38.25" customHeight="1" x14ac:dyDescent="0.25">
      <c r="A174" s="151"/>
      <c r="B174" s="136"/>
      <c r="C174" s="136"/>
      <c r="D174" s="39" t="s">
        <v>216</v>
      </c>
      <c r="E174" s="39">
        <v>1054.7</v>
      </c>
      <c r="F174" s="47">
        <v>432.7</v>
      </c>
      <c r="G174" s="47"/>
      <c r="H174" s="47"/>
      <c r="I174" s="144" t="s">
        <v>374</v>
      </c>
      <c r="J174" s="146" t="s">
        <v>21</v>
      </c>
      <c r="K174" s="146" t="s">
        <v>30</v>
      </c>
      <c r="L174" s="146"/>
      <c r="M174" s="148"/>
    </row>
    <row r="175" spans="1:13" x14ac:dyDescent="0.25">
      <c r="A175" s="151"/>
      <c r="B175" s="136"/>
      <c r="C175" s="136"/>
      <c r="D175" s="39" t="s">
        <v>190</v>
      </c>
      <c r="E175" s="53">
        <v>658</v>
      </c>
      <c r="F175" s="47">
        <v>474.4</v>
      </c>
      <c r="G175" s="47"/>
      <c r="H175" s="47"/>
      <c r="I175" s="136"/>
      <c r="J175" s="139"/>
      <c r="K175" s="139"/>
      <c r="L175" s="139"/>
      <c r="M175" s="142"/>
    </row>
    <row r="176" spans="1:13" x14ac:dyDescent="0.25">
      <c r="A176" s="151"/>
      <c r="B176" s="136"/>
      <c r="C176" s="136"/>
      <c r="D176" s="39" t="s">
        <v>28</v>
      </c>
      <c r="E176" s="53">
        <v>144.9</v>
      </c>
      <c r="F176" s="47"/>
      <c r="G176" s="47"/>
      <c r="H176" s="47"/>
      <c r="I176" s="136"/>
      <c r="J176" s="139"/>
      <c r="K176" s="139"/>
      <c r="L176" s="139"/>
      <c r="M176" s="142"/>
    </row>
    <row r="177" spans="1:13" x14ac:dyDescent="0.25">
      <c r="A177" s="151"/>
      <c r="B177" s="136"/>
      <c r="C177" s="136"/>
      <c r="D177" s="39" t="s">
        <v>375</v>
      </c>
      <c r="E177" s="39">
        <v>1639.3</v>
      </c>
      <c r="F177" s="47">
        <v>300</v>
      </c>
      <c r="G177" s="47"/>
      <c r="H177" s="47"/>
      <c r="I177" s="136"/>
      <c r="J177" s="139"/>
      <c r="K177" s="139"/>
      <c r="L177" s="139"/>
      <c r="M177" s="142"/>
    </row>
    <row r="178" spans="1:13" ht="15.75" thickBot="1" x14ac:dyDescent="0.3">
      <c r="A178" s="152"/>
      <c r="B178" s="137"/>
      <c r="C178" s="137"/>
      <c r="D178" s="39" t="s">
        <v>148</v>
      </c>
      <c r="E178" s="39">
        <v>84.7</v>
      </c>
      <c r="F178" s="47">
        <v>38.200000000000003</v>
      </c>
      <c r="G178" s="47"/>
      <c r="H178" s="47"/>
      <c r="I178" s="137"/>
      <c r="J178" s="140"/>
      <c r="K178" s="140"/>
      <c r="L178" s="140"/>
      <c r="M178" s="143"/>
    </row>
    <row r="179" spans="1:13" ht="63.75" customHeight="1" x14ac:dyDescent="0.25">
      <c r="A179" s="150" t="s">
        <v>376</v>
      </c>
      <c r="B179" s="135" t="s">
        <v>377</v>
      </c>
      <c r="C179" s="135" t="s">
        <v>378</v>
      </c>
      <c r="D179" s="45"/>
      <c r="E179" s="46">
        <f>SUM(E180:E184)</f>
        <v>2035.8999999999999</v>
      </c>
      <c r="F179" s="46">
        <f>SUM(F180:F184)</f>
        <v>203</v>
      </c>
      <c r="G179" s="46"/>
      <c r="H179" s="46"/>
      <c r="I179" s="14" t="s">
        <v>379</v>
      </c>
      <c r="J179" s="45" t="s">
        <v>276</v>
      </c>
      <c r="K179" s="45" t="s">
        <v>380</v>
      </c>
      <c r="L179" s="45"/>
      <c r="M179" s="71"/>
    </row>
    <row r="180" spans="1:13" x14ac:dyDescent="0.25">
      <c r="A180" s="151"/>
      <c r="B180" s="136"/>
      <c r="C180" s="136"/>
      <c r="D180" s="39" t="s">
        <v>190</v>
      </c>
      <c r="E180" s="53">
        <v>14</v>
      </c>
      <c r="F180" s="47">
        <v>150</v>
      </c>
      <c r="G180" s="47"/>
      <c r="H180" s="47"/>
      <c r="I180" s="144" t="s">
        <v>373</v>
      </c>
      <c r="J180" s="146" t="s">
        <v>94</v>
      </c>
      <c r="K180" s="146" t="s">
        <v>189</v>
      </c>
      <c r="L180" s="146"/>
      <c r="M180" s="148"/>
    </row>
    <row r="181" spans="1:13" x14ac:dyDescent="0.25">
      <c r="A181" s="151"/>
      <c r="B181" s="136"/>
      <c r="C181" s="136"/>
      <c r="D181" s="39" t="s">
        <v>28</v>
      </c>
      <c r="E181" s="39">
        <v>208.3</v>
      </c>
      <c r="F181" s="47"/>
      <c r="G181" s="47"/>
      <c r="H181" s="47"/>
      <c r="I181" s="136"/>
      <c r="J181" s="139"/>
      <c r="K181" s="139"/>
      <c r="L181" s="139"/>
      <c r="M181" s="142"/>
    </row>
    <row r="182" spans="1:13" x14ac:dyDescent="0.25">
      <c r="A182" s="151"/>
      <c r="B182" s="136"/>
      <c r="C182" s="136"/>
      <c r="D182" s="39" t="s">
        <v>375</v>
      </c>
      <c r="E182" s="53">
        <v>700</v>
      </c>
      <c r="F182" s="47"/>
      <c r="G182" s="47"/>
      <c r="H182" s="47"/>
      <c r="I182" s="136"/>
      <c r="J182" s="139"/>
      <c r="K182" s="139"/>
      <c r="L182" s="139"/>
      <c r="M182" s="142"/>
    </row>
    <row r="183" spans="1:13" x14ac:dyDescent="0.25">
      <c r="A183" s="151"/>
      <c r="B183" s="136"/>
      <c r="C183" s="136"/>
      <c r="D183" s="39" t="s">
        <v>148</v>
      </c>
      <c r="E183" s="39">
        <v>113.6</v>
      </c>
      <c r="F183" s="47">
        <v>28</v>
      </c>
      <c r="G183" s="47"/>
      <c r="H183" s="47"/>
      <c r="I183" s="136"/>
      <c r="J183" s="139"/>
      <c r="K183" s="139"/>
      <c r="L183" s="139"/>
      <c r="M183" s="142"/>
    </row>
    <row r="184" spans="1:13" ht="15.75" thickBot="1" x14ac:dyDescent="0.3">
      <c r="A184" s="152"/>
      <c r="B184" s="137"/>
      <c r="C184" s="137"/>
      <c r="D184" s="39" t="s">
        <v>216</v>
      </c>
      <c r="E184" s="53">
        <v>1000</v>
      </c>
      <c r="F184" s="47">
        <v>25</v>
      </c>
      <c r="G184" s="47"/>
      <c r="H184" s="47"/>
      <c r="I184" s="137"/>
      <c r="J184" s="140"/>
      <c r="K184" s="140"/>
      <c r="L184" s="140"/>
      <c r="M184" s="143"/>
    </row>
    <row r="185" spans="1:13" ht="63.75" customHeight="1" x14ac:dyDescent="0.25">
      <c r="A185" s="150" t="s">
        <v>381</v>
      </c>
      <c r="B185" s="135" t="s">
        <v>382</v>
      </c>
      <c r="C185" s="135" t="s">
        <v>378</v>
      </c>
      <c r="D185" s="45"/>
      <c r="E185" s="46">
        <f>SUM(E186:E190)</f>
        <v>2861.3</v>
      </c>
      <c r="F185" s="46">
        <f>SUM(F186:F190)</f>
        <v>1525</v>
      </c>
      <c r="G185" s="46"/>
      <c r="H185" s="46"/>
      <c r="I185" s="135" t="s">
        <v>374</v>
      </c>
      <c r="J185" s="138" t="s">
        <v>21</v>
      </c>
      <c r="K185" s="138" t="s">
        <v>30</v>
      </c>
      <c r="L185" s="138"/>
      <c r="M185" s="141"/>
    </row>
    <row r="186" spans="1:13" x14ac:dyDescent="0.25">
      <c r="A186" s="151"/>
      <c r="B186" s="136"/>
      <c r="C186" s="136"/>
      <c r="D186" s="39" t="s">
        <v>190</v>
      </c>
      <c r="E186" s="39">
        <v>1277.0999999999999</v>
      </c>
      <c r="F186" s="47">
        <v>350</v>
      </c>
      <c r="G186" s="47"/>
      <c r="H186" s="47"/>
      <c r="I186" s="136"/>
      <c r="J186" s="139"/>
      <c r="K186" s="139"/>
      <c r="L186" s="139"/>
      <c r="M186" s="142"/>
    </row>
    <row r="187" spans="1:13" x14ac:dyDescent="0.25">
      <c r="A187" s="151"/>
      <c r="B187" s="136"/>
      <c r="C187" s="136"/>
      <c r="D187" s="39" t="s">
        <v>375</v>
      </c>
      <c r="E187" s="53">
        <v>900</v>
      </c>
      <c r="F187" s="47"/>
      <c r="G187" s="47"/>
      <c r="H187" s="47"/>
      <c r="I187" s="136"/>
      <c r="J187" s="139"/>
      <c r="K187" s="139"/>
      <c r="L187" s="139"/>
      <c r="M187" s="142"/>
    </row>
    <row r="188" spans="1:13" x14ac:dyDescent="0.25">
      <c r="A188" s="151"/>
      <c r="B188" s="136"/>
      <c r="C188" s="136"/>
      <c r="D188" s="39" t="s">
        <v>28</v>
      </c>
      <c r="E188" s="39">
        <v>70.3</v>
      </c>
      <c r="F188" s="47">
        <v>100</v>
      </c>
      <c r="G188" s="47"/>
      <c r="H188" s="47"/>
      <c r="I188" s="136"/>
      <c r="J188" s="139"/>
      <c r="K188" s="139"/>
      <c r="L188" s="139"/>
      <c r="M188" s="142"/>
    </row>
    <row r="189" spans="1:13" x14ac:dyDescent="0.25">
      <c r="A189" s="151"/>
      <c r="B189" s="136"/>
      <c r="C189" s="136"/>
      <c r="D189" s="39" t="s">
        <v>148</v>
      </c>
      <c r="E189" s="39">
        <v>48.2</v>
      </c>
      <c r="F189" s="47">
        <v>87.2</v>
      </c>
      <c r="G189" s="47"/>
      <c r="H189" s="47"/>
      <c r="I189" s="136"/>
      <c r="J189" s="139"/>
      <c r="K189" s="139"/>
      <c r="L189" s="139"/>
      <c r="M189" s="142"/>
    </row>
    <row r="190" spans="1:13" ht="15.75" thickBot="1" x14ac:dyDescent="0.3">
      <c r="A190" s="152"/>
      <c r="B190" s="137"/>
      <c r="C190" s="137"/>
      <c r="D190" s="39" t="s">
        <v>216</v>
      </c>
      <c r="E190" s="39">
        <v>565.70000000000005</v>
      </c>
      <c r="F190" s="47">
        <v>987.8</v>
      </c>
      <c r="G190" s="47"/>
      <c r="H190" s="47"/>
      <c r="I190" s="137"/>
      <c r="J190" s="140"/>
      <c r="K190" s="140"/>
      <c r="L190" s="140"/>
      <c r="M190" s="143"/>
    </row>
    <row r="191" spans="1:13" ht="38.25" customHeight="1" x14ac:dyDescent="0.25">
      <c r="A191" s="150" t="s">
        <v>383</v>
      </c>
      <c r="B191" s="135" t="s">
        <v>384</v>
      </c>
      <c r="C191" s="135" t="s">
        <v>385</v>
      </c>
      <c r="D191" s="45"/>
      <c r="E191" s="46">
        <f>SUM(E192:E196)</f>
        <v>1217.8999999999999</v>
      </c>
      <c r="F191" s="46">
        <f>SUM(F192:F196)</f>
        <v>43</v>
      </c>
      <c r="G191" s="46"/>
      <c r="H191" s="46"/>
      <c r="I191" s="135" t="s">
        <v>374</v>
      </c>
      <c r="J191" s="138" t="s">
        <v>21</v>
      </c>
      <c r="K191" s="138" t="s">
        <v>30</v>
      </c>
      <c r="L191" s="138"/>
      <c r="M191" s="141"/>
    </row>
    <row r="192" spans="1:13" x14ac:dyDescent="0.25">
      <c r="A192" s="151"/>
      <c r="B192" s="136"/>
      <c r="C192" s="136"/>
      <c r="D192" s="39" t="s">
        <v>216</v>
      </c>
      <c r="E192" s="39">
        <v>403.8</v>
      </c>
      <c r="F192" s="47">
        <v>10</v>
      </c>
      <c r="G192" s="47"/>
      <c r="H192" s="47"/>
      <c r="I192" s="136"/>
      <c r="J192" s="139"/>
      <c r="K192" s="139"/>
      <c r="L192" s="139"/>
      <c r="M192" s="142"/>
    </row>
    <row r="193" spans="1:13" x14ac:dyDescent="0.25">
      <c r="A193" s="151"/>
      <c r="B193" s="136"/>
      <c r="C193" s="136"/>
      <c r="D193" s="39" t="s">
        <v>375</v>
      </c>
      <c r="E193" s="53">
        <v>650</v>
      </c>
      <c r="F193" s="47"/>
      <c r="G193" s="47"/>
      <c r="H193" s="47"/>
      <c r="I193" s="136"/>
      <c r="J193" s="139"/>
      <c r="K193" s="139"/>
      <c r="L193" s="139"/>
      <c r="M193" s="142"/>
    </row>
    <row r="194" spans="1:13" x14ac:dyDescent="0.25">
      <c r="A194" s="151"/>
      <c r="B194" s="136"/>
      <c r="C194" s="136"/>
      <c r="D194" s="39" t="s">
        <v>28</v>
      </c>
      <c r="E194" s="39">
        <v>108.3</v>
      </c>
      <c r="F194" s="47"/>
      <c r="G194" s="47"/>
      <c r="H194" s="47"/>
      <c r="I194" s="136"/>
      <c r="J194" s="139"/>
      <c r="K194" s="139"/>
      <c r="L194" s="139"/>
      <c r="M194" s="142"/>
    </row>
    <row r="195" spans="1:13" x14ac:dyDescent="0.25">
      <c r="A195" s="151"/>
      <c r="B195" s="136"/>
      <c r="C195" s="136"/>
      <c r="D195" s="39" t="s">
        <v>190</v>
      </c>
      <c r="E195" s="39">
        <v>20.3</v>
      </c>
      <c r="F195" s="47">
        <v>30</v>
      </c>
      <c r="G195" s="47"/>
      <c r="H195" s="47"/>
      <c r="I195" s="136"/>
      <c r="J195" s="139"/>
      <c r="K195" s="139"/>
      <c r="L195" s="139"/>
      <c r="M195" s="142"/>
    </row>
    <row r="196" spans="1:13" ht="15.75" thickBot="1" x14ac:dyDescent="0.3">
      <c r="A196" s="152"/>
      <c r="B196" s="137"/>
      <c r="C196" s="137"/>
      <c r="D196" s="39" t="s">
        <v>148</v>
      </c>
      <c r="E196" s="39">
        <v>35.5</v>
      </c>
      <c r="F196" s="47">
        <v>3</v>
      </c>
      <c r="G196" s="47"/>
      <c r="H196" s="47"/>
      <c r="I196" s="137"/>
      <c r="J196" s="140"/>
      <c r="K196" s="140"/>
      <c r="L196" s="140"/>
      <c r="M196" s="143"/>
    </row>
    <row r="197" spans="1:13" ht="51" customHeight="1" x14ac:dyDescent="0.25">
      <c r="A197" s="150" t="s">
        <v>386</v>
      </c>
      <c r="B197" s="135" t="s">
        <v>387</v>
      </c>
      <c r="C197" s="135" t="s">
        <v>388</v>
      </c>
      <c r="D197" s="45"/>
      <c r="E197" s="46">
        <f>SUM(E198:E202)</f>
        <v>1276.5</v>
      </c>
      <c r="F197" s="46">
        <f>SUM(F198:F202)</f>
        <v>1122.5</v>
      </c>
      <c r="G197" s="46">
        <f>SUM(G198:G202)</f>
        <v>772.59999999999991</v>
      </c>
      <c r="H197" s="46"/>
      <c r="I197" s="14" t="s">
        <v>373</v>
      </c>
      <c r="J197" s="45" t="s">
        <v>94</v>
      </c>
      <c r="K197" s="45" t="s">
        <v>389</v>
      </c>
      <c r="L197" s="45" t="s">
        <v>189</v>
      </c>
      <c r="M197" s="71"/>
    </row>
    <row r="198" spans="1:13" ht="25.5" customHeight="1" x14ac:dyDescent="0.25">
      <c r="A198" s="151"/>
      <c r="B198" s="136"/>
      <c r="C198" s="136"/>
      <c r="D198" s="39" t="s">
        <v>375</v>
      </c>
      <c r="E198" s="39"/>
      <c r="F198" s="47">
        <v>127.1</v>
      </c>
      <c r="G198" s="47"/>
      <c r="H198" s="47"/>
      <c r="I198" s="144" t="s">
        <v>379</v>
      </c>
      <c r="J198" s="146" t="s">
        <v>276</v>
      </c>
      <c r="K198" s="146"/>
      <c r="L198" s="146" t="s">
        <v>390</v>
      </c>
      <c r="M198" s="148"/>
    </row>
    <row r="199" spans="1:13" x14ac:dyDescent="0.25">
      <c r="A199" s="151"/>
      <c r="B199" s="136"/>
      <c r="C199" s="136"/>
      <c r="D199" s="39" t="s">
        <v>216</v>
      </c>
      <c r="E199" s="39"/>
      <c r="F199" s="47">
        <v>273.39999999999998</v>
      </c>
      <c r="G199" s="47">
        <v>273.39999999999998</v>
      </c>
      <c r="H199" s="47"/>
      <c r="I199" s="136"/>
      <c r="J199" s="139"/>
      <c r="K199" s="139"/>
      <c r="L199" s="139"/>
      <c r="M199" s="142"/>
    </row>
    <row r="200" spans="1:13" x14ac:dyDescent="0.25">
      <c r="A200" s="151"/>
      <c r="B200" s="136"/>
      <c r="C200" s="136"/>
      <c r="D200" s="39" t="s">
        <v>148</v>
      </c>
      <c r="E200" s="39"/>
      <c r="F200" s="47">
        <v>24.1</v>
      </c>
      <c r="G200" s="47">
        <v>24.2</v>
      </c>
      <c r="H200" s="47"/>
      <c r="I200" s="136"/>
      <c r="J200" s="139"/>
      <c r="K200" s="139"/>
      <c r="L200" s="139"/>
      <c r="M200" s="142"/>
    </row>
    <row r="201" spans="1:13" x14ac:dyDescent="0.25">
      <c r="A201" s="151"/>
      <c r="B201" s="136"/>
      <c r="C201" s="136"/>
      <c r="D201" s="39" t="s">
        <v>28</v>
      </c>
      <c r="E201" s="39">
        <v>53.2</v>
      </c>
      <c r="F201" s="47">
        <v>297.89999999999998</v>
      </c>
      <c r="G201" s="47">
        <v>475</v>
      </c>
      <c r="H201" s="47"/>
      <c r="I201" s="136"/>
      <c r="J201" s="139"/>
      <c r="K201" s="139"/>
      <c r="L201" s="139"/>
      <c r="M201" s="142"/>
    </row>
    <row r="202" spans="1:13" ht="15.75" thickBot="1" x14ac:dyDescent="0.3">
      <c r="A202" s="152"/>
      <c r="B202" s="137"/>
      <c r="C202" s="137"/>
      <c r="D202" s="39" t="s">
        <v>190</v>
      </c>
      <c r="E202" s="39">
        <v>1223.3</v>
      </c>
      <c r="F202" s="47">
        <v>400</v>
      </c>
      <c r="G202" s="47"/>
      <c r="H202" s="47"/>
      <c r="I202" s="137"/>
      <c r="J202" s="140"/>
      <c r="K202" s="140"/>
      <c r="L202" s="140"/>
      <c r="M202" s="143"/>
    </row>
    <row r="203" spans="1:13" ht="38.25" customHeight="1" x14ac:dyDescent="0.25">
      <c r="A203" s="150" t="s">
        <v>391</v>
      </c>
      <c r="B203" s="135" t="s">
        <v>392</v>
      </c>
      <c r="C203" s="135" t="s">
        <v>257</v>
      </c>
      <c r="D203" s="45"/>
      <c r="E203" s="46">
        <f>SUM(E204:E208)</f>
        <v>833.5</v>
      </c>
      <c r="F203" s="46">
        <f>SUM(F204:F208)</f>
        <v>134.5</v>
      </c>
      <c r="G203" s="46"/>
      <c r="H203" s="46"/>
      <c r="I203" s="135" t="s">
        <v>374</v>
      </c>
      <c r="J203" s="138" t="s">
        <v>21</v>
      </c>
      <c r="K203" s="138" t="s">
        <v>30</v>
      </c>
      <c r="L203" s="138"/>
      <c r="M203" s="141"/>
    </row>
    <row r="204" spans="1:13" x14ac:dyDescent="0.25">
      <c r="A204" s="151"/>
      <c r="B204" s="136"/>
      <c r="C204" s="136"/>
      <c r="D204" s="39" t="s">
        <v>216</v>
      </c>
      <c r="E204" s="39">
        <v>204.7</v>
      </c>
      <c r="F204" s="47">
        <v>20</v>
      </c>
      <c r="G204" s="47"/>
      <c r="H204" s="47"/>
      <c r="I204" s="136"/>
      <c r="J204" s="139"/>
      <c r="K204" s="139"/>
      <c r="L204" s="139"/>
      <c r="M204" s="142"/>
    </row>
    <row r="205" spans="1:13" x14ac:dyDescent="0.25">
      <c r="A205" s="151"/>
      <c r="B205" s="136"/>
      <c r="C205" s="136"/>
      <c r="D205" s="39" t="s">
        <v>148</v>
      </c>
      <c r="E205" s="39">
        <v>20.8</v>
      </c>
      <c r="F205" s="47">
        <v>4.5</v>
      </c>
      <c r="G205" s="47"/>
      <c r="H205" s="47"/>
      <c r="I205" s="136"/>
      <c r="J205" s="139"/>
      <c r="K205" s="139"/>
      <c r="L205" s="139"/>
      <c r="M205" s="142"/>
    </row>
    <row r="206" spans="1:13" x14ac:dyDescent="0.25">
      <c r="A206" s="151"/>
      <c r="B206" s="136"/>
      <c r="C206" s="136"/>
      <c r="D206" s="39" t="s">
        <v>28</v>
      </c>
      <c r="E206" s="39">
        <v>108.3</v>
      </c>
      <c r="F206" s="47"/>
      <c r="G206" s="47"/>
      <c r="H206" s="47"/>
      <c r="I206" s="136"/>
      <c r="J206" s="139"/>
      <c r="K206" s="139"/>
      <c r="L206" s="139"/>
      <c r="M206" s="142"/>
    </row>
    <row r="207" spans="1:13" x14ac:dyDescent="0.25">
      <c r="A207" s="151"/>
      <c r="B207" s="136"/>
      <c r="C207" s="136"/>
      <c r="D207" s="39" t="s">
        <v>375</v>
      </c>
      <c r="E207" s="53">
        <v>250</v>
      </c>
      <c r="F207" s="47"/>
      <c r="G207" s="47"/>
      <c r="H207" s="47"/>
      <c r="I207" s="136"/>
      <c r="J207" s="139"/>
      <c r="K207" s="139"/>
      <c r="L207" s="139"/>
      <c r="M207" s="142"/>
    </row>
    <row r="208" spans="1:13" ht="15.75" thickBot="1" x14ac:dyDescent="0.3">
      <c r="A208" s="152"/>
      <c r="B208" s="137"/>
      <c r="C208" s="137"/>
      <c r="D208" s="39" t="s">
        <v>190</v>
      </c>
      <c r="E208" s="39">
        <v>249.7</v>
      </c>
      <c r="F208" s="47">
        <v>110</v>
      </c>
      <c r="G208" s="47"/>
      <c r="H208" s="47"/>
      <c r="I208" s="137"/>
      <c r="J208" s="140"/>
      <c r="K208" s="140"/>
      <c r="L208" s="140"/>
      <c r="M208" s="143"/>
    </row>
    <row r="209" spans="1:13" ht="25.5" customHeight="1" x14ac:dyDescent="0.25">
      <c r="A209" s="150" t="s">
        <v>393</v>
      </c>
      <c r="B209" s="135" t="s">
        <v>394</v>
      </c>
      <c r="C209" s="135" t="s">
        <v>395</v>
      </c>
      <c r="D209" s="45" t="s">
        <v>28</v>
      </c>
      <c r="E209" s="45">
        <v>104.8</v>
      </c>
      <c r="F209" s="46">
        <f>SUM(F210:F213)+307.5</f>
        <v>307.5</v>
      </c>
      <c r="G209" s="46">
        <f>SUM(G210:G213)+200</f>
        <v>200</v>
      </c>
      <c r="H209" s="46">
        <f>SUM(H210:H213)+200</f>
        <v>200</v>
      </c>
      <c r="I209" s="14" t="s">
        <v>396</v>
      </c>
      <c r="J209" s="45" t="s">
        <v>21</v>
      </c>
      <c r="K209" s="45" t="s">
        <v>114</v>
      </c>
      <c r="L209" s="45" t="s">
        <v>322</v>
      </c>
      <c r="M209" s="71" t="s">
        <v>264</v>
      </c>
    </row>
    <row r="210" spans="1:13" ht="63.75" x14ac:dyDescent="0.25">
      <c r="A210" s="151"/>
      <c r="B210" s="136"/>
      <c r="C210" s="136"/>
      <c r="D210" s="39"/>
      <c r="E210" s="39"/>
      <c r="F210" s="47"/>
      <c r="G210" s="47"/>
      <c r="H210" s="47"/>
      <c r="I210" s="17" t="s">
        <v>397</v>
      </c>
      <c r="J210" s="39" t="s">
        <v>21</v>
      </c>
      <c r="K210" s="39" t="s">
        <v>30</v>
      </c>
      <c r="L210" s="39" t="s">
        <v>30</v>
      </c>
      <c r="M210" s="72"/>
    </row>
    <row r="211" spans="1:13" ht="38.25" x14ac:dyDescent="0.25">
      <c r="A211" s="151"/>
      <c r="B211" s="136"/>
      <c r="C211" s="136"/>
      <c r="D211" s="39"/>
      <c r="E211" s="39"/>
      <c r="F211" s="47"/>
      <c r="G211" s="47"/>
      <c r="H211" s="47"/>
      <c r="I211" s="17" t="s">
        <v>398</v>
      </c>
      <c r="J211" s="39" t="s">
        <v>21</v>
      </c>
      <c r="K211" s="39" t="s">
        <v>399</v>
      </c>
      <c r="L211" s="39" t="s">
        <v>70</v>
      </c>
      <c r="M211" s="72" t="s">
        <v>114</v>
      </c>
    </row>
    <row r="212" spans="1:13" ht="38.25" x14ac:dyDescent="0.25">
      <c r="A212" s="151"/>
      <c r="B212" s="136"/>
      <c r="C212" s="136"/>
      <c r="D212" s="39"/>
      <c r="E212" s="39"/>
      <c r="F212" s="47"/>
      <c r="G212" s="47"/>
      <c r="H212" s="47"/>
      <c r="I212" s="17" t="s">
        <v>400</v>
      </c>
      <c r="J212" s="39" t="s">
        <v>21</v>
      </c>
      <c r="K212" s="39" t="s">
        <v>67</v>
      </c>
      <c r="L212" s="39" t="s">
        <v>30</v>
      </c>
      <c r="M212" s="72" t="s">
        <v>30</v>
      </c>
    </row>
    <row r="213" spans="1:13" ht="15.75" thickBot="1" x14ac:dyDescent="0.3">
      <c r="A213" s="152"/>
      <c r="B213" s="137"/>
      <c r="C213" s="137"/>
      <c r="D213" s="39"/>
      <c r="E213" s="39"/>
      <c r="F213" s="47"/>
      <c r="G213" s="47"/>
      <c r="H213" s="47"/>
      <c r="I213" s="17" t="s">
        <v>401</v>
      </c>
      <c r="J213" s="39" t="s">
        <v>21</v>
      </c>
      <c r="K213" s="39" t="s">
        <v>56</v>
      </c>
      <c r="L213" s="39" t="s">
        <v>30</v>
      </c>
      <c r="M213" s="72" t="s">
        <v>30</v>
      </c>
    </row>
    <row r="214" spans="1:13" ht="26.25" thickBot="1" x14ac:dyDescent="0.3">
      <c r="A214" s="6" t="s">
        <v>402</v>
      </c>
      <c r="B214" s="7" t="s">
        <v>403</v>
      </c>
      <c r="C214" s="8"/>
      <c r="D214" s="38"/>
      <c r="E214" s="43">
        <f>E215+E252</f>
        <v>10758.1</v>
      </c>
      <c r="F214" s="43">
        <f>F215+F252</f>
        <v>14423.099999999999</v>
      </c>
      <c r="G214" s="43">
        <f>G215+G252</f>
        <v>11929.5</v>
      </c>
      <c r="H214" s="43">
        <f>H215+H252</f>
        <v>11404.8</v>
      </c>
      <c r="I214" s="8" t="s">
        <v>404</v>
      </c>
      <c r="J214" s="38" t="s">
        <v>355</v>
      </c>
      <c r="K214" s="38" t="s">
        <v>96</v>
      </c>
      <c r="L214" s="38" t="s">
        <v>67</v>
      </c>
      <c r="M214" s="74" t="s">
        <v>67</v>
      </c>
    </row>
    <row r="215" spans="1:13" ht="15.75" thickBot="1" x14ac:dyDescent="0.3">
      <c r="A215" s="9" t="s">
        <v>405</v>
      </c>
      <c r="B215" s="10" t="s">
        <v>406</v>
      </c>
      <c r="C215" s="11"/>
      <c r="D215" s="60"/>
      <c r="E215" s="44">
        <f>E216+E220+E226+E229+E232+E235+E242+E245+E246+E249</f>
        <v>9703.9</v>
      </c>
      <c r="F215" s="44">
        <f t="shared" ref="F215:H215" si="12">F216+F220+F226+F229+F232+F235+F242+F245+F246+F249</f>
        <v>12773.099999999999</v>
      </c>
      <c r="G215" s="44">
        <f t="shared" si="12"/>
        <v>9579.5</v>
      </c>
      <c r="H215" s="44">
        <f t="shared" si="12"/>
        <v>9034.7999999999993</v>
      </c>
      <c r="I215" s="178"/>
      <c r="J215" s="179"/>
      <c r="K215" s="179"/>
      <c r="L215" s="179"/>
      <c r="M215" s="180"/>
    </row>
    <row r="216" spans="1:13" ht="76.5" x14ac:dyDescent="0.25">
      <c r="A216" s="150" t="s">
        <v>407</v>
      </c>
      <c r="B216" s="135" t="s">
        <v>408</v>
      </c>
      <c r="C216" s="135" t="s">
        <v>409</v>
      </c>
      <c r="D216" s="45"/>
      <c r="E216" s="46">
        <f>SUM(E217:E219)</f>
        <v>3111.8</v>
      </c>
      <c r="F216" s="46">
        <f>SUM(F217:F219)</f>
        <v>5210.1000000000004</v>
      </c>
      <c r="G216" s="46">
        <f>SUM(G217:G219)</f>
        <v>6960</v>
      </c>
      <c r="H216" s="46">
        <f>SUM(H217:H219)</f>
        <v>6960</v>
      </c>
      <c r="I216" s="14" t="s">
        <v>410</v>
      </c>
      <c r="J216" s="45" t="s">
        <v>94</v>
      </c>
      <c r="K216" s="45" t="s">
        <v>189</v>
      </c>
      <c r="L216" s="45" t="s">
        <v>189</v>
      </c>
      <c r="M216" s="71" t="s">
        <v>189</v>
      </c>
    </row>
    <row r="217" spans="1:13" ht="25.5" customHeight="1" x14ac:dyDescent="0.25">
      <c r="A217" s="151"/>
      <c r="B217" s="136"/>
      <c r="C217" s="136"/>
      <c r="D217" s="39" t="s">
        <v>28</v>
      </c>
      <c r="E217" s="39">
        <v>667.3</v>
      </c>
      <c r="F217" s="47">
        <v>1200</v>
      </c>
      <c r="G217" s="47">
        <v>2700</v>
      </c>
      <c r="H217" s="47">
        <v>2700</v>
      </c>
      <c r="I217" s="144" t="s">
        <v>411</v>
      </c>
      <c r="J217" s="146" t="s">
        <v>94</v>
      </c>
      <c r="K217" s="146" t="s">
        <v>189</v>
      </c>
      <c r="L217" s="146" t="s">
        <v>189</v>
      </c>
      <c r="M217" s="148" t="s">
        <v>189</v>
      </c>
    </row>
    <row r="218" spans="1:13" x14ac:dyDescent="0.25">
      <c r="A218" s="151"/>
      <c r="B218" s="136"/>
      <c r="C218" s="136"/>
      <c r="D218" s="39" t="s">
        <v>190</v>
      </c>
      <c r="E218" s="39">
        <v>694.5</v>
      </c>
      <c r="F218" s="47"/>
      <c r="G218" s="47"/>
      <c r="H218" s="47"/>
      <c r="I218" s="145"/>
      <c r="J218" s="147"/>
      <c r="K218" s="147"/>
      <c r="L218" s="147"/>
      <c r="M218" s="149"/>
    </row>
    <row r="219" spans="1:13" ht="26.25" thickBot="1" x14ac:dyDescent="0.3">
      <c r="A219" s="152"/>
      <c r="B219" s="137"/>
      <c r="C219" s="137"/>
      <c r="D219" s="39" t="s">
        <v>345</v>
      </c>
      <c r="E219" s="53">
        <v>1750</v>
      </c>
      <c r="F219" s="47">
        <v>4010.1</v>
      </c>
      <c r="G219" s="47">
        <v>4260</v>
      </c>
      <c r="H219" s="47">
        <v>4260</v>
      </c>
      <c r="I219" s="17" t="s">
        <v>379</v>
      </c>
      <c r="J219" s="39" t="s">
        <v>290</v>
      </c>
      <c r="K219" s="39" t="s">
        <v>412</v>
      </c>
      <c r="L219" s="39" t="s">
        <v>413</v>
      </c>
      <c r="M219" s="72"/>
    </row>
    <row r="220" spans="1:13" ht="38.25" x14ac:dyDescent="0.25">
      <c r="A220" s="150" t="s">
        <v>414</v>
      </c>
      <c r="B220" s="135" t="s">
        <v>415</v>
      </c>
      <c r="C220" s="135" t="s">
        <v>416</v>
      </c>
      <c r="D220" s="45"/>
      <c r="E220" s="46">
        <f>SUM(E221:E225)</f>
        <v>1645.9</v>
      </c>
      <c r="F220" s="46">
        <f>SUM(F221:F225)</f>
        <v>4921.3999999999996</v>
      </c>
      <c r="G220" s="46">
        <f>SUM(G221:G225)</f>
        <v>944.7</v>
      </c>
      <c r="H220" s="46"/>
      <c r="I220" s="14" t="s">
        <v>417</v>
      </c>
      <c r="J220" s="45" t="s">
        <v>94</v>
      </c>
      <c r="K220" s="45" t="s">
        <v>418</v>
      </c>
      <c r="L220" s="45" t="s">
        <v>189</v>
      </c>
      <c r="M220" s="71"/>
    </row>
    <row r="221" spans="1:13" x14ac:dyDescent="0.25">
      <c r="A221" s="151"/>
      <c r="B221" s="136"/>
      <c r="C221" s="136"/>
      <c r="D221" s="39" t="s">
        <v>190</v>
      </c>
      <c r="E221" s="39"/>
      <c r="F221" s="47">
        <v>400</v>
      </c>
      <c r="G221" s="47"/>
      <c r="H221" s="47"/>
      <c r="I221" s="144" t="s">
        <v>419</v>
      </c>
      <c r="J221" s="146" t="s">
        <v>21</v>
      </c>
      <c r="K221" s="146" t="s">
        <v>420</v>
      </c>
      <c r="L221" s="146" t="s">
        <v>30</v>
      </c>
      <c r="M221" s="148"/>
    </row>
    <row r="222" spans="1:13" x14ac:dyDescent="0.25">
      <c r="A222" s="151"/>
      <c r="B222" s="136"/>
      <c r="C222" s="136"/>
      <c r="D222" s="39" t="s">
        <v>28</v>
      </c>
      <c r="E222" s="39"/>
      <c r="F222" s="47">
        <v>57.7</v>
      </c>
      <c r="G222" s="47">
        <v>130</v>
      </c>
      <c r="H222" s="47"/>
      <c r="I222" s="136"/>
      <c r="J222" s="139"/>
      <c r="K222" s="139"/>
      <c r="L222" s="139"/>
      <c r="M222" s="142"/>
    </row>
    <row r="223" spans="1:13" x14ac:dyDescent="0.25">
      <c r="A223" s="151"/>
      <c r="B223" s="136"/>
      <c r="C223" s="136"/>
      <c r="D223" s="39" t="s">
        <v>148</v>
      </c>
      <c r="E223" s="39">
        <v>359.9</v>
      </c>
      <c r="F223" s="47">
        <v>425.7</v>
      </c>
      <c r="G223" s="47">
        <v>66.099999999999994</v>
      </c>
      <c r="H223" s="47"/>
      <c r="I223" s="136"/>
      <c r="J223" s="139"/>
      <c r="K223" s="139"/>
      <c r="L223" s="139"/>
      <c r="M223" s="142"/>
    </row>
    <row r="224" spans="1:13" x14ac:dyDescent="0.25">
      <c r="A224" s="151"/>
      <c r="B224" s="136"/>
      <c r="C224" s="136"/>
      <c r="D224" s="39" t="s">
        <v>216</v>
      </c>
      <c r="E224" s="53">
        <v>1286</v>
      </c>
      <c r="F224" s="47">
        <v>2038</v>
      </c>
      <c r="G224" s="47">
        <v>748.6</v>
      </c>
      <c r="H224" s="47"/>
      <c r="I224" s="136"/>
      <c r="J224" s="139"/>
      <c r="K224" s="139"/>
      <c r="L224" s="139"/>
      <c r="M224" s="142"/>
    </row>
    <row r="225" spans="1:13" ht="15.75" thickBot="1" x14ac:dyDescent="0.3">
      <c r="A225" s="152"/>
      <c r="B225" s="137"/>
      <c r="C225" s="137"/>
      <c r="D225" s="39" t="s">
        <v>375</v>
      </c>
      <c r="E225" s="39"/>
      <c r="F225" s="47">
        <v>2000</v>
      </c>
      <c r="G225" s="47"/>
      <c r="H225" s="47"/>
      <c r="I225" s="137"/>
      <c r="J225" s="140"/>
      <c r="K225" s="140"/>
      <c r="L225" s="140"/>
      <c r="M225" s="143"/>
    </row>
    <row r="226" spans="1:13" ht="25.5" customHeight="1" x14ac:dyDescent="0.25">
      <c r="A226" s="150" t="s">
        <v>421</v>
      </c>
      <c r="B226" s="135" t="s">
        <v>422</v>
      </c>
      <c r="C226" s="135" t="s">
        <v>17</v>
      </c>
      <c r="D226" s="45"/>
      <c r="E226" s="46">
        <f>SUM(E227:E228)</f>
        <v>250</v>
      </c>
      <c r="F226" s="46">
        <f>SUM(F227:F228)</f>
        <v>260</v>
      </c>
      <c r="G226" s="46"/>
      <c r="H226" s="46"/>
      <c r="I226" s="135" t="s">
        <v>423</v>
      </c>
      <c r="J226" s="138" t="s">
        <v>94</v>
      </c>
      <c r="K226" s="138" t="s">
        <v>189</v>
      </c>
      <c r="L226" s="138"/>
      <c r="M226" s="141"/>
    </row>
    <row r="227" spans="1:13" x14ac:dyDescent="0.25">
      <c r="A227" s="151"/>
      <c r="B227" s="136"/>
      <c r="C227" s="136"/>
      <c r="D227" s="39" t="s">
        <v>345</v>
      </c>
      <c r="E227" s="53">
        <v>250</v>
      </c>
      <c r="F227" s="47">
        <v>250</v>
      </c>
      <c r="G227" s="47"/>
      <c r="H227" s="47"/>
      <c r="I227" s="136"/>
      <c r="J227" s="139"/>
      <c r="K227" s="139"/>
      <c r="L227" s="139"/>
      <c r="M227" s="142"/>
    </row>
    <row r="228" spans="1:13" ht="15.75" thickBot="1" x14ac:dyDescent="0.3">
      <c r="A228" s="152"/>
      <c r="B228" s="137"/>
      <c r="C228" s="137"/>
      <c r="D228" s="39" t="s">
        <v>28</v>
      </c>
      <c r="E228" s="39"/>
      <c r="F228" s="47">
        <v>10</v>
      </c>
      <c r="G228" s="47"/>
      <c r="H228" s="47"/>
      <c r="I228" s="137"/>
      <c r="J228" s="140"/>
      <c r="K228" s="140"/>
      <c r="L228" s="140"/>
      <c r="M228" s="143"/>
    </row>
    <row r="229" spans="1:13" ht="38.25" customHeight="1" x14ac:dyDescent="0.25">
      <c r="A229" s="150" t="s">
        <v>424</v>
      </c>
      <c r="B229" s="135" t="s">
        <v>425</v>
      </c>
      <c r="C229" s="135" t="s">
        <v>257</v>
      </c>
      <c r="D229" s="45"/>
      <c r="E229" s="46">
        <f>SUM(E230:E231)</f>
        <v>576.9</v>
      </c>
      <c r="F229" s="46">
        <f>SUM(F230:F231)</f>
        <v>86.4</v>
      </c>
      <c r="G229" s="46"/>
      <c r="H229" s="46"/>
      <c r="I229" s="135" t="s">
        <v>374</v>
      </c>
      <c r="J229" s="138" t="s">
        <v>21</v>
      </c>
      <c r="K229" s="138" t="s">
        <v>30</v>
      </c>
      <c r="L229" s="138"/>
      <c r="M229" s="141"/>
    </row>
    <row r="230" spans="1:13" x14ac:dyDescent="0.25">
      <c r="A230" s="151"/>
      <c r="B230" s="136"/>
      <c r="C230" s="136"/>
      <c r="D230" s="39" t="s">
        <v>216</v>
      </c>
      <c r="E230" s="39">
        <v>571</v>
      </c>
      <c r="F230" s="47">
        <v>81.400000000000006</v>
      </c>
      <c r="G230" s="47"/>
      <c r="H230" s="47"/>
      <c r="I230" s="136"/>
      <c r="J230" s="139"/>
      <c r="K230" s="139"/>
      <c r="L230" s="139"/>
      <c r="M230" s="142"/>
    </row>
    <row r="231" spans="1:13" ht="15.75" thickBot="1" x14ac:dyDescent="0.3">
      <c r="A231" s="152"/>
      <c r="B231" s="137"/>
      <c r="C231" s="137"/>
      <c r="D231" s="39" t="s">
        <v>190</v>
      </c>
      <c r="E231" s="39">
        <v>5.9</v>
      </c>
      <c r="F231" s="47">
        <v>5</v>
      </c>
      <c r="G231" s="47"/>
      <c r="H231" s="47"/>
      <c r="I231" s="137"/>
      <c r="J231" s="140"/>
      <c r="K231" s="140"/>
      <c r="L231" s="140"/>
      <c r="M231" s="143"/>
    </row>
    <row r="232" spans="1:13" ht="0.75" hidden="1" customHeight="1" thickBot="1" x14ac:dyDescent="0.3">
      <c r="A232" s="31" t="s">
        <v>426</v>
      </c>
      <c r="B232" s="32" t="s">
        <v>427</v>
      </c>
      <c r="C232" s="36" t="s">
        <v>257</v>
      </c>
      <c r="D232" s="70"/>
      <c r="E232" s="70">
        <f>SUM(E233:E234)</f>
        <v>28.2</v>
      </c>
      <c r="F232" s="50"/>
      <c r="G232" s="50"/>
      <c r="H232" s="50"/>
      <c r="I232" s="36"/>
      <c r="J232" s="70"/>
      <c r="K232" s="70"/>
      <c r="L232" s="70"/>
      <c r="M232" s="77"/>
    </row>
    <row r="233" spans="1:13" ht="15.75" hidden="1" thickBot="1" x14ac:dyDescent="0.3">
      <c r="A233" s="15"/>
      <c r="B233" s="16"/>
      <c r="C233" s="17"/>
      <c r="D233" s="39" t="s">
        <v>28</v>
      </c>
      <c r="E233" s="39">
        <v>13.2</v>
      </c>
      <c r="F233" s="47"/>
      <c r="G233" s="47"/>
      <c r="H233" s="47"/>
      <c r="I233" s="17"/>
      <c r="J233" s="39"/>
      <c r="K233" s="39"/>
      <c r="L233" s="39"/>
      <c r="M233" s="72"/>
    </row>
    <row r="234" spans="1:13" ht="15.75" hidden="1" thickBot="1" x14ac:dyDescent="0.3">
      <c r="A234" s="88"/>
      <c r="B234" s="89"/>
      <c r="C234" s="37"/>
      <c r="D234" s="51" t="s">
        <v>190</v>
      </c>
      <c r="E234" s="48">
        <v>15</v>
      </c>
      <c r="F234" s="52"/>
      <c r="G234" s="52"/>
      <c r="H234" s="52"/>
      <c r="I234" s="30"/>
      <c r="J234" s="51"/>
      <c r="K234" s="51"/>
      <c r="L234" s="51"/>
      <c r="M234" s="76"/>
    </row>
    <row r="235" spans="1:13" ht="25.5" x14ac:dyDescent="0.25">
      <c r="A235" s="150" t="s">
        <v>428</v>
      </c>
      <c r="B235" s="135" t="s">
        <v>429</v>
      </c>
      <c r="C235" s="135" t="s">
        <v>184</v>
      </c>
      <c r="D235" s="45"/>
      <c r="E235" s="46">
        <f>SUM(E236:E241)</f>
        <v>2377.7000000000003</v>
      </c>
      <c r="F235" s="46">
        <f>SUM(F236:F241)</f>
        <v>1451</v>
      </c>
      <c r="G235" s="46">
        <f>SUM(G236:G241)</f>
        <v>1100</v>
      </c>
      <c r="H235" s="46">
        <f>SUM(H236:H241)</f>
        <v>1500</v>
      </c>
      <c r="I235" s="14" t="s">
        <v>430</v>
      </c>
      <c r="J235" s="45" t="s">
        <v>21</v>
      </c>
      <c r="K235" s="45" t="s">
        <v>264</v>
      </c>
      <c r="L235" s="45" t="s">
        <v>264</v>
      </c>
      <c r="M235" s="71" t="s">
        <v>264</v>
      </c>
    </row>
    <row r="236" spans="1:13" x14ac:dyDescent="0.25">
      <c r="A236" s="151"/>
      <c r="B236" s="136"/>
      <c r="C236" s="136"/>
      <c r="D236" s="39" t="s">
        <v>190</v>
      </c>
      <c r="E236" s="39">
        <v>101.4</v>
      </c>
      <c r="F236" s="47">
        <v>50</v>
      </c>
      <c r="G236" s="47"/>
      <c r="H236" s="47"/>
      <c r="I236" s="144" t="s">
        <v>373</v>
      </c>
      <c r="J236" s="146" t="s">
        <v>94</v>
      </c>
      <c r="K236" s="146" t="s">
        <v>189</v>
      </c>
      <c r="L236" s="146"/>
      <c r="M236" s="148"/>
    </row>
    <row r="237" spans="1:13" x14ac:dyDescent="0.25">
      <c r="A237" s="151"/>
      <c r="B237" s="136"/>
      <c r="C237" s="136"/>
      <c r="D237" s="39" t="s">
        <v>375</v>
      </c>
      <c r="E237" s="53">
        <v>644</v>
      </c>
      <c r="F237" s="47"/>
      <c r="G237" s="47"/>
      <c r="H237" s="47"/>
      <c r="I237" s="136"/>
      <c r="J237" s="139"/>
      <c r="K237" s="139"/>
      <c r="L237" s="139"/>
      <c r="M237" s="142"/>
    </row>
    <row r="238" spans="1:13" x14ac:dyDescent="0.25">
      <c r="A238" s="151"/>
      <c r="B238" s="136"/>
      <c r="C238" s="136"/>
      <c r="D238" s="39" t="s">
        <v>345</v>
      </c>
      <c r="E238" s="53">
        <v>300</v>
      </c>
      <c r="F238" s="47"/>
      <c r="G238" s="47"/>
      <c r="H238" s="47"/>
      <c r="I238" s="136"/>
      <c r="J238" s="139"/>
      <c r="K238" s="139"/>
      <c r="L238" s="139"/>
      <c r="M238" s="142"/>
    </row>
    <row r="239" spans="1:13" x14ac:dyDescent="0.25">
      <c r="A239" s="151"/>
      <c r="B239" s="136"/>
      <c r="C239" s="136"/>
      <c r="D239" s="39" t="s">
        <v>216</v>
      </c>
      <c r="E239" s="53">
        <v>900</v>
      </c>
      <c r="F239" s="47">
        <v>501</v>
      </c>
      <c r="G239" s="47"/>
      <c r="H239" s="47"/>
      <c r="I239" s="136"/>
      <c r="J239" s="139"/>
      <c r="K239" s="139"/>
      <c r="L239" s="139"/>
      <c r="M239" s="142"/>
    </row>
    <row r="240" spans="1:13" x14ac:dyDescent="0.25">
      <c r="A240" s="151"/>
      <c r="B240" s="136"/>
      <c r="C240" s="136"/>
      <c r="D240" s="39" t="s">
        <v>148</v>
      </c>
      <c r="E240" s="39">
        <v>350.3</v>
      </c>
      <c r="F240" s="47"/>
      <c r="G240" s="47"/>
      <c r="H240" s="47"/>
      <c r="I240" s="136"/>
      <c r="J240" s="139"/>
      <c r="K240" s="139"/>
      <c r="L240" s="139"/>
      <c r="M240" s="142"/>
    </row>
    <row r="241" spans="1:13" ht="15.75" thickBot="1" x14ac:dyDescent="0.3">
      <c r="A241" s="152"/>
      <c r="B241" s="137"/>
      <c r="C241" s="137"/>
      <c r="D241" s="39" t="s">
        <v>28</v>
      </c>
      <c r="E241" s="53">
        <v>82</v>
      </c>
      <c r="F241" s="47">
        <v>900</v>
      </c>
      <c r="G241" s="47">
        <v>1100</v>
      </c>
      <c r="H241" s="47">
        <v>1500</v>
      </c>
      <c r="I241" s="137"/>
      <c r="J241" s="140"/>
      <c r="K241" s="140"/>
      <c r="L241" s="140"/>
      <c r="M241" s="143"/>
    </row>
    <row r="242" spans="1:13" ht="38.25" customHeight="1" x14ac:dyDescent="0.25">
      <c r="A242" s="150" t="s">
        <v>431</v>
      </c>
      <c r="B242" s="135" t="s">
        <v>432</v>
      </c>
      <c r="C242" s="135" t="s">
        <v>257</v>
      </c>
      <c r="D242" s="70"/>
      <c r="E242" s="56">
        <f>SUM(E243:E244)</f>
        <v>485</v>
      </c>
      <c r="F242" s="56">
        <f>SUM(F243:F244)</f>
        <v>269.39999999999998</v>
      </c>
      <c r="G242" s="50"/>
      <c r="H242" s="50"/>
      <c r="I242" s="135" t="s">
        <v>374</v>
      </c>
      <c r="J242" s="138" t="s">
        <v>21</v>
      </c>
      <c r="K242" s="138" t="s">
        <v>30</v>
      </c>
      <c r="L242" s="138"/>
      <c r="M242" s="141"/>
    </row>
    <row r="243" spans="1:13" x14ac:dyDescent="0.25">
      <c r="A243" s="151"/>
      <c r="B243" s="136"/>
      <c r="C243" s="136"/>
      <c r="D243" s="39" t="s">
        <v>216</v>
      </c>
      <c r="E243" s="53">
        <v>375</v>
      </c>
      <c r="F243" s="47">
        <v>269.39999999999998</v>
      </c>
      <c r="G243" s="47"/>
      <c r="H243" s="47"/>
      <c r="I243" s="136"/>
      <c r="J243" s="139"/>
      <c r="K243" s="139"/>
      <c r="L243" s="139"/>
      <c r="M243" s="142"/>
    </row>
    <row r="244" spans="1:13" ht="15" customHeight="1" thickBot="1" x14ac:dyDescent="0.3">
      <c r="A244" s="152"/>
      <c r="B244" s="137"/>
      <c r="C244" s="137"/>
      <c r="D244" s="51" t="s">
        <v>190</v>
      </c>
      <c r="E244" s="48">
        <v>110</v>
      </c>
      <c r="F244" s="52"/>
      <c r="G244" s="52"/>
      <c r="H244" s="52"/>
      <c r="I244" s="137"/>
      <c r="J244" s="140"/>
      <c r="K244" s="140"/>
      <c r="L244" s="140"/>
      <c r="M244" s="143"/>
    </row>
    <row r="245" spans="1:13" ht="1.5" hidden="1" customHeight="1" thickBot="1" x14ac:dyDescent="0.3">
      <c r="A245" s="12" t="s">
        <v>433</v>
      </c>
      <c r="B245" s="13" t="s">
        <v>434</v>
      </c>
      <c r="C245" s="14" t="s">
        <v>257</v>
      </c>
      <c r="D245" s="45" t="s">
        <v>216</v>
      </c>
      <c r="E245" s="45">
        <v>4.9000000000000004</v>
      </c>
      <c r="F245" s="55"/>
      <c r="G245" s="55"/>
      <c r="H245" s="55"/>
      <c r="I245" s="14"/>
      <c r="J245" s="45"/>
      <c r="K245" s="45"/>
      <c r="L245" s="45"/>
      <c r="M245" s="71"/>
    </row>
    <row r="246" spans="1:13" ht="26.25" hidden="1" thickBot="1" x14ac:dyDescent="0.3">
      <c r="A246" s="31" t="s">
        <v>435</v>
      </c>
      <c r="B246" s="32" t="s">
        <v>436</v>
      </c>
      <c r="C246" s="36" t="s">
        <v>237</v>
      </c>
      <c r="D246" s="70"/>
      <c r="E246" s="56">
        <f>SUM(E247:E248)</f>
        <v>700</v>
      </c>
      <c r="F246" s="50"/>
      <c r="G246" s="50"/>
      <c r="H246" s="50"/>
      <c r="I246" s="36"/>
      <c r="J246" s="70"/>
      <c r="K246" s="70"/>
      <c r="L246" s="70"/>
      <c r="M246" s="77"/>
    </row>
    <row r="247" spans="1:13" ht="15.75" hidden="1" thickBot="1" x14ac:dyDescent="0.3">
      <c r="A247" s="15"/>
      <c r="B247" s="16"/>
      <c r="C247" s="17"/>
      <c r="D247" s="39" t="s">
        <v>345</v>
      </c>
      <c r="E247" s="53">
        <v>600</v>
      </c>
      <c r="F247" s="47"/>
      <c r="G247" s="47"/>
      <c r="H247" s="47"/>
      <c r="I247" s="17"/>
      <c r="J247" s="39"/>
      <c r="K247" s="39"/>
      <c r="L247" s="39"/>
      <c r="M247" s="72"/>
    </row>
    <row r="248" spans="1:13" ht="15.75" hidden="1" thickBot="1" x14ac:dyDescent="0.3">
      <c r="A248" s="34"/>
      <c r="B248" s="35"/>
      <c r="C248" s="30"/>
      <c r="D248" s="51" t="s">
        <v>190</v>
      </c>
      <c r="E248" s="48">
        <v>100</v>
      </c>
      <c r="F248" s="52"/>
      <c r="G248" s="52"/>
      <c r="H248" s="52"/>
      <c r="I248" s="30"/>
      <c r="J248" s="51"/>
      <c r="K248" s="51"/>
      <c r="L248" s="51"/>
      <c r="M248" s="76"/>
    </row>
    <row r="249" spans="1:13" ht="51" customHeight="1" x14ac:dyDescent="0.25">
      <c r="A249" s="150" t="s">
        <v>437</v>
      </c>
      <c r="B249" s="135" t="s">
        <v>438</v>
      </c>
      <c r="C249" s="135" t="s">
        <v>237</v>
      </c>
      <c r="D249" s="70" t="s">
        <v>28</v>
      </c>
      <c r="E249" s="50">
        <f>SUM(E250:E251)</f>
        <v>523.5</v>
      </c>
      <c r="F249" s="50">
        <f>SUM(F250:F251)</f>
        <v>574.79999999999995</v>
      </c>
      <c r="G249" s="50">
        <f t="shared" ref="G249:H249" si="13">SUM(G250:G251)</f>
        <v>574.79999999999995</v>
      </c>
      <c r="H249" s="50">
        <f t="shared" si="13"/>
        <v>574.79999999999995</v>
      </c>
      <c r="I249" s="135" t="s">
        <v>439</v>
      </c>
      <c r="J249" s="138" t="s">
        <v>355</v>
      </c>
      <c r="K249" s="138" t="s">
        <v>440</v>
      </c>
      <c r="L249" s="138" t="s">
        <v>440</v>
      </c>
      <c r="M249" s="141" t="s">
        <v>440</v>
      </c>
    </row>
    <row r="250" spans="1:13" x14ac:dyDescent="0.25">
      <c r="A250" s="151"/>
      <c r="B250" s="136"/>
      <c r="C250" s="136"/>
      <c r="D250" s="39" t="s">
        <v>28</v>
      </c>
      <c r="E250" s="39"/>
      <c r="F250" s="47">
        <v>574.79999999999995</v>
      </c>
      <c r="G250" s="47">
        <v>574.79999999999995</v>
      </c>
      <c r="H250" s="47">
        <v>574.79999999999995</v>
      </c>
      <c r="I250" s="136"/>
      <c r="J250" s="139"/>
      <c r="K250" s="139"/>
      <c r="L250" s="139"/>
      <c r="M250" s="142"/>
    </row>
    <row r="251" spans="1:13" ht="15.75" thickBot="1" x14ac:dyDescent="0.3">
      <c r="A251" s="152"/>
      <c r="B251" s="137"/>
      <c r="C251" s="137"/>
      <c r="D251" s="51" t="s">
        <v>190</v>
      </c>
      <c r="E251" s="51">
        <v>523.5</v>
      </c>
      <c r="F251" s="52"/>
      <c r="G251" s="52"/>
      <c r="H251" s="52"/>
      <c r="I251" s="137"/>
      <c r="J251" s="140"/>
      <c r="K251" s="140"/>
      <c r="L251" s="140"/>
      <c r="M251" s="143"/>
    </row>
    <row r="252" spans="1:13" ht="15.75" thickBot="1" x14ac:dyDescent="0.3">
      <c r="A252" s="9" t="s">
        <v>441</v>
      </c>
      <c r="B252" s="10" t="s">
        <v>442</v>
      </c>
      <c r="C252" s="11"/>
      <c r="D252" s="60"/>
      <c r="E252" s="44">
        <f>E253+E257</f>
        <v>1054.2</v>
      </c>
      <c r="F252" s="44">
        <f>F253+F257</f>
        <v>1650</v>
      </c>
      <c r="G252" s="44">
        <f>G253+G257</f>
        <v>2350</v>
      </c>
      <c r="H252" s="44">
        <f>H253+H257</f>
        <v>2370</v>
      </c>
      <c r="I252" s="178"/>
      <c r="J252" s="179"/>
      <c r="K252" s="179"/>
      <c r="L252" s="179"/>
      <c r="M252" s="180"/>
    </row>
    <row r="253" spans="1:13" ht="25.5" customHeight="1" x14ac:dyDescent="0.25">
      <c r="A253" s="150" t="s">
        <v>443</v>
      </c>
      <c r="B253" s="135" t="s">
        <v>444</v>
      </c>
      <c r="C253" s="135" t="s">
        <v>237</v>
      </c>
      <c r="D253" s="45"/>
      <c r="E253" s="46">
        <f>SUM(E254:E256)</f>
        <v>1054.2</v>
      </c>
      <c r="F253" s="46">
        <f>SUM(F254:F256)</f>
        <v>1400</v>
      </c>
      <c r="G253" s="46">
        <f>SUM(G254:G256)</f>
        <v>2000</v>
      </c>
      <c r="H253" s="46">
        <f>SUM(H254:H256)</f>
        <v>2000</v>
      </c>
      <c r="I253" s="135" t="s">
        <v>445</v>
      </c>
      <c r="J253" s="138" t="s">
        <v>21</v>
      </c>
      <c r="K253" s="138" t="s">
        <v>264</v>
      </c>
      <c r="L253" s="138" t="s">
        <v>37</v>
      </c>
      <c r="M253" s="141" t="s">
        <v>114</v>
      </c>
    </row>
    <row r="254" spans="1:13" x14ac:dyDescent="0.25">
      <c r="A254" s="151"/>
      <c r="B254" s="136"/>
      <c r="C254" s="136"/>
      <c r="D254" s="39" t="s">
        <v>28</v>
      </c>
      <c r="E254" s="39"/>
      <c r="F254" s="47">
        <v>1000</v>
      </c>
      <c r="G254" s="47">
        <v>1600</v>
      </c>
      <c r="H254" s="47">
        <v>1600</v>
      </c>
      <c r="I254" s="136"/>
      <c r="J254" s="139"/>
      <c r="K254" s="139"/>
      <c r="L254" s="139"/>
      <c r="M254" s="142"/>
    </row>
    <row r="255" spans="1:13" x14ac:dyDescent="0.25">
      <c r="A255" s="151"/>
      <c r="B255" s="136"/>
      <c r="C255" s="136"/>
      <c r="D255" s="39" t="s">
        <v>190</v>
      </c>
      <c r="E255" s="39">
        <v>204.2</v>
      </c>
      <c r="F255" s="47"/>
      <c r="G255" s="47"/>
      <c r="H255" s="47"/>
      <c r="I255" s="136"/>
      <c r="J255" s="139"/>
      <c r="K255" s="139"/>
      <c r="L255" s="139"/>
      <c r="M255" s="142"/>
    </row>
    <row r="256" spans="1:13" ht="15.75" thickBot="1" x14ac:dyDescent="0.3">
      <c r="A256" s="152"/>
      <c r="B256" s="137"/>
      <c r="C256" s="137"/>
      <c r="D256" s="39" t="s">
        <v>345</v>
      </c>
      <c r="E256" s="53">
        <v>850</v>
      </c>
      <c r="F256" s="47">
        <v>400</v>
      </c>
      <c r="G256" s="47">
        <v>400</v>
      </c>
      <c r="H256" s="47">
        <v>400</v>
      </c>
      <c r="I256" s="137"/>
      <c r="J256" s="140"/>
      <c r="K256" s="140"/>
      <c r="L256" s="140"/>
      <c r="M256" s="143"/>
    </row>
    <row r="257" spans="1:13" ht="39" thickBot="1" x14ac:dyDescent="0.3">
      <c r="A257" s="12" t="s">
        <v>446</v>
      </c>
      <c r="B257" s="13" t="s">
        <v>447</v>
      </c>
      <c r="C257" s="14" t="s">
        <v>237</v>
      </c>
      <c r="D257" s="45" t="s">
        <v>28</v>
      </c>
      <c r="E257" s="45"/>
      <c r="F257" s="55">
        <v>250</v>
      </c>
      <c r="G257" s="55">
        <v>350</v>
      </c>
      <c r="H257" s="55">
        <v>370</v>
      </c>
      <c r="I257" s="14" t="s">
        <v>448</v>
      </c>
      <c r="J257" s="45" t="s">
        <v>21</v>
      </c>
      <c r="K257" s="45" t="s">
        <v>322</v>
      </c>
      <c r="L257" s="45" t="s">
        <v>208</v>
      </c>
      <c r="M257" s="71" t="s">
        <v>130</v>
      </c>
    </row>
    <row r="258" spans="1:13" ht="26.25" thickBot="1" x14ac:dyDescent="0.3">
      <c r="A258" s="3" t="s">
        <v>449</v>
      </c>
      <c r="B258" s="4" t="s">
        <v>450</v>
      </c>
      <c r="C258" s="5" t="s">
        <v>451</v>
      </c>
      <c r="D258" s="59"/>
      <c r="E258" s="42">
        <f>SUM(E259:E259)</f>
        <v>12227</v>
      </c>
      <c r="F258" s="42">
        <f>SUM(F259:F259)</f>
        <v>3239.1000000000004</v>
      </c>
      <c r="G258" s="42">
        <f>SUM(G259:G259)</f>
        <v>6876.1</v>
      </c>
      <c r="H258" s="42">
        <f>SUM(H259:H259)</f>
        <v>439.7</v>
      </c>
      <c r="I258" s="181"/>
      <c r="J258" s="182"/>
      <c r="K258" s="182"/>
      <c r="L258" s="182"/>
      <c r="M258" s="183"/>
    </row>
    <row r="259" spans="1:13" ht="25.5" x14ac:dyDescent="0.25">
      <c r="A259" s="165" t="s">
        <v>452</v>
      </c>
      <c r="B259" s="167" t="s">
        <v>453</v>
      </c>
      <c r="C259" s="169"/>
      <c r="D259" s="169"/>
      <c r="E259" s="162">
        <f>E260+E261+E262+E263+E270</f>
        <v>12227</v>
      </c>
      <c r="F259" s="162">
        <f>F260+F261+F262+F263+F270</f>
        <v>3239.1000000000004</v>
      </c>
      <c r="G259" s="162">
        <f>G260+G261+G262+G263+G270</f>
        <v>6876.1</v>
      </c>
      <c r="H259" s="162">
        <f>H260+H261+H262+H263+H270</f>
        <v>439.7</v>
      </c>
      <c r="I259" s="8" t="s">
        <v>454</v>
      </c>
      <c r="J259" s="38" t="s">
        <v>94</v>
      </c>
      <c r="K259" s="38" t="s">
        <v>95</v>
      </c>
      <c r="L259" s="38" t="s">
        <v>56</v>
      </c>
      <c r="M259" s="74" t="s">
        <v>96</v>
      </c>
    </row>
    <row r="260" spans="1:13" x14ac:dyDescent="0.25">
      <c r="A260" s="171"/>
      <c r="B260" s="172"/>
      <c r="C260" s="173"/>
      <c r="D260" s="173"/>
      <c r="E260" s="163"/>
      <c r="F260" s="163"/>
      <c r="G260" s="163"/>
      <c r="H260" s="163"/>
      <c r="I260" s="40" t="s">
        <v>455</v>
      </c>
      <c r="J260" s="69" t="s">
        <v>21</v>
      </c>
      <c r="K260" s="69" t="s">
        <v>125</v>
      </c>
      <c r="L260" s="69" t="s">
        <v>125</v>
      </c>
      <c r="M260" s="78" t="s">
        <v>125</v>
      </c>
    </row>
    <row r="261" spans="1:13" x14ac:dyDescent="0.25">
      <c r="A261" s="171"/>
      <c r="B261" s="172"/>
      <c r="C261" s="173"/>
      <c r="D261" s="173"/>
      <c r="E261" s="163"/>
      <c r="F261" s="163"/>
      <c r="G261" s="163"/>
      <c r="H261" s="163"/>
      <c r="I261" s="40" t="s">
        <v>456</v>
      </c>
      <c r="J261" s="69" t="s">
        <v>94</v>
      </c>
      <c r="K261" s="69" t="s">
        <v>264</v>
      </c>
      <c r="L261" s="69" t="s">
        <v>457</v>
      </c>
      <c r="M261" s="78" t="s">
        <v>458</v>
      </c>
    </row>
    <row r="262" spans="1:13" ht="26.25" thickBot="1" x14ac:dyDescent="0.3">
      <c r="A262" s="166"/>
      <c r="B262" s="168"/>
      <c r="C262" s="170"/>
      <c r="D262" s="170"/>
      <c r="E262" s="164"/>
      <c r="F262" s="164"/>
      <c r="G262" s="164"/>
      <c r="H262" s="164"/>
      <c r="I262" s="40" t="s">
        <v>459</v>
      </c>
      <c r="J262" s="69" t="s">
        <v>94</v>
      </c>
      <c r="K262" s="69" t="s">
        <v>322</v>
      </c>
      <c r="L262" s="69" t="s">
        <v>70</v>
      </c>
      <c r="M262" s="78" t="s">
        <v>130</v>
      </c>
    </row>
    <row r="263" spans="1:13" ht="15.75" thickBot="1" x14ac:dyDescent="0.3">
      <c r="A263" s="9" t="s">
        <v>460</v>
      </c>
      <c r="B263" s="10" t="s">
        <v>461</v>
      </c>
      <c r="C263" s="11"/>
      <c r="D263" s="60"/>
      <c r="E263" s="44">
        <f>E264+E265+E268</f>
        <v>113.3</v>
      </c>
      <c r="F263" s="44">
        <f>F264+F265+F268</f>
        <v>113.3</v>
      </c>
      <c r="G263" s="44">
        <f>G264+G265+G268</f>
        <v>115.4</v>
      </c>
      <c r="H263" s="44">
        <f>H264+H265+H268</f>
        <v>118</v>
      </c>
      <c r="I263" s="178"/>
      <c r="J263" s="179"/>
      <c r="K263" s="179"/>
      <c r="L263" s="179"/>
      <c r="M263" s="180"/>
    </row>
    <row r="264" spans="1:13" ht="26.25" thickBot="1" x14ac:dyDescent="0.3">
      <c r="A264" s="12" t="s">
        <v>462</v>
      </c>
      <c r="B264" s="13" t="s">
        <v>463</v>
      </c>
      <c r="C264" s="14" t="s">
        <v>451</v>
      </c>
      <c r="D264" s="45" t="s">
        <v>28</v>
      </c>
      <c r="E264" s="45">
        <v>47.8</v>
      </c>
      <c r="F264" s="55">
        <v>47.8</v>
      </c>
      <c r="G264" s="55">
        <v>48.7</v>
      </c>
      <c r="H264" s="55">
        <v>49.7</v>
      </c>
      <c r="I264" s="14" t="s">
        <v>464</v>
      </c>
      <c r="J264" s="45" t="s">
        <v>21</v>
      </c>
      <c r="K264" s="45" t="s">
        <v>114</v>
      </c>
      <c r="L264" s="45" t="s">
        <v>114</v>
      </c>
      <c r="M264" s="71" t="s">
        <v>114</v>
      </c>
    </row>
    <row r="265" spans="1:13" ht="38.25" customHeight="1" x14ac:dyDescent="0.25">
      <c r="A265" s="150" t="s">
        <v>465</v>
      </c>
      <c r="B265" s="135" t="s">
        <v>466</v>
      </c>
      <c r="C265" s="135" t="s">
        <v>467</v>
      </c>
      <c r="D265" s="45" t="s">
        <v>28</v>
      </c>
      <c r="E265" s="45">
        <v>21.8</v>
      </c>
      <c r="F265" s="46">
        <f>SUM(F266:F267)+21.8</f>
        <v>21.8</v>
      </c>
      <c r="G265" s="46">
        <f>SUM(G266:G267)+22.2</f>
        <v>22.2</v>
      </c>
      <c r="H265" s="46">
        <f>SUM(H266:H267)+22.8</f>
        <v>22.8</v>
      </c>
      <c r="I265" s="14" t="s">
        <v>468</v>
      </c>
      <c r="J265" s="45" t="s">
        <v>21</v>
      </c>
      <c r="K265" s="45" t="s">
        <v>322</v>
      </c>
      <c r="L265" s="45" t="s">
        <v>322</v>
      </c>
      <c r="M265" s="71" t="s">
        <v>322</v>
      </c>
    </row>
    <row r="266" spans="1:13" x14ac:dyDescent="0.25">
      <c r="A266" s="151"/>
      <c r="B266" s="136"/>
      <c r="C266" s="136"/>
      <c r="D266" s="39"/>
      <c r="E266" s="39"/>
      <c r="F266" s="47"/>
      <c r="G266" s="47"/>
      <c r="H266" s="47"/>
      <c r="I266" s="17" t="s">
        <v>469</v>
      </c>
      <c r="J266" s="39" t="s">
        <v>21</v>
      </c>
      <c r="K266" s="39" t="s">
        <v>37</v>
      </c>
      <c r="L266" s="39" t="s">
        <v>37</v>
      </c>
      <c r="M266" s="72" t="s">
        <v>37</v>
      </c>
    </row>
    <row r="267" spans="1:13" ht="15.75" thickBot="1" x14ac:dyDescent="0.3">
      <c r="A267" s="152"/>
      <c r="B267" s="137"/>
      <c r="C267" s="137"/>
      <c r="D267" s="39"/>
      <c r="E267" s="39"/>
      <c r="F267" s="47"/>
      <c r="G267" s="47"/>
      <c r="H267" s="47"/>
      <c r="I267" s="17" t="s">
        <v>470</v>
      </c>
      <c r="J267" s="39" t="s">
        <v>471</v>
      </c>
      <c r="K267" s="39" t="s">
        <v>472</v>
      </c>
      <c r="L267" s="39" t="s">
        <v>472</v>
      </c>
      <c r="M267" s="72" t="s">
        <v>472</v>
      </c>
    </row>
    <row r="268" spans="1:13" ht="38.25" customHeight="1" x14ac:dyDescent="0.25">
      <c r="A268" s="150" t="s">
        <v>473</v>
      </c>
      <c r="B268" s="135" t="s">
        <v>474</v>
      </c>
      <c r="C268" s="135" t="s">
        <v>467</v>
      </c>
      <c r="D268" s="45" t="s">
        <v>28</v>
      </c>
      <c r="E268" s="45">
        <v>43.7</v>
      </c>
      <c r="F268" s="46">
        <f>SUM(F269:F269)+43.7</f>
        <v>43.7</v>
      </c>
      <c r="G268" s="46">
        <f>SUM(G269:G269)+44.5</f>
        <v>44.5</v>
      </c>
      <c r="H268" s="46">
        <f>SUM(H269:H269)+45.5</f>
        <v>45.5</v>
      </c>
      <c r="I268" s="14" t="s">
        <v>475</v>
      </c>
      <c r="J268" s="45" t="s">
        <v>476</v>
      </c>
      <c r="K268" s="45" t="s">
        <v>105</v>
      </c>
      <c r="L268" s="45" t="s">
        <v>105</v>
      </c>
      <c r="M268" s="71" t="s">
        <v>105</v>
      </c>
    </row>
    <row r="269" spans="1:13" ht="26.25" thickBot="1" x14ac:dyDescent="0.3">
      <c r="A269" s="152"/>
      <c r="B269" s="137"/>
      <c r="C269" s="137"/>
      <c r="D269" s="39"/>
      <c r="E269" s="39"/>
      <c r="F269" s="47"/>
      <c r="G269" s="47"/>
      <c r="H269" s="47"/>
      <c r="I269" s="17" t="s">
        <v>477</v>
      </c>
      <c r="J269" s="39" t="s">
        <v>21</v>
      </c>
      <c r="K269" s="39" t="s">
        <v>130</v>
      </c>
      <c r="L269" s="39" t="s">
        <v>130</v>
      </c>
      <c r="M269" s="72" t="s">
        <v>130</v>
      </c>
    </row>
    <row r="270" spans="1:13" ht="15.75" thickBot="1" x14ac:dyDescent="0.3">
      <c r="A270" s="9" t="s">
        <v>478</v>
      </c>
      <c r="B270" s="10" t="s">
        <v>479</v>
      </c>
      <c r="C270" s="11"/>
      <c r="D270" s="60"/>
      <c r="E270" s="44">
        <f>E271+E274+E279+E282+E283+E288</f>
        <v>12113.7</v>
      </c>
      <c r="F270" s="44">
        <f>F271+F274+F282+F283+F288</f>
        <v>3125.8</v>
      </c>
      <c r="G270" s="44">
        <f>G271+G274+G282+G283+G288</f>
        <v>6760.7000000000007</v>
      </c>
      <c r="H270" s="44">
        <f>H271+H274+H282+H283+H288</f>
        <v>321.7</v>
      </c>
      <c r="I270" s="178"/>
      <c r="J270" s="179"/>
      <c r="K270" s="179"/>
      <c r="L270" s="179"/>
      <c r="M270" s="180"/>
    </row>
    <row r="271" spans="1:13" ht="25.5" customHeight="1" x14ac:dyDescent="0.25">
      <c r="A271" s="150" t="s">
        <v>480</v>
      </c>
      <c r="B271" s="135" t="s">
        <v>481</v>
      </c>
      <c r="C271" s="135" t="s">
        <v>184</v>
      </c>
      <c r="D271" s="80"/>
      <c r="E271" s="56">
        <f>SUM(E272:E273)</f>
        <v>58.2</v>
      </c>
      <c r="F271" s="56">
        <f t="shared" ref="F271:H271" si="14">SUM(F272:F273)</f>
        <v>100</v>
      </c>
      <c r="G271" s="56">
        <f t="shared" si="14"/>
        <v>50</v>
      </c>
      <c r="H271" s="56">
        <f t="shared" si="14"/>
        <v>50</v>
      </c>
      <c r="I271" s="135" t="s">
        <v>482</v>
      </c>
      <c r="J271" s="138" t="s">
        <v>21</v>
      </c>
      <c r="K271" s="138" t="s">
        <v>70</v>
      </c>
      <c r="L271" s="138" t="s">
        <v>70</v>
      </c>
      <c r="M271" s="141" t="s">
        <v>70</v>
      </c>
    </row>
    <row r="272" spans="1:13" x14ac:dyDescent="0.25">
      <c r="A272" s="151"/>
      <c r="B272" s="136"/>
      <c r="C272" s="136"/>
      <c r="D272" s="39" t="s">
        <v>28</v>
      </c>
      <c r="E272" s="39">
        <v>27.1</v>
      </c>
      <c r="F272" s="47">
        <v>100</v>
      </c>
      <c r="G272" s="47">
        <v>50</v>
      </c>
      <c r="H272" s="47">
        <v>50</v>
      </c>
      <c r="I272" s="136"/>
      <c r="J272" s="139"/>
      <c r="K272" s="139"/>
      <c r="L272" s="139"/>
      <c r="M272" s="142"/>
    </row>
    <row r="273" spans="1:13" ht="15.75" thickBot="1" x14ac:dyDescent="0.3">
      <c r="A273" s="152"/>
      <c r="B273" s="137"/>
      <c r="C273" s="137"/>
      <c r="D273" s="90" t="s">
        <v>190</v>
      </c>
      <c r="E273" s="90">
        <v>31.1</v>
      </c>
      <c r="F273" s="52"/>
      <c r="G273" s="52"/>
      <c r="H273" s="52"/>
      <c r="I273" s="137"/>
      <c r="J273" s="140"/>
      <c r="K273" s="140"/>
      <c r="L273" s="140"/>
      <c r="M273" s="143"/>
    </row>
    <row r="274" spans="1:13" ht="51" customHeight="1" x14ac:dyDescent="0.25">
      <c r="A274" s="150" t="s">
        <v>483</v>
      </c>
      <c r="B274" s="135" t="s">
        <v>484</v>
      </c>
      <c r="C274" s="135" t="s">
        <v>485</v>
      </c>
      <c r="D274" s="45"/>
      <c r="E274" s="46">
        <f>SUM(E275:E278)</f>
        <v>8254.2999999999993</v>
      </c>
      <c r="F274" s="46">
        <f>SUM(F275:F278)</f>
        <v>2747.4</v>
      </c>
      <c r="G274" s="46">
        <f>SUM(G275:G278)</f>
        <v>6444.8</v>
      </c>
      <c r="H274" s="46"/>
      <c r="I274" s="14" t="s">
        <v>486</v>
      </c>
      <c r="J274" s="45" t="s">
        <v>355</v>
      </c>
      <c r="K274" s="45" t="s">
        <v>487</v>
      </c>
      <c r="L274" s="45"/>
      <c r="M274" s="71"/>
    </row>
    <row r="275" spans="1:13" ht="25.5" x14ac:dyDescent="0.25">
      <c r="A275" s="151"/>
      <c r="B275" s="136"/>
      <c r="C275" s="136"/>
      <c r="D275" s="39" t="s">
        <v>28</v>
      </c>
      <c r="E275" s="39">
        <v>249.5</v>
      </c>
      <c r="F275" s="47">
        <v>819.3</v>
      </c>
      <c r="G275" s="47">
        <v>3559.7</v>
      </c>
      <c r="H275" s="47"/>
      <c r="I275" s="17" t="s">
        <v>488</v>
      </c>
      <c r="J275" s="39" t="s">
        <v>21</v>
      </c>
      <c r="K275" s="39" t="s">
        <v>30</v>
      </c>
      <c r="L275" s="39"/>
      <c r="M275" s="72"/>
    </row>
    <row r="276" spans="1:13" x14ac:dyDescent="0.25">
      <c r="A276" s="151"/>
      <c r="B276" s="136"/>
      <c r="C276" s="136"/>
      <c r="D276" s="39" t="s">
        <v>190</v>
      </c>
      <c r="E276" s="39">
        <v>42.9</v>
      </c>
      <c r="F276" s="47">
        <v>180</v>
      </c>
      <c r="G276" s="47"/>
      <c r="H276" s="47"/>
      <c r="I276" s="17" t="s">
        <v>489</v>
      </c>
      <c r="J276" s="39" t="s">
        <v>355</v>
      </c>
      <c r="K276" s="39"/>
      <c r="L276" s="39" t="s">
        <v>490</v>
      </c>
      <c r="M276" s="72"/>
    </row>
    <row r="277" spans="1:13" ht="25.5" customHeight="1" x14ac:dyDescent="0.25">
      <c r="A277" s="151"/>
      <c r="B277" s="136"/>
      <c r="C277" s="136"/>
      <c r="D277" s="39" t="s">
        <v>216</v>
      </c>
      <c r="E277" s="53">
        <v>2516</v>
      </c>
      <c r="F277" s="47">
        <v>1508.3</v>
      </c>
      <c r="G277" s="47">
        <v>2452.3000000000002</v>
      </c>
      <c r="H277" s="47"/>
      <c r="I277" s="144" t="s">
        <v>491</v>
      </c>
      <c r="J277" s="146" t="s">
        <v>21</v>
      </c>
      <c r="K277" s="146"/>
      <c r="L277" s="146" t="s">
        <v>30</v>
      </c>
      <c r="M277" s="148"/>
    </row>
    <row r="278" spans="1:13" ht="15" customHeight="1" thickBot="1" x14ac:dyDescent="0.3">
      <c r="A278" s="152"/>
      <c r="B278" s="137"/>
      <c r="C278" s="137"/>
      <c r="D278" s="84" t="s">
        <v>148</v>
      </c>
      <c r="E278" s="84">
        <v>5445.9</v>
      </c>
      <c r="F278" s="94">
        <v>239.8</v>
      </c>
      <c r="G278" s="94">
        <v>432.8</v>
      </c>
      <c r="H278" s="94"/>
      <c r="I278" s="137"/>
      <c r="J278" s="140"/>
      <c r="K278" s="140"/>
      <c r="L278" s="140"/>
      <c r="M278" s="143"/>
    </row>
    <row r="279" spans="1:13" ht="25.5" hidden="1" customHeight="1" thickBot="1" x14ac:dyDescent="0.3">
      <c r="A279" s="184" t="s">
        <v>1325</v>
      </c>
      <c r="B279" s="135" t="s">
        <v>1326</v>
      </c>
      <c r="C279" s="135" t="s">
        <v>1327</v>
      </c>
      <c r="D279" s="45"/>
      <c r="E279" s="54">
        <f>SUM(E280:E281)</f>
        <v>3535</v>
      </c>
      <c r="F279" s="55"/>
      <c r="G279" s="55"/>
      <c r="H279" s="55"/>
      <c r="I279" s="14"/>
      <c r="J279" s="45"/>
      <c r="K279" s="45"/>
      <c r="L279" s="45"/>
      <c r="M279" s="71"/>
    </row>
    <row r="280" spans="1:13" ht="15.75" hidden="1" thickBot="1" x14ac:dyDescent="0.3">
      <c r="A280" s="185"/>
      <c r="B280" s="136"/>
      <c r="C280" s="136"/>
      <c r="D280" s="90" t="s">
        <v>148</v>
      </c>
      <c r="E280" s="48">
        <v>2520</v>
      </c>
      <c r="F280" s="52"/>
      <c r="G280" s="52"/>
      <c r="H280" s="52"/>
      <c r="I280" s="91"/>
      <c r="J280" s="90"/>
      <c r="K280" s="90"/>
      <c r="L280" s="90"/>
      <c r="M280" s="92"/>
    </row>
    <row r="281" spans="1:13" ht="15.75" hidden="1" thickBot="1" x14ac:dyDescent="0.3">
      <c r="A281" s="186"/>
      <c r="B281" s="137"/>
      <c r="C281" s="137"/>
      <c r="D281" s="90" t="s">
        <v>190</v>
      </c>
      <c r="E281" s="48">
        <v>1015</v>
      </c>
      <c r="F281" s="52"/>
      <c r="G281" s="52"/>
      <c r="H281" s="52"/>
      <c r="I281" s="91"/>
      <c r="J281" s="90"/>
      <c r="K281" s="90"/>
      <c r="L281" s="90"/>
      <c r="M281" s="92"/>
    </row>
    <row r="282" spans="1:13" ht="39" thickBot="1" x14ac:dyDescent="0.3">
      <c r="A282" s="12" t="s">
        <v>492</v>
      </c>
      <c r="B282" s="13" t="s">
        <v>493</v>
      </c>
      <c r="C282" s="14" t="s">
        <v>494</v>
      </c>
      <c r="D282" s="45" t="s">
        <v>28</v>
      </c>
      <c r="E282" s="54">
        <v>210</v>
      </c>
      <c r="F282" s="55">
        <v>210</v>
      </c>
      <c r="G282" s="55">
        <v>213.8</v>
      </c>
      <c r="H282" s="55">
        <v>218.5</v>
      </c>
      <c r="I282" s="14" t="s">
        <v>495</v>
      </c>
      <c r="J282" s="45" t="s">
        <v>94</v>
      </c>
      <c r="K282" s="45" t="s">
        <v>189</v>
      </c>
      <c r="L282" s="45" t="s">
        <v>189</v>
      </c>
      <c r="M282" s="71" t="s">
        <v>189</v>
      </c>
    </row>
    <row r="283" spans="1:13" ht="25.5" customHeight="1" x14ac:dyDescent="0.25">
      <c r="A283" s="150" t="s">
        <v>496</v>
      </c>
      <c r="B283" s="135" t="s">
        <v>497</v>
      </c>
      <c r="C283" s="135" t="s">
        <v>451</v>
      </c>
      <c r="D283" s="45" t="s">
        <v>28</v>
      </c>
      <c r="E283" s="46">
        <f>SUM(E284:E287)</f>
        <v>20.2</v>
      </c>
      <c r="F283" s="46">
        <f>SUM(F284:F287)</f>
        <v>32.4</v>
      </c>
      <c r="G283" s="46">
        <f>SUM(G284:G287)</f>
        <v>20.6</v>
      </c>
      <c r="H283" s="46">
        <f>SUM(H284:H287)</f>
        <v>21</v>
      </c>
      <c r="I283" s="14" t="s">
        <v>498</v>
      </c>
      <c r="J283" s="45" t="s">
        <v>21</v>
      </c>
      <c r="K283" s="45" t="s">
        <v>67</v>
      </c>
      <c r="L283" s="45" t="s">
        <v>67</v>
      </c>
      <c r="M283" s="71" t="s">
        <v>67</v>
      </c>
    </row>
    <row r="284" spans="1:13" x14ac:dyDescent="0.25">
      <c r="A284" s="151"/>
      <c r="B284" s="136"/>
      <c r="C284" s="136"/>
      <c r="D284" s="39" t="s">
        <v>28</v>
      </c>
      <c r="E284" s="39">
        <v>13.6</v>
      </c>
      <c r="F284" s="47">
        <v>32.4</v>
      </c>
      <c r="G284" s="47">
        <v>20.6</v>
      </c>
      <c r="H284" s="47">
        <v>21</v>
      </c>
      <c r="I284" s="17" t="s">
        <v>499</v>
      </c>
      <c r="J284" s="39" t="s">
        <v>21</v>
      </c>
      <c r="K284" s="39" t="s">
        <v>30</v>
      </c>
      <c r="L284" s="39" t="s">
        <v>30</v>
      </c>
      <c r="M284" s="72" t="s">
        <v>30</v>
      </c>
    </row>
    <row r="285" spans="1:13" x14ac:dyDescent="0.25">
      <c r="A285" s="151"/>
      <c r="B285" s="136"/>
      <c r="C285" s="136"/>
      <c r="D285" s="39" t="s">
        <v>190</v>
      </c>
      <c r="E285" s="39">
        <v>6.6</v>
      </c>
      <c r="F285" s="47"/>
      <c r="G285" s="47"/>
      <c r="H285" s="47"/>
      <c r="I285" s="17" t="s">
        <v>500</v>
      </c>
      <c r="J285" s="39" t="s">
        <v>21</v>
      </c>
      <c r="K285" s="39" t="s">
        <v>30</v>
      </c>
      <c r="L285" s="39" t="s">
        <v>30</v>
      </c>
      <c r="M285" s="72" t="s">
        <v>30</v>
      </c>
    </row>
    <row r="286" spans="1:13" x14ac:dyDescent="0.25">
      <c r="A286" s="151"/>
      <c r="B286" s="136"/>
      <c r="C286" s="136"/>
      <c r="D286" s="39"/>
      <c r="E286" s="39"/>
      <c r="F286" s="47"/>
      <c r="G286" s="47"/>
      <c r="H286" s="47"/>
      <c r="I286" s="17" t="s">
        <v>501</v>
      </c>
      <c r="J286" s="39" t="s">
        <v>21</v>
      </c>
      <c r="K286" s="39" t="s">
        <v>37</v>
      </c>
      <c r="L286" s="39" t="s">
        <v>37</v>
      </c>
      <c r="M286" s="72" t="s">
        <v>37</v>
      </c>
    </row>
    <row r="287" spans="1:13" ht="26.25" thickBot="1" x14ac:dyDescent="0.3">
      <c r="A287" s="152"/>
      <c r="B287" s="137"/>
      <c r="C287" s="137"/>
      <c r="D287" s="39"/>
      <c r="E287" s="39"/>
      <c r="F287" s="47"/>
      <c r="G287" s="47"/>
      <c r="H287" s="47"/>
      <c r="I287" s="17" t="s">
        <v>502</v>
      </c>
      <c r="J287" s="39" t="s">
        <v>21</v>
      </c>
      <c r="K287" s="39" t="s">
        <v>30</v>
      </c>
      <c r="L287" s="39" t="s">
        <v>30</v>
      </c>
      <c r="M287" s="72" t="s">
        <v>30</v>
      </c>
    </row>
    <row r="288" spans="1:13" ht="42" customHeight="1" x14ac:dyDescent="0.25">
      <c r="A288" s="150" t="s">
        <v>503</v>
      </c>
      <c r="B288" s="135" t="s">
        <v>504</v>
      </c>
      <c r="C288" s="135" t="s">
        <v>451</v>
      </c>
      <c r="D288" s="45"/>
      <c r="E288" s="46">
        <f>SUM(E289:E290)</f>
        <v>36</v>
      </c>
      <c r="F288" s="46">
        <f>SUM(F289:F290)</f>
        <v>36</v>
      </c>
      <c r="G288" s="46">
        <f>SUM(G289:G290)</f>
        <v>31.5</v>
      </c>
      <c r="H288" s="46">
        <f>SUM(H289:H290)</f>
        <v>32.200000000000003</v>
      </c>
      <c r="I288" s="135" t="s">
        <v>505</v>
      </c>
      <c r="J288" s="138" t="s">
        <v>21</v>
      </c>
      <c r="K288" s="138" t="s">
        <v>37</v>
      </c>
      <c r="L288" s="138" t="s">
        <v>322</v>
      </c>
      <c r="M288" s="141" t="s">
        <v>322</v>
      </c>
    </row>
    <row r="289" spans="1:13" x14ac:dyDescent="0.25">
      <c r="A289" s="151"/>
      <c r="B289" s="136"/>
      <c r="C289" s="136"/>
      <c r="D289" s="39" t="s">
        <v>152</v>
      </c>
      <c r="E289" s="53">
        <v>5</v>
      </c>
      <c r="F289" s="47">
        <v>5</v>
      </c>
      <c r="G289" s="47"/>
      <c r="H289" s="47"/>
      <c r="I289" s="136"/>
      <c r="J289" s="139"/>
      <c r="K289" s="139"/>
      <c r="L289" s="139"/>
      <c r="M289" s="142"/>
    </row>
    <row r="290" spans="1:13" ht="15.75" thickBot="1" x14ac:dyDescent="0.3">
      <c r="A290" s="152"/>
      <c r="B290" s="137"/>
      <c r="C290" s="137"/>
      <c r="D290" s="39" t="s">
        <v>28</v>
      </c>
      <c r="E290" s="53">
        <v>31</v>
      </c>
      <c r="F290" s="47">
        <v>31</v>
      </c>
      <c r="G290" s="47">
        <v>31.5</v>
      </c>
      <c r="H290" s="47">
        <v>32.200000000000003</v>
      </c>
      <c r="I290" s="137"/>
      <c r="J290" s="140"/>
      <c r="K290" s="140"/>
      <c r="L290" s="140"/>
      <c r="M290" s="143"/>
    </row>
    <row r="291" spans="1:13" ht="15.75" thickBot="1" x14ac:dyDescent="0.3">
      <c r="A291" s="3" t="s">
        <v>506</v>
      </c>
      <c r="B291" s="4" t="s">
        <v>507</v>
      </c>
      <c r="C291" s="5" t="s">
        <v>508</v>
      </c>
      <c r="D291" s="59"/>
      <c r="E291" s="42">
        <f>SUM(E292:E292)</f>
        <v>1767</v>
      </c>
      <c r="F291" s="42">
        <f>SUM(F292:F292)</f>
        <v>1645</v>
      </c>
      <c r="G291" s="42">
        <f>SUM(G292:G292)</f>
        <v>583.5</v>
      </c>
      <c r="H291" s="42">
        <f>SUM(H292:H292)</f>
        <v>610</v>
      </c>
      <c r="I291" s="181"/>
      <c r="J291" s="182"/>
      <c r="K291" s="182"/>
      <c r="L291" s="182"/>
      <c r="M291" s="183"/>
    </row>
    <row r="292" spans="1:13" ht="39" thickBot="1" x14ac:dyDescent="0.3">
      <c r="A292" s="6" t="s">
        <v>509</v>
      </c>
      <c r="B292" s="7" t="s">
        <v>510</v>
      </c>
      <c r="C292" s="8"/>
      <c r="D292" s="38"/>
      <c r="E292" s="43">
        <f>E293+E297+E310</f>
        <v>1767</v>
      </c>
      <c r="F292" s="43">
        <f>F293+F297+F310</f>
        <v>1645</v>
      </c>
      <c r="G292" s="43">
        <f>G293+G297+G310</f>
        <v>583.5</v>
      </c>
      <c r="H292" s="43">
        <f>H293+H297+H310</f>
        <v>610</v>
      </c>
      <c r="I292" s="8" t="s">
        <v>511</v>
      </c>
      <c r="J292" s="38" t="s">
        <v>94</v>
      </c>
      <c r="K292" s="38" t="s">
        <v>286</v>
      </c>
      <c r="L292" s="38" t="s">
        <v>512</v>
      </c>
      <c r="M292" s="74" t="s">
        <v>513</v>
      </c>
    </row>
    <row r="293" spans="1:13" ht="39" thickBot="1" x14ac:dyDescent="0.3">
      <c r="A293" s="9" t="s">
        <v>514</v>
      </c>
      <c r="B293" s="10" t="s">
        <v>515</v>
      </c>
      <c r="C293" s="11"/>
      <c r="D293" s="60"/>
      <c r="E293" s="44">
        <f>SUM(E294:E296)</f>
        <v>85</v>
      </c>
      <c r="F293" s="44">
        <f>SUM(F294:F296)</f>
        <v>106.9</v>
      </c>
      <c r="G293" s="44">
        <f>SUM(G294:G296)</f>
        <v>110</v>
      </c>
      <c r="H293" s="44">
        <f>SUM(H294:H296)</f>
        <v>110</v>
      </c>
      <c r="I293" s="178"/>
      <c r="J293" s="179"/>
      <c r="K293" s="179"/>
      <c r="L293" s="179"/>
      <c r="M293" s="180"/>
    </row>
    <row r="294" spans="1:13" ht="39" thickBot="1" x14ac:dyDescent="0.3">
      <c r="A294" s="12" t="s">
        <v>516</v>
      </c>
      <c r="B294" s="13" t="s">
        <v>517</v>
      </c>
      <c r="C294" s="14" t="s">
        <v>508</v>
      </c>
      <c r="D294" s="45" t="s">
        <v>28</v>
      </c>
      <c r="E294" s="54">
        <v>55</v>
      </c>
      <c r="F294" s="55">
        <v>60</v>
      </c>
      <c r="G294" s="55">
        <v>60</v>
      </c>
      <c r="H294" s="55">
        <v>60</v>
      </c>
      <c r="I294" s="14" t="s">
        <v>518</v>
      </c>
      <c r="J294" s="45" t="s">
        <v>21</v>
      </c>
      <c r="K294" s="45" t="s">
        <v>189</v>
      </c>
      <c r="L294" s="45" t="s">
        <v>189</v>
      </c>
      <c r="M294" s="71" t="s">
        <v>189</v>
      </c>
    </row>
    <row r="295" spans="1:13" ht="25.5" x14ac:dyDescent="0.25">
      <c r="A295" s="12" t="s">
        <v>519</v>
      </c>
      <c r="B295" s="13" t="s">
        <v>520</v>
      </c>
      <c r="C295" s="14" t="s">
        <v>508</v>
      </c>
      <c r="D295" s="45" t="s">
        <v>28</v>
      </c>
      <c r="E295" s="54">
        <v>30</v>
      </c>
      <c r="F295" s="55">
        <v>20</v>
      </c>
      <c r="G295" s="55">
        <v>20</v>
      </c>
      <c r="H295" s="55">
        <v>20</v>
      </c>
      <c r="I295" s="14" t="s">
        <v>521</v>
      </c>
      <c r="J295" s="45" t="s">
        <v>94</v>
      </c>
      <c r="K295" s="45" t="s">
        <v>189</v>
      </c>
      <c r="L295" s="45" t="s">
        <v>189</v>
      </c>
      <c r="M295" s="71" t="s">
        <v>189</v>
      </c>
    </row>
    <row r="296" spans="1:13" ht="51.75" thickBot="1" x14ac:dyDescent="0.3">
      <c r="A296" s="12" t="s">
        <v>522</v>
      </c>
      <c r="B296" s="13" t="s">
        <v>523</v>
      </c>
      <c r="C296" s="14"/>
      <c r="D296" s="45" t="s">
        <v>28</v>
      </c>
      <c r="E296" s="45"/>
      <c r="F296" s="55">
        <v>26.9</v>
      </c>
      <c r="G296" s="55">
        <v>30</v>
      </c>
      <c r="H296" s="55">
        <v>30</v>
      </c>
      <c r="I296" s="14" t="s">
        <v>524</v>
      </c>
      <c r="J296" s="45" t="s">
        <v>21</v>
      </c>
      <c r="K296" s="45" t="s">
        <v>322</v>
      </c>
      <c r="L296" s="45" t="s">
        <v>322</v>
      </c>
      <c r="M296" s="71" t="s">
        <v>322</v>
      </c>
    </row>
    <row r="297" spans="1:13" ht="39" thickBot="1" x14ac:dyDescent="0.3">
      <c r="A297" s="9" t="s">
        <v>525</v>
      </c>
      <c r="B297" s="10" t="s">
        <v>526</v>
      </c>
      <c r="C297" s="11"/>
      <c r="D297" s="60"/>
      <c r="E297" s="44">
        <f>E298+E300+E301+E302+E305+E306+E308+E309</f>
        <v>567.90000000000009</v>
      </c>
      <c r="F297" s="44">
        <f>F298+F301+F305+F306+F308+F309</f>
        <v>673.9</v>
      </c>
      <c r="G297" s="44">
        <f>G298+G301+G305+G306+G308+G309</f>
        <v>419.5</v>
      </c>
      <c r="H297" s="44">
        <f>H298+H301+H305+H306+H308+H309</f>
        <v>446</v>
      </c>
      <c r="I297" s="178"/>
      <c r="J297" s="179"/>
      <c r="K297" s="179"/>
      <c r="L297" s="179"/>
      <c r="M297" s="180"/>
    </row>
    <row r="298" spans="1:13" ht="51" customHeight="1" x14ac:dyDescent="0.25">
      <c r="A298" s="150" t="s">
        <v>527</v>
      </c>
      <c r="B298" s="135" t="s">
        <v>528</v>
      </c>
      <c r="C298" s="135" t="s">
        <v>529</v>
      </c>
      <c r="D298" s="45" t="s">
        <v>28</v>
      </c>
      <c r="E298" s="45">
        <v>74.7</v>
      </c>
      <c r="F298" s="46">
        <f>SUM(F299:F299)+220.4</f>
        <v>220.4</v>
      </c>
      <c r="G298" s="46">
        <f>SUM(G299:G299)+101</f>
        <v>101</v>
      </c>
      <c r="H298" s="46">
        <f>SUM(H299:H299)+111</f>
        <v>111</v>
      </c>
      <c r="I298" s="14" t="s">
        <v>530</v>
      </c>
      <c r="J298" s="45" t="s">
        <v>94</v>
      </c>
      <c r="K298" s="45" t="s">
        <v>189</v>
      </c>
      <c r="L298" s="45" t="s">
        <v>189</v>
      </c>
      <c r="M298" s="71" t="s">
        <v>189</v>
      </c>
    </row>
    <row r="299" spans="1:13" ht="15.75" thickBot="1" x14ac:dyDescent="0.3">
      <c r="A299" s="152"/>
      <c r="B299" s="137"/>
      <c r="C299" s="137"/>
      <c r="D299" s="84"/>
      <c r="E299" s="84"/>
      <c r="F299" s="94"/>
      <c r="G299" s="94"/>
      <c r="H299" s="94"/>
      <c r="I299" s="82" t="s">
        <v>531</v>
      </c>
      <c r="J299" s="84" t="s">
        <v>21</v>
      </c>
      <c r="K299" s="84" t="s">
        <v>67</v>
      </c>
      <c r="L299" s="84" t="s">
        <v>67</v>
      </c>
      <c r="M299" s="85" t="s">
        <v>67</v>
      </c>
    </row>
    <row r="300" spans="1:13" ht="17.25" hidden="1" customHeight="1" thickBot="1" x14ac:dyDescent="0.3">
      <c r="A300" s="87" t="s">
        <v>1328</v>
      </c>
      <c r="B300" s="83" t="s">
        <v>1329</v>
      </c>
      <c r="C300" s="14" t="s">
        <v>508</v>
      </c>
      <c r="D300" s="95" t="s">
        <v>28</v>
      </c>
      <c r="E300" s="99">
        <v>10</v>
      </c>
      <c r="F300" s="96"/>
      <c r="G300" s="96"/>
      <c r="H300" s="96"/>
      <c r="I300" s="97"/>
      <c r="J300" s="95"/>
      <c r="K300" s="95"/>
      <c r="L300" s="95"/>
      <c r="M300" s="98"/>
    </row>
    <row r="301" spans="1:13" ht="38.25" customHeight="1" thickBot="1" x14ac:dyDescent="0.3">
      <c r="A301" s="12" t="s">
        <v>532</v>
      </c>
      <c r="B301" s="13" t="s">
        <v>533</v>
      </c>
      <c r="C301" s="14" t="s">
        <v>508</v>
      </c>
      <c r="D301" s="45" t="s">
        <v>28</v>
      </c>
      <c r="E301" s="45">
        <v>8.5</v>
      </c>
      <c r="F301" s="55">
        <v>9.5</v>
      </c>
      <c r="G301" s="55">
        <v>11.5</v>
      </c>
      <c r="H301" s="55">
        <v>12.5</v>
      </c>
      <c r="I301" s="14" t="s">
        <v>534</v>
      </c>
      <c r="J301" s="45" t="s">
        <v>94</v>
      </c>
      <c r="K301" s="45" t="s">
        <v>189</v>
      </c>
      <c r="L301" s="45" t="s">
        <v>189</v>
      </c>
      <c r="M301" s="71" t="s">
        <v>189</v>
      </c>
    </row>
    <row r="302" spans="1:13" ht="15.75" hidden="1" customHeight="1" thickBot="1" x14ac:dyDescent="0.3">
      <c r="A302" s="150" t="s">
        <v>1331</v>
      </c>
      <c r="B302" s="135" t="s">
        <v>1330</v>
      </c>
      <c r="C302" s="135" t="s">
        <v>1332</v>
      </c>
      <c r="D302" s="80"/>
      <c r="E302" s="80">
        <f>SUM(E303:E304)</f>
        <v>7.5</v>
      </c>
      <c r="F302" s="50"/>
      <c r="G302" s="50"/>
      <c r="H302" s="50"/>
      <c r="I302" s="86"/>
      <c r="J302" s="80"/>
      <c r="K302" s="80"/>
      <c r="L302" s="80"/>
      <c r="M302" s="81"/>
    </row>
    <row r="303" spans="1:13" ht="17.25" hidden="1" customHeight="1" thickBot="1" x14ac:dyDescent="0.3">
      <c r="A303" s="151"/>
      <c r="B303" s="136"/>
      <c r="C303" s="136"/>
      <c r="D303" s="39" t="s">
        <v>28</v>
      </c>
      <c r="E303" s="39">
        <v>1.2</v>
      </c>
      <c r="F303" s="47"/>
      <c r="G303" s="47"/>
      <c r="H303" s="47"/>
      <c r="I303" s="17"/>
      <c r="J303" s="39"/>
      <c r="K303" s="39"/>
      <c r="L303" s="39"/>
      <c r="M303" s="72"/>
    </row>
    <row r="304" spans="1:13" ht="17.25" hidden="1" customHeight="1" thickBot="1" x14ac:dyDescent="0.3">
      <c r="A304" s="152"/>
      <c r="B304" s="137"/>
      <c r="C304" s="137"/>
      <c r="D304" s="90" t="s">
        <v>216</v>
      </c>
      <c r="E304" s="90">
        <v>6.3</v>
      </c>
      <c r="F304" s="52"/>
      <c r="G304" s="52"/>
      <c r="H304" s="52"/>
      <c r="I304" s="91"/>
      <c r="J304" s="90"/>
      <c r="K304" s="90"/>
      <c r="L304" s="90"/>
      <c r="M304" s="92"/>
    </row>
    <row r="305" spans="1:13" ht="39" thickBot="1" x14ac:dyDescent="0.3">
      <c r="A305" s="12" t="s">
        <v>535</v>
      </c>
      <c r="B305" s="13" t="s">
        <v>536</v>
      </c>
      <c r="C305" s="14" t="s">
        <v>508</v>
      </c>
      <c r="D305" s="45" t="s">
        <v>28</v>
      </c>
      <c r="E305" s="45">
        <v>1.5</v>
      </c>
      <c r="F305" s="55">
        <v>2</v>
      </c>
      <c r="G305" s="55">
        <v>2</v>
      </c>
      <c r="H305" s="55">
        <v>2</v>
      </c>
      <c r="I305" s="14" t="s">
        <v>537</v>
      </c>
      <c r="J305" s="45" t="s">
        <v>21</v>
      </c>
      <c r="K305" s="45" t="s">
        <v>322</v>
      </c>
      <c r="L305" s="45" t="s">
        <v>322</v>
      </c>
      <c r="M305" s="71" t="s">
        <v>322</v>
      </c>
    </row>
    <row r="306" spans="1:13" ht="38.25" customHeight="1" x14ac:dyDescent="0.25">
      <c r="A306" s="150" t="s">
        <v>538</v>
      </c>
      <c r="B306" s="135" t="s">
        <v>539</v>
      </c>
      <c r="C306" s="135" t="s">
        <v>508</v>
      </c>
      <c r="D306" s="45" t="s">
        <v>28</v>
      </c>
      <c r="E306" s="54">
        <v>160</v>
      </c>
      <c r="F306" s="46">
        <f>SUM(F307:F307)+170</f>
        <v>170</v>
      </c>
      <c r="G306" s="46"/>
      <c r="H306" s="46"/>
      <c r="I306" s="14" t="s">
        <v>540</v>
      </c>
      <c r="J306" s="45" t="s">
        <v>21</v>
      </c>
      <c r="K306" s="45" t="s">
        <v>30</v>
      </c>
      <c r="L306" s="45"/>
      <c r="M306" s="71"/>
    </row>
    <row r="307" spans="1:13" ht="26.25" thickBot="1" x14ac:dyDescent="0.3">
      <c r="A307" s="152"/>
      <c r="B307" s="137"/>
      <c r="C307" s="137"/>
      <c r="D307" s="39"/>
      <c r="E307" s="39"/>
      <c r="F307" s="47"/>
      <c r="G307" s="47"/>
      <c r="H307" s="47"/>
      <c r="I307" s="17" t="s">
        <v>541</v>
      </c>
      <c r="J307" s="39" t="s">
        <v>94</v>
      </c>
      <c r="K307" s="39" t="s">
        <v>189</v>
      </c>
      <c r="L307" s="39"/>
      <c r="M307" s="72"/>
    </row>
    <row r="308" spans="1:13" ht="64.5" thickBot="1" x14ac:dyDescent="0.3">
      <c r="A308" s="12" t="s">
        <v>542</v>
      </c>
      <c r="B308" s="13" t="s">
        <v>543</v>
      </c>
      <c r="C308" s="14" t="s">
        <v>508</v>
      </c>
      <c r="D308" s="45" t="s">
        <v>28</v>
      </c>
      <c r="E308" s="45">
        <v>303.5</v>
      </c>
      <c r="F308" s="55">
        <v>270</v>
      </c>
      <c r="G308" s="55">
        <v>303</v>
      </c>
      <c r="H308" s="55">
        <v>318.5</v>
      </c>
      <c r="I308" s="14" t="s">
        <v>544</v>
      </c>
      <c r="J308" s="45" t="s">
        <v>94</v>
      </c>
      <c r="K308" s="45" t="s">
        <v>189</v>
      </c>
      <c r="L308" s="45" t="s">
        <v>189</v>
      </c>
      <c r="M308" s="71" t="s">
        <v>189</v>
      </c>
    </row>
    <row r="309" spans="1:13" ht="26.25" thickBot="1" x14ac:dyDescent="0.3">
      <c r="A309" s="12" t="s">
        <v>545</v>
      </c>
      <c r="B309" s="13" t="s">
        <v>546</v>
      </c>
      <c r="C309" s="14" t="s">
        <v>508</v>
      </c>
      <c r="D309" s="45" t="s">
        <v>28</v>
      </c>
      <c r="E309" s="45">
        <v>2.2000000000000002</v>
      </c>
      <c r="F309" s="55">
        <v>2</v>
      </c>
      <c r="G309" s="55">
        <v>2</v>
      </c>
      <c r="H309" s="55">
        <v>2</v>
      </c>
      <c r="I309" s="14" t="s">
        <v>547</v>
      </c>
      <c r="J309" s="45" t="s">
        <v>94</v>
      </c>
      <c r="K309" s="45" t="s">
        <v>189</v>
      </c>
      <c r="L309" s="45" t="s">
        <v>189</v>
      </c>
      <c r="M309" s="71" t="s">
        <v>189</v>
      </c>
    </row>
    <row r="310" spans="1:13" ht="26.25" thickBot="1" x14ac:dyDescent="0.3">
      <c r="A310" s="9" t="s">
        <v>548</v>
      </c>
      <c r="B310" s="10" t="s">
        <v>549</v>
      </c>
      <c r="C310" s="11"/>
      <c r="D310" s="60"/>
      <c r="E310" s="44">
        <f>E311+E312+E317+E318+E319</f>
        <v>1114.0999999999999</v>
      </c>
      <c r="F310" s="44">
        <f>F311+F312+F317+F318+F319</f>
        <v>864.19999999999993</v>
      </c>
      <c r="G310" s="44">
        <f>G311+G312+G317+G318+G319</f>
        <v>54</v>
      </c>
      <c r="H310" s="44">
        <f>H311+H312+H317+H318+H319</f>
        <v>54</v>
      </c>
      <c r="I310" s="178"/>
      <c r="J310" s="179"/>
      <c r="K310" s="179"/>
      <c r="L310" s="179"/>
      <c r="M310" s="180"/>
    </row>
    <row r="311" spans="1:13" ht="15.75" thickBot="1" x14ac:dyDescent="0.3">
      <c r="A311" s="12" t="s">
        <v>550</v>
      </c>
      <c r="B311" s="13" t="s">
        <v>551</v>
      </c>
      <c r="C311" s="14" t="s">
        <v>508</v>
      </c>
      <c r="D311" s="45" t="s">
        <v>190</v>
      </c>
      <c r="E311" s="45">
        <v>123.6</v>
      </c>
      <c r="F311" s="55"/>
      <c r="G311" s="55"/>
      <c r="H311" s="55"/>
      <c r="I311" s="14" t="s">
        <v>552</v>
      </c>
      <c r="J311" s="45" t="s">
        <v>21</v>
      </c>
      <c r="K311" s="45" t="s">
        <v>67</v>
      </c>
      <c r="L311" s="45"/>
      <c r="M311" s="71"/>
    </row>
    <row r="312" spans="1:13" ht="25.5" customHeight="1" x14ac:dyDescent="0.25">
      <c r="A312" s="150" t="s">
        <v>553</v>
      </c>
      <c r="B312" s="135" t="s">
        <v>554</v>
      </c>
      <c r="C312" s="135" t="s">
        <v>508</v>
      </c>
      <c r="D312" s="45"/>
      <c r="E312" s="46">
        <f>SUM(E313:E316)</f>
        <v>937.09999999999991</v>
      </c>
      <c r="F312" s="46">
        <f>SUM(F313:F316)</f>
        <v>809.4</v>
      </c>
      <c r="G312" s="46"/>
      <c r="H312" s="46"/>
      <c r="I312" s="135" t="s">
        <v>552</v>
      </c>
      <c r="J312" s="138" t="s">
        <v>315</v>
      </c>
      <c r="K312" s="138" t="s">
        <v>70</v>
      </c>
      <c r="L312" s="138"/>
      <c r="M312" s="141"/>
    </row>
    <row r="313" spans="1:13" x14ac:dyDescent="0.25">
      <c r="A313" s="151"/>
      <c r="B313" s="136"/>
      <c r="C313" s="136"/>
      <c r="D313" s="39" t="s">
        <v>148</v>
      </c>
      <c r="E313" s="39"/>
      <c r="F313" s="47">
        <v>115.4</v>
      </c>
      <c r="G313" s="47"/>
      <c r="H313" s="47"/>
      <c r="I313" s="136"/>
      <c r="J313" s="139"/>
      <c r="K313" s="139"/>
      <c r="L313" s="139"/>
      <c r="M313" s="142"/>
    </row>
    <row r="314" spans="1:13" x14ac:dyDescent="0.25">
      <c r="A314" s="151"/>
      <c r="B314" s="136"/>
      <c r="C314" s="136"/>
      <c r="D314" s="39" t="s">
        <v>28</v>
      </c>
      <c r="E314" s="53">
        <v>141</v>
      </c>
      <c r="F314" s="47"/>
      <c r="G314" s="47"/>
      <c r="H314" s="47"/>
      <c r="I314" s="136"/>
      <c r="J314" s="139"/>
      <c r="K314" s="139"/>
      <c r="L314" s="139"/>
      <c r="M314" s="142"/>
    </row>
    <row r="315" spans="1:13" x14ac:dyDescent="0.25">
      <c r="A315" s="151"/>
      <c r="B315" s="136"/>
      <c r="C315" s="136"/>
      <c r="D315" s="39" t="s">
        <v>216</v>
      </c>
      <c r="E315" s="39">
        <v>795.3</v>
      </c>
      <c r="F315" s="47">
        <v>654</v>
      </c>
      <c r="G315" s="47"/>
      <c r="H315" s="47"/>
      <c r="I315" s="136"/>
      <c r="J315" s="139"/>
      <c r="K315" s="139"/>
      <c r="L315" s="139"/>
      <c r="M315" s="142"/>
    </row>
    <row r="316" spans="1:13" ht="15.75" thickBot="1" x14ac:dyDescent="0.3">
      <c r="A316" s="152"/>
      <c r="B316" s="137"/>
      <c r="C316" s="137"/>
      <c r="D316" s="39" t="s">
        <v>190</v>
      </c>
      <c r="E316" s="39">
        <v>0.8</v>
      </c>
      <c r="F316" s="47">
        <v>40</v>
      </c>
      <c r="G316" s="47"/>
      <c r="H316" s="47"/>
      <c r="I316" s="137"/>
      <c r="J316" s="140"/>
      <c r="K316" s="140"/>
      <c r="L316" s="140"/>
      <c r="M316" s="143"/>
    </row>
    <row r="317" spans="1:13" ht="26.25" thickBot="1" x14ac:dyDescent="0.3">
      <c r="A317" s="12" t="s">
        <v>555</v>
      </c>
      <c r="B317" s="13" t="s">
        <v>556</v>
      </c>
      <c r="C317" s="14" t="s">
        <v>508</v>
      </c>
      <c r="D317" s="45" t="s">
        <v>557</v>
      </c>
      <c r="E317" s="45">
        <v>38.4</v>
      </c>
      <c r="F317" s="55">
        <v>40</v>
      </c>
      <c r="G317" s="55">
        <v>40</v>
      </c>
      <c r="H317" s="55">
        <v>40</v>
      </c>
      <c r="I317" s="14" t="s">
        <v>521</v>
      </c>
      <c r="J317" s="45" t="s">
        <v>94</v>
      </c>
      <c r="K317" s="45" t="s">
        <v>189</v>
      </c>
      <c r="L317" s="45" t="s">
        <v>189</v>
      </c>
      <c r="M317" s="71" t="s">
        <v>189</v>
      </c>
    </row>
    <row r="318" spans="1:13" ht="38.25" x14ac:dyDescent="0.25">
      <c r="A318" s="12" t="s">
        <v>558</v>
      </c>
      <c r="B318" s="13" t="s">
        <v>559</v>
      </c>
      <c r="C318" s="14" t="s">
        <v>508</v>
      </c>
      <c r="D318" s="45" t="s">
        <v>157</v>
      </c>
      <c r="E318" s="58">
        <v>1</v>
      </c>
      <c r="F318" s="55">
        <v>0.8</v>
      </c>
      <c r="G318" s="55"/>
      <c r="H318" s="55"/>
      <c r="I318" s="14" t="s">
        <v>521</v>
      </c>
      <c r="J318" s="45" t="s">
        <v>94</v>
      </c>
      <c r="K318" s="45" t="s">
        <v>189</v>
      </c>
      <c r="L318" s="45"/>
      <c r="M318" s="71"/>
    </row>
    <row r="319" spans="1:13" ht="26.25" thickBot="1" x14ac:dyDescent="0.3">
      <c r="A319" s="12" t="s">
        <v>560</v>
      </c>
      <c r="B319" s="13" t="s">
        <v>561</v>
      </c>
      <c r="C319" s="14" t="s">
        <v>508</v>
      </c>
      <c r="D319" s="45" t="s">
        <v>28</v>
      </c>
      <c r="E319" s="54">
        <v>14</v>
      </c>
      <c r="F319" s="55">
        <v>14</v>
      </c>
      <c r="G319" s="55">
        <v>14</v>
      </c>
      <c r="H319" s="55">
        <v>14</v>
      </c>
      <c r="I319" s="14" t="s">
        <v>562</v>
      </c>
      <c r="J319" s="45" t="s">
        <v>315</v>
      </c>
      <c r="K319" s="45" t="s">
        <v>151</v>
      </c>
      <c r="L319" s="45" t="s">
        <v>151</v>
      </c>
      <c r="M319" s="71" t="s">
        <v>151</v>
      </c>
    </row>
    <row r="320" spans="1:13" ht="15.75" thickBot="1" x14ac:dyDescent="0.3">
      <c r="A320" s="3" t="s">
        <v>563</v>
      </c>
      <c r="B320" s="4" t="s">
        <v>564</v>
      </c>
      <c r="C320" s="5" t="s">
        <v>565</v>
      </c>
      <c r="D320" s="59"/>
      <c r="E320" s="42">
        <f>SUM(E321:E321)</f>
        <v>6526.8000000000011</v>
      </c>
      <c r="F320" s="42">
        <f>SUM(F321:F321)</f>
        <v>7576.8</v>
      </c>
      <c r="G320" s="42">
        <f>SUM(G321:G321)</f>
        <v>14233.4</v>
      </c>
      <c r="H320" s="42">
        <f>SUM(H321:H321)</f>
        <v>13095.199999999999</v>
      </c>
      <c r="I320" s="181"/>
      <c r="J320" s="182"/>
      <c r="K320" s="182"/>
      <c r="L320" s="182"/>
      <c r="M320" s="183"/>
    </row>
    <row r="321" spans="1:13" ht="51" customHeight="1" x14ac:dyDescent="0.25">
      <c r="A321" s="165" t="s">
        <v>566</v>
      </c>
      <c r="B321" s="167" t="s">
        <v>567</v>
      </c>
      <c r="C321" s="169"/>
      <c r="D321" s="169"/>
      <c r="E321" s="162">
        <f>E322+E323+E352+E366</f>
        <v>6526.8000000000011</v>
      </c>
      <c r="F321" s="162">
        <f>F322+F323+F352+F366</f>
        <v>7576.8</v>
      </c>
      <c r="G321" s="162">
        <f>G322+G323+G352+G366</f>
        <v>14233.4</v>
      </c>
      <c r="H321" s="162">
        <f>H322+H323+H352+H366</f>
        <v>13095.199999999999</v>
      </c>
      <c r="I321" s="8" t="s">
        <v>568</v>
      </c>
      <c r="J321" s="38" t="s">
        <v>315</v>
      </c>
      <c r="K321" s="38" t="s">
        <v>569</v>
      </c>
      <c r="L321" s="38" t="s">
        <v>570</v>
      </c>
      <c r="M321" s="74" t="s">
        <v>286</v>
      </c>
    </row>
    <row r="322" spans="1:13" ht="15.75" thickBot="1" x14ac:dyDescent="0.3">
      <c r="A322" s="166"/>
      <c r="B322" s="168"/>
      <c r="C322" s="170"/>
      <c r="D322" s="170"/>
      <c r="E322" s="164"/>
      <c r="F322" s="164"/>
      <c r="G322" s="164"/>
      <c r="H322" s="164"/>
      <c r="I322" s="40" t="s">
        <v>571</v>
      </c>
      <c r="J322" s="69" t="s">
        <v>315</v>
      </c>
      <c r="K322" s="69" t="s">
        <v>572</v>
      </c>
      <c r="L322" s="69" t="s">
        <v>572</v>
      </c>
      <c r="M322" s="78" t="s">
        <v>573</v>
      </c>
    </row>
    <row r="323" spans="1:13" ht="26.25" thickBot="1" x14ac:dyDescent="0.3">
      <c r="A323" s="9" t="s">
        <v>574</v>
      </c>
      <c r="B323" s="10" t="s">
        <v>575</v>
      </c>
      <c r="C323" s="11"/>
      <c r="D323" s="60"/>
      <c r="E323" s="44">
        <f>E324+E332+E337+E339+E342+E346</f>
        <v>5998.2000000000007</v>
      </c>
      <c r="F323" s="44">
        <f>F324+F332+F337+F339+F342+F346</f>
        <v>7264.2</v>
      </c>
      <c r="G323" s="44">
        <f>G324+G332+G337+G339+G342+G346</f>
        <v>7321.9</v>
      </c>
      <c r="H323" s="44">
        <f>H324+H332+H337+H339+H342+H346</f>
        <v>7471.7999999999993</v>
      </c>
      <c r="I323" s="178"/>
      <c r="J323" s="179"/>
      <c r="K323" s="179"/>
      <c r="L323" s="179"/>
      <c r="M323" s="180"/>
    </row>
    <row r="324" spans="1:13" ht="63.75" customHeight="1" x14ac:dyDescent="0.25">
      <c r="A324" s="150" t="s">
        <v>576</v>
      </c>
      <c r="B324" s="135" t="s">
        <v>577</v>
      </c>
      <c r="C324" s="135" t="s">
        <v>565</v>
      </c>
      <c r="D324" s="45" t="s">
        <v>28</v>
      </c>
      <c r="E324" s="45">
        <v>110.8</v>
      </c>
      <c r="F324" s="46">
        <f>SUM(F325:F331)+110.8</f>
        <v>110.8</v>
      </c>
      <c r="G324" s="46">
        <f>SUM(G325:G331)+112.8</f>
        <v>112.8</v>
      </c>
      <c r="H324" s="46">
        <f>SUM(H325:H331)+115.3</f>
        <v>115.3</v>
      </c>
      <c r="I324" s="14" t="s">
        <v>578</v>
      </c>
      <c r="J324" s="45" t="s">
        <v>315</v>
      </c>
      <c r="K324" s="45" t="s">
        <v>579</v>
      </c>
      <c r="L324" s="45" t="s">
        <v>580</v>
      </c>
      <c r="M324" s="71" t="s">
        <v>581</v>
      </c>
    </row>
    <row r="325" spans="1:13" ht="63.75" x14ac:dyDescent="0.25">
      <c r="A325" s="151"/>
      <c r="B325" s="136"/>
      <c r="C325" s="136"/>
      <c r="D325" s="39"/>
      <c r="E325" s="39"/>
      <c r="F325" s="47"/>
      <c r="G325" s="47"/>
      <c r="H325" s="47"/>
      <c r="I325" s="17" t="s">
        <v>582</v>
      </c>
      <c r="J325" s="39" t="s">
        <v>315</v>
      </c>
      <c r="K325" s="39" t="s">
        <v>583</v>
      </c>
      <c r="L325" s="39" t="s">
        <v>584</v>
      </c>
      <c r="M325" s="72" t="s">
        <v>585</v>
      </c>
    </row>
    <row r="326" spans="1:13" ht="63.75" x14ac:dyDescent="0.25">
      <c r="A326" s="151"/>
      <c r="B326" s="136"/>
      <c r="C326" s="136"/>
      <c r="D326" s="39"/>
      <c r="E326" s="39"/>
      <c r="F326" s="47"/>
      <c r="G326" s="47"/>
      <c r="H326" s="47"/>
      <c r="I326" s="17" t="s">
        <v>586</v>
      </c>
      <c r="J326" s="39" t="s">
        <v>315</v>
      </c>
      <c r="K326" s="39" t="s">
        <v>105</v>
      </c>
      <c r="L326" s="39" t="s">
        <v>587</v>
      </c>
      <c r="M326" s="72" t="s">
        <v>588</v>
      </c>
    </row>
    <row r="327" spans="1:13" ht="63.75" x14ac:dyDescent="0.25">
      <c r="A327" s="151"/>
      <c r="B327" s="136"/>
      <c r="C327" s="136"/>
      <c r="D327" s="39"/>
      <c r="E327" s="39"/>
      <c r="F327" s="47"/>
      <c r="G327" s="47"/>
      <c r="H327" s="47"/>
      <c r="I327" s="17" t="s">
        <v>589</v>
      </c>
      <c r="J327" s="39" t="s">
        <v>315</v>
      </c>
      <c r="K327" s="39" t="s">
        <v>590</v>
      </c>
      <c r="L327" s="39" t="s">
        <v>591</v>
      </c>
      <c r="M327" s="72" t="s">
        <v>592</v>
      </c>
    </row>
    <row r="328" spans="1:13" ht="51" x14ac:dyDescent="0.25">
      <c r="A328" s="151"/>
      <c r="B328" s="136"/>
      <c r="C328" s="136"/>
      <c r="D328" s="39"/>
      <c r="E328" s="39"/>
      <c r="F328" s="47"/>
      <c r="G328" s="47"/>
      <c r="H328" s="47"/>
      <c r="I328" s="17" t="s">
        <v>593</v>
      </c>
      <c r="J328" s="39" t="s">
        <v>315</v>
      </c>
      <c r="K328" s="39" t="s">
        <v>150</v>
      </c>
      <c r="L328" s="39" t="s">
        <v>104</v>
      </c>
      <c r="M328" s="72" t="s">
        <v>128</v>
      </c>
    </row>
    <row r="329" spans="1:13" ht="25.5" x14ac:dyDescent="0.25">
      <c r="A329" s="151"/>
      <c r="B329" s="136"/>
      <c r="C329" s="136"/>
      <c r="D329" s="39"/>
      <c r="E329" s="39"/>
      <c r="F329" s="47"/>
      <c r="G329" s="47"/>
      <c r="H329" s="47"/>
      <c r="I329" s="17" t="s">
        <v>594</v>
      </c>
      <c r="J329" s="39" t="s">
        <v>315</v>
      </c>
      <c r="K329" s="39" t="s">
        <v>595</v>
      </c>
      <c r="L329" s="39" t="s">
        <v>590</v>
      </c>
      <c r="M329" s="72" t="s">
        <v>591</v>
      </c>
    </row>
    <row r="330" spans="1:13" ht="38.25" x14ac:dyDescent="0.25">
      <c r="A330" s="151"/>
      <c r="B330" s="136"/>
      <c r="C330" s="136"/>
      <c r="D330" s="39"/>
      <c r="E330" s="39"/>
      <c r="F330" s="47"/>
      <c r="G330" s="47"/>
      <c r="H330" s="47"/>
      <c r="I330" s="17" t="s">
        <v>596</v>
      </c>
      <c r="J330" s="39" t="s">
        <v>315</v>
      </c>
      <c r="K330" s="39" t="s">
        <v>130</v>
      </c>
      <c r="L330" s="39" t="s">
        <v>316</v>
      </c>
      <c r="M330" s="72" t="s">
        <v>597</v>
      </c>
    </row>
    <row r="331" spans="1:13" ht="15.75" thickBot="1" x14ac:dyDescent="0.3">
      <c r="A331" s="152"/>
      <c r="B331" s="137"/>
      <c r="C331" s="137"/>
      <c r="D331" s="39"/>
      <c r="E331" s="39"/>
      <c r="F331" s="47"/>
      <c r="G331" s="47"/>
      <c r="H331" s="47"/>
      <c r="I331" s="17" t="s">
        <v>598</v>
      </c>
      <c r="J331" s="39" t="s">
        <v>315</v>
      </c>
      <c r="K331" s="39" t="s">
        <v>599</v>
      </c>
      <c r="L331" s="39" t="s">
        <v>600</v>
      </c>
      <c r="M331" s="72" t="s">
        <v>141</v>
      </c>
    </row>
    <row r="332" spans="1:13" ht="63.75" customHeight="1" x14ac:dyDescent="0.25">
      <c r="A332" s="150" t="s">
        <v>601</v>
      </c>
      <c r="B332" s="135" t="s">
        <v>602</v>
      </c>
      <c r="C332" s="135" t="s">
        <v>565</v>
      </c>
      <c r="D332" s="45" t="s">
        <v>28</v>
      </c>
      <c r="E332" s="45">
        <v>249.9</v>
      </c>
      <c r="F332" s="46">
        <f>SUM(F333:F336)+249.9</f>
        <v>249.9</v>
      </c>
      <c r="G332" s="46">
        <f>SUM(G333:G336)+254.4</f>
        <v>254.4</v>
      </c>
      <c r="H332" s="46">
        <f>SUM(H333:H336)+260</f>
        <v>260</v>
      </c>
      <c r="I332" s="14" t="s">
        <v>603</v>
      </c>
      <c r="J332" s="45" t="s">
        <v>315</v>
      </c>
      <c r="K332" s="45" t="s">
        <v>604</v>
      </c>
      <c r="L332" s="45" t="s">
        <v>604</v>
      </c>
      <c r="M332" s="71" t="s">
        <v>604</v>
      </c>
    </row>
    <row r="333" spans="1:13" ht="25.5" x14ac:dyDescent="0.25">
      <c r="A333" s="151"/>
      <c r="B333" s="136"/>
      <c r="C333" s="136"/>
      <c r="D333" s="39"/>
      <c r="E333" s="39"/>
      <c r="F333" s="47"/>
      <c r="G333" s="47"/>
      <c r="H333" s="47"/>
      <c r="I333" s="17" t="s">
        <v>605</v>
      </c>
      <c r="J333" s="39" t="s">
        <v>315</v>
      </c>
      <c r="K333" s="39" t="s">
        <v>114</v>
      </c>
      <c r="L333" s="39" t="s">
        <v>120</v>
      </c>
      <c r="M333" s="72" t="s">
        <v>120</v>
      </c>
    </row>
    <row r="334" spans="1:13" ht="25.5" x14ac:dyDescent="0.25">
      <c r="A334" s="151"/>
      <c r="B334" s="136"/>
      <c r="C334" s="136"/>
      <c r="D334" s="39"/>
      <c r="E334" s="39"/>
      <c r="F334" s="47"/>
      <c r="G334" s="47"/>
      <c r="H334" s="47"/>
      <c r="I334" s="17" t="s">
        <v>606</v>
      </c>
      <c r="J334" s="39" t="s">
        <v>315</v>
      </c>
      <c r="K334" s="39" t="s">
        <v>208</v>
      </c>
      <c r="L334" s="39" t="s">
        <v>70</v>
      </c>
      <c r="M334" s="72" t="s">
        <v>70</v>
      </c>
    </row>
    <row r="335" spans="1:13" ht="25.5" x14ac:dyDescent="0.25">
      <c r="A335" s="151"/>
      <c r="B335" s="136"/>
      <c r="C335" s="136"/>
      <c r="D335" s="39"/>
      <c r="E335" s="39"/>
      <c r="F335" s="47"/>
      <c r="G335" s="47"/>
      <c r="H335" s="47"/>
      <c r="I335" s="17" t="s">
        <v>607</v>
      </c>
      <c r="J335" s="39" t="s">
        <v>315</v>
      </c>
      <c r="K335" s="39" t="s">
        <v>264</v>
      </c>
      <c r="L335" s="39" t="s">
        <v>322</v>
      </c>
      <c r="M335" s="72" t="s">
        <v>37</v>
      </c>
    </row>
    <row r="336" spans="1:13" ht="15.75" thickBot="1" x14ac:dyDescent="0.3">
      <c r="A336" s="152"/>
      <c r="B336" s="137"/>
      <c r="C336" s="137"/>
      <c r="D336" s="39"/>
      <c r="E336" s="39"/>
      <c r="F336" s="47"/>
      <c r="G336" s="47"/>
      <c r="H336" s="47"/>
      <c r="I336" s="17" t="s">
        <v>608</v>
      </c>
      <c r="J336" s="39" t="s">
        <v>315</v>
      </c>
      <c r="K336" s="39" t="s">
        <v>512</v>
      </c>
      <c r="L336" s="39" t="s">
        <v>23</v>
      </c>
      <c r="M336" s="72" t="s">
        <v>513</v>
      </c>
    </row>
    <row r="337" spans="1:13" ht="25.5" x14ac:dyDescent="0.25">
      <c r="A337" s="150" t="s">
        <v>609</v>
      </c>
      <c r="B337" s="135" t="s">
        <v>610</v>
      </c>
      <c r="C337" s="135" t="s">
        <v>611</v>
      </c>
      <c r="D337" s="45" t="s">
        <v>28</v>
      </c>
      <c r="E337" s="54">
        <v>558</v>
      </c>
      <c r="F337" s="46">
        <f>SUM(F338:F338)+658</f>
        <v>658</v>
      </c>
      <c r="G337" s="46">
        <f>SUM(G338:G338)+669.8</f>
        <v>669.8</v>
      </c>
      <c r="H337" s="46">
        <f>SUM(H338:H338)+681.9</f>
        <v>681.9</v>
      </c>
      <c r="I337" s="14" t="s">
        <v>612</v>
      </c>
      <c r="J337" s="45" t="s">
        <v>315</v>
      </c>
      <c r="K337" s="45" t="s">
        <v>120</v>
      </c>
      <c r="L337" s="45" t="s">
        <v>120</v>
      </c>
      <c r="M337" s="71" t="s">
        <v>120</v>
      </c>
    </row>
    <row r="338" spans="1:13" ht="15.75" thickBot="1" x14ac:dyDescent="0.3">
      <c r="A338" s="152"/>
      <c r="B338" s="137"/>
      <c r="C338" s="137"/>
      <c r="D338" s="39"/>
      <c r="E338" s="39"/>
      <c r="F338" s="47"/>
      <c r="G338" s="47"/>
      <c r="H338" s="47"/>
      <c r="I338" s="17" t="s">
        <v>613</v>
      </c>
      <c r="J338" s="39" t="s">
        <v>315</v>
      </c>
      <c r="K338" s="39" t="s">
        <v>614</v>
      </c>
      <c r="L338" s="39" t="s">
        <v>615</v>
      </c>
      <c r="M338" s="72" t="s">
        <v>616</v>
      </c>
    </row>
    <row r="339" spans="1:13" ht="25.5" x14ac:dyDescent="0.25">
      <c r="A339" s="150" t="s">
        <v>617</v>
      </c>
      <c r="B339" s="135" t="s">
        <v>618</v>
      </c>
      <c r="C339" s="135" t="s">
        <v>565</v>
      </c>
      <c r="D339" s="45" t="s">
        <v>28</v>
      </c>
      <c r="E339" s="45">
        <v>44.3</v>
      </c>
      <c r="F339" s="46">
        <f>SUM(F340:F341)+69.6</f>
        <v>69.599999999999994</v>
      </c>
      <c r="G339" s="46">
        <f>SUM(G340:G341)+45</f>
        <v>45</v>
      </c>
      <c r="H339" s="46">
        <f>SUM(H340:H341)+46.1</f>
        <v>46.1</v>
      </c>
      <c r="I339" s="14" t="s">
        <v>619</v>
      </c>
      <c r="J339" s="45" t="s">
        <v>315</v>
      </c>
      <c r="K339" s="45" t="s">
        <v>572</v>
      </c>
      <c r="L339" s="45" t="s">
        <v>131</v>
      </c>
      <c r="M339" s="71" t="s">
        <v>595</v>
      </c>
    </row>
    <row r="340" spans="1:13" ht="25.5" x14ac:dyDescent="0.25">
      <c r="A340" s="151"/>
      <c r="B340" s="136"/>
      <c r="C340" s="136"/>
      <c r="D340" s="39"/>
      <c r="E340" s="39"/>
      <c r="F340" s="47"/>
      <c r="G340" s="47"/>
      <c r="H340" s="47"/>
      <c r="I340" s="17" t="s">
        <v>620</v>
      </c>
      <c r="J340" s="39" t="s">
        <v>315</v>
      </c>
      <c r="K340" s="39" t="s">
        <v>70</v>
      </c>
      <c r="L340" s="39" t="s">
        <v>70</v>
      </c>
      <c r="M340" s="72" t="s">
        <v>70</v>
      </c>
    </row>
    <row r="341" spans="1:13" ht="26.25" thickBot="1" x14ac:dyDescent="0.3">
      <c r="A341" s="152"/>
      <c r="B341" s="137"/>
      <c r="C341" s="137"/>
      <c r="D341" s="39"/>
      <c r="E341" s="39"/>
      <c r="F341" s="47"/>
      <c r="G341" s="47"/>
      <c r="H341" s="47"/>
      <c r="I341" s="17" t="s">
        <v>621</v>
      </c>
      <c r="J341" s="39" t="s">
        <v>315</v>
      </c>
      <c r="K341" s="39" t="s">
        <v>70</v>
      </c>
      <c r="L341" s="39" t="s">
        <v>110</v>
      </c>
      <c r="M341" s="72" t="s">
        <v>125</v>
      </c>
    </row>
    <row r="342" spans="1:13" ht="25.5" x14ac:dyDescent="0.25">
      <c r="A342" s="150" t="s">
        <v>622</v>
      </c>
      <c r="B342" s="135" t="s">
        <v>623</v>
      </c>
      <c r="C342" s="135" t="s">
        <v>624</v>
      </c>
      <c r="D342" s="45" t="s">
        <v>28</v>
      </c>
      <c r="E342" s="45">
        <v>1194.8</v>
      </c>
      <c r="F342" s="46">
        <f>SUM(F343:F345)+1791.4</f>
        <v>1791.4</v>
      </c>
      <c r="G342" s="46">
        <f>SUM(G343:G345)+1823.6</f>
        <v>1823.6</v>
      </c>
      <c r="H342" s="46">
        <f>SUM(H343:H345)+1863.8</f>
        <v>1863.8</v>
      </c>
      <c r="I342" s="14" t="s">
        <v>625</v>
      </c>
      <c r="J342" s="45" t="s">
        <v>315</v>
      </c>
      <c r="K342" s="45" t="s">
        <v>67</v>
      </c>
      <c r="L342" s="45" t="s">
        <v>67</v>
      </c>
      <c r="M342" s="71" t="s">
        <v>67</v>
      </c>
    </row>
    <row r="343" spans="1:13" ht="25.5" x14ac:dyDescent="0.25">
      <c r="A343" s="151"/>
      <c r="B343" s="136"/>
      <c r="C343" s="136"/>
      <c r="D343" s="39"/>
      <c r="E343" s="39"/>
      <c r="F343" s="47"/>
      <c r="G343" s="47"/>
      <c r="H343" s="47"/>
      <c r="I343" s="17" t="s">
        <v>626</v>
      </c>
      <c r="J343" s="39" t="s">
        <v>315</v>
      </c>
      <c r="K343" s="39" t="s">
        <v>627</v>
      </c>
      <c r="L343" s="39" t="s">
        <v>628</v>
      </c>
      <c r="M343" s="72" t="s">
        <v>629</v>
      </c>
    </row>
    <row r="344" spans="1:13" ht="25.5" x14ac:dyDescent="0.25">
      <c r="A344" s="151"/>
      <c r="B344" s="136"/>
      <c r="C344" s="136"/>
      <c r="D344" s="39"/>
      <c r="E344" s="39"/>
      <c r="F344" s="47"/>
      <c r="G344" s="47"/>
      <c r="H344" s="47"/>
      <c r="I344" s="17" t="s">
        <v>630</v>
      </c>
      <c r="J344" s="39" t="s">
        <v>315</v>
      </c>
      <c r="K344" s="39" t="s">
        <v>30</v>
      </c>
      <c r="L344" s="39" t="s">
        <v>30</v>
      </c>
      <c r="M344" s="72" t="s">
        <v>30</v>
      </c>
    </row>
    <row r="345" spans="1:13" ht="26.25" thickBot="1" x14ac:dyDescent="0.3">
      <c r="A345" s="152"/>
      <c r="B345" s="137"/>
      <c r="C345" s="137"/>
      <c r="D345" s="39"/>
      <c r="E345" s="39"/>
      <c r="F345" s="47"/>
      <c r="G345" s="47"/>
      <c r="H345" s="47"/>
      <c r="I345" s="17" t="s">
        <v>631</v>
      </c>
      <c r="J345" s="39" t="s">
        <v>315</v>
      </c>
      <c r="K345" s="39" t="s">
        <v>584</v>
      </c>
      <c r="L345" s="39" t="s">
        <v>632</v>
      </c>
      <c r="M345" s="72" t="s">
        <v>633</v>
      </c>
    </row>
    <row r="346" spans="1:13" ht="25.5" x14ac:dyDescent="0.25">
      <c r="A346" s="150" t="s">
        <v>634</v>
      </c>
      <c r="B346" s="135" t="s">
        <v>635</v>
      </c>
      <c r="C346" s="135" t="s">
        <v>565</v>
      </c>
      <c r="D346" s="45"/>
      <c r="E346" s="46">
        <f>SUM(E347:E351)</f>
        <v>3840.4</v>
      </c>
      <c r="F346" s="46">
        <f>SUM(F347:F351)</f>
        <v>4384.5</v>
      </c>
      <c r="G346" s="46">
        <f>SUM(G347:G351)</f>
        <v>4416.3</v>
      </c>
      <c r="H346" s="46">
        <f>SUM(H347:H351)</f>
        <v>4504.6999999999989</v>
      </c>
      <c r="I346" s="14" t="s">
        <v>636</v>
      </c>
      <c r="J346" s="45" t="s">
        <v>315</v>
      </c>
      <c r="K346" s="45" t="s">
        <v>637</v>
      </c>
      <c r="L346" s="45" t="s">
        <v>638</v>
      </c>
      <c r="M346" s="71" t="s">
        <v>639</v>
      </c>
    </row>
    <row r="347" spans="1:13" ht="25.5" x14ac:dyDescent="0.25">
      <c r="A347" s="151"/>
      <c r="B347" s="136"/>
      <c r="C347" s="136"/>
      <c r="D347" s="39" t="s">
        <v>28</v>
      </c>
      <c r="E347" s="39">
        <v>3373.3</v>
      </c>
      <c r="F347" s="47">
        <v>3871.7</v>
      </c>
      <c r="G347" s="47">
        <v>3941.5</v>
      </c>
      <c r="H347" s="47">
        <v>4028.2</v>
      </c>
      <c r="I347" s="17" t="s">
        <v>594</v>
      </c>
      <c r="J347" s="39" t="s">
        <v>315</v>
      </c>
      <c r="K347" s="39" t="s">
        <v>151</v>
      </c>
      <c r="L347" s="39" t="s">
        <v>150</v>
      </c>
      <c r="M347" s="72" t="s">
        <v>104</v>
      </c>
    </row>
    <row r="348" spans="1:13" ht="38.25" customHeight="1" x14ac:dyDescent="0.25">
      <c r="A348" s="151"/>
      <c r="B348" s="136"/>
      <c r="C348" s="136"/>
      <c r="D348" s="39" t="s">
        <v>139</v>
      </c>
      <c r="E348" s="53">
        <v>377</v>
      </c>
      <c r="F348" s="47">
        <v>408.8</v>
      </c>
      <c r="G348" s="47">
        <v>411.1</v>
      </c>
      <c r="H348" s="47">
        <v>412.4</v>
      </c>
      <c r="I348" s="144" t="s">
        <v>596</v>
      </c>
      <c r="J348" s="146" t="s">
        <v>315</v>
      </c>
      <c r="K348" s="146" t="s">
        <v>640</v>
      </c>
      <c r="L348" s="146" t="s">
        <v>641</v>
      </c>
      <c r="M348" s="148" t="s">
        <v>642</v>
      </c>
    </row>
    <row r="349" spans="1:13" x14ac:dyDescent="0.25">
      <c r="A349" s="151"/>
      <c r="B349" s="136"/>
      <c r="C349" s="136"/>
      <c r="D349" s="39" t="s">
        <v>190</v>
      </c>
      <c r="E349" s="53">
        <v>17</v>
      </c>
      <c r="F349" s="47"/>
      <c r="G349" s="47"/>
      <c r="H349" s="47"/>
      <c r="I349" s="136"/>
      <c r="J349" s="139"/>
      <c r="K349" s="139"/>
      <c r="L349" s="139"/>
      <c r="M349" s="142"/>
    </row>
    <row r="350" spans="1:13" x14ac:dyDescent="0.25">
      <c r="A350" s="151"/>
      <c r="B350" s="136"/>
      <c r="C350" s="136"/>
      <c r="D350" s="39" t="s">
        <v>152</v>
      </c>
      <c r="E350" s="39">
        <v>20.6</v>
      </c>
      <c r="F350" s="47">
        <v>43.7</v>
      </c>
      <c r="G350" s="47">
        <v>44</v>
      </c>
      <c r="H350" s="47">
        <v>44.4</v>
      </c>
      <c r="I350" s="136"/>
      <c r="J350" s="139"/>
      <c r="K350" s="139"/>
      <c r="L350" s="139"/>
      <c r="M350" s="142"/>
    </row>
    <row r="351" spans="1:13" ht="15.75" thickBot="1" x14ac:dyDescent="0.3">
      <c r="A351" s="152"/>
      <c r="B351" s="137"/>
      <c r="C351" s="137"/>
      <c r="D351" s="39" t="s">
        <v>157</v>
      </c>
      <c r="E351" s="39">
        <v>52.5</v>
      </c>
      <c r="F351" s="47">
        <v>60.3</v>
      </c>
      <c r="G351" s="47">
        <v>19.7</v>
      </c>
      <c r="H351" s="47">
        <v>19.7</v>
      </c>
      <c r="I351" s="137"/>
      <c r="J351" s="140"/>
      <c r="K351" s="140"/>
      <c r="L351" s="140"/>
      <c r="M351" s="143"/>
    </row>
    <row r="352" spans="1:13" ht="15.75" thickBot="1" x14ac:dyDescent="0.3">
      <c r="A352" s="9" t="s">
        <v>643</v>
      </c>
      <c r="B352" s="10" t="s">
        <v>644</v>
      </c>
      <c r="C352" s="11"/>
      <c r="D352" s="60"/>
      <c r="E352" s="44">
        <f>E353+E357+E360+E361+E362+E363+E364+E365</f>
        <v>500.1</v>
      </c>
      <c r="F352" s="44">
        <f>F353+F357+F360+F361+F362+F363+F364+F365</f>
        <v>264</v>
      </c>
      <c r="G352" s="44">
        <f>G353+G357+G360+G361+G362+G363+G364+G365</f>
        <v>6862</v>
      </c>
      <c r="H352" s="44">
        <f>H353+H357+H360+H361+H362+H363+H364+H365</f>
        <v>5573</v>
      </c>
      <c r="I352" s="178"/>
      <c r="J352" s="179"/>
      <c r="K352" s="179"/>
      <c r="L352" s="179"/>
      <c r="M352" s="180"/>
    </row>
    <row r="353" spans="1:13" ht="25.5" customHeight="1" x14ac:dyDescent="0.25">
      <c r="A353" s="150" t="s">
        <v>645</v>
      </c>
      <c r="B353" s="135" t="s">
        <v>646</v>
      </c>
      <c r="C353" s="135" t="s">
        <v>647</v>
      </c>
      <c r="D353" s="45"/>
      <c r="E353" s="46">
        <f>SUM(E354:E356)</f>
        <v>368.5</v>
      </c>
      <c r="F353" s="46">
        <f>SUM(F354:F356)</f>
        <v>194</v>
      </c>
      <c r="G353" s="46">
        <f>SUM(G354:G356)</f>
        <v>5000</v>
      </c>
      <c r="H353" s="46">
        <f>SUM(H354:H356)</f>
        <v>5000</v>
      </c>
      <c r="I353" s="14" t="s">
        <v>648</v>
      </c>
      <c r="J353" s="45" t="s">
        <v>315</v>
      </c>
      <c r="K353" s="45" t="s">
        <v>30</v>
      </c>
      <c r="L353" s="45"/>
      <c r="M353" s="71"/>
    </row>
    <row r="354" spans="1:13" x14ac:dyDescent="0.25">
      <c r="A354" s="151"/>
      <c r="B354" s="136"/>
      <c r="C354" s="136"/>
      <c r="D354" s="39" t="s">
        <v>28</v>
      </c>
      <c r="E354" s="53">
        <v>50</v>
      </c>
      <c r="F354" s="47">
        <v>194</v>
      </c>
      <c r="G354" s="47">
        <v>4000</v>
      </c>
      <c r="H354" s="47">
        <v>5000</v>
      </c>
      <c r="I354" s="144" t="s">
        <v>649</v>
      </c>
      <c r="J354" s="146" t="s">
        <v>94</v>
      </c>
      <c r="K354" s="146" t="s">
        <v>70</v>
      </c>
      <c r="L354" s="146" t="s">
        <v>123</v>
      </c>
      <c r="M354" s="148" t="s">
        <v>189</v>
      </c>
    </row>
    <row r="355" spans="1:13" x14ac:dyDescent="0.25">
      <c r="A355" s="151"/>
      <c r="B355" s="136"/>
      <c r="C355" s="136"/>
      <c r="D355" s="39" t="s">
        <v>190</v>
      </c>
      <c r="E355" s="53">
        <v>18.5</v>
      </c>
      <c r="F355" s="47"/>
      <c r="G355" s="47"/>
      <c r="H355" s="47"/>
      <c r="I355" s="136"/>
      <c r="J355" s="139"/>
      <c r="K355" s="139"/>
      <c r="L355" s="139"/>
      <c r="M355" s="142"/>
    </row>
    <row r="356" spans="1:13" ht="15.75" thickBot="1" x14ac:dyDescent="0.3">
      <c r="A356" s="152"/>
      <c r="B356" s="137"/>
      <c r="C356" s="137"/>
      <c r="D356" s="39" t="s">
        <v>157</v>
      </c>
      <c r="E356" s="53">
        <v>300</v>
      </c>
      <c r="F356" s="47"/>
      <c r="G356" s="47">
        <v>1000</v>
      </c>
      <c r="H356" s="47"/>
      <c r="I356" s="137"/>
      <c r="J356" s="140"/>
      <c r="K356" s="140"/>
      <c r="L356" s="140"/>
      <c r="M356" s="143"/>
    </row>
    <row r="357" spans="1:13" ht="38.25" customHeight="1" x14ac:dyDescent="0.25">
      <c r="A357" s="150" t="s">
        <v>650</v>
      </c>
      <c r="B357" s="135" t="s">
        <v>651</v>
      </c>
      <c r="C357" s="135" t="s">
        <v>652</v>
      </c>
      <c r="D357" s="45"/>
      <c r="E357" s="45"/>
      <c r="F357" s="46"/>
      <c r="G357" s="46">
        <f>SUM(G358:G359)</f>
        <v>1337</v>
      </c>
      <c r="H357" s="46">
        <f>SUM(H358:H359)</f>
        <v>573</v>
      </c>
      <c r="I357" s="135" t="s">
        <v>653</v>
      </c>
      <c r="J357" s="138" t="s">
        <v>94</v>
      </c>
      <c r="K357" s="138"/>
      <c r="L357" s="138" t="s">
        <v>123</v>
      </c>
      <c r="M357" s="141" t="s">
        <v>189</v>
      </c>
    </row>
    <row r="358" spans="1:13" x14ac:dyDescent="0.25">
      <c r="A358" s="151"/>
      <c r="B358" s="136"/>
      <c r="C358" s="136"/>
      <c r="D358" s="39" t="s">
        <v>28</v>
      </c>
      <c r="E358" s="39"/>
      <c r="F358" s="47"/>
      <c r="G358" s="47"/>
      <c r="H358" s="47">
        <v>573</v>
      </c>
      <c r="I358" s="136"/>
      <c r="J358" s="139"/>
      <c r="K358" s="139"/>
      <c r="L358" s="139"/>
      <c r="M358" s="142"/>
    </row>
    <row r="359" spans="1:13" ht="15.75" thickBot="1" x14ac:dyDescent="0.3">
      <c r="A359" s="152"/>
      <c r="B359" s="137"/>
      <c r="C359" s="137"/>
      <c r="D359" s="39" t="s">
        <v>157</v>
      </c>
      <c r="E359" s="39"/>
      <c r="F359" s="47"/>
      <c r="G359" s="47">
        <v>1337</v>
      </c>
      <c r="H359" s="47"/>
      <c r="I359" s="137"/>
      <c r="J359" s="140"/>
      <c r="K359" s="140"/>
      <c r="L359" s="140"/>
      <c r="M359" s="143"/>
    </row>
    <row r="360" spans="1:13" ht="54" customHeight="1" thickBot="1" x14ac:dyDescent="0.3">
      <c r="A360" s="12" t="s">
        <v>654</v>
      </c>
      <c r="B360" s="13" t="s">
        <v>655</v>
      </c>
      <c r="C360" s="14" t="s">
        <v>656</v>
      </c>
      <c r="D360" s="45" t="s">
        <v>28</v>
      </c>
      <c r="E360" s="45"/>
      <c r="F360" s="55"/>
      <c r="G360" s="55">
        <v>525</v>
      </c>
      <c r="H360" s="55"/>
      <c r="I360" s="14" t="s">
        <v>648</v>
      </c>
      <c r="J360" s="45" t="s">
        <v>21</v>
      </c>
      <c r="K360" s="45"/>
      <c r="L360" s="45" t="s">
        <v>30</v>
      </c>
      <c r="M360" s="71"/>
    </row>
    <row r="361" spans="1:13" ht="3" hidden="1" customHeight="1" thickBot="1" x14ac:dyDescent="0.3">
      <c r="A361" s="12" t="s">
        <v>657</v>
      </c>
      <c r="B361" s="13" t="s">
        <v>658</v>
      </c>
      <c r="C361" s="14" t="s">
        <v>565</v>
      </c>
      <c r="D361" s="45" t="s">
        <v>157</v>
      </c>
      <c r="E361" s="54">
        <v>27</v>
      </c>
      <c r="F361" s="55"/>
      <c r="G361" s="55"/>
      <c r="H361" s="55"/>
      <c r="I361" s="14"/>
      <c r="J361" s="45"/>
      <c r="K361" s="45"/>
      <c r="L361" s="45"/>
      <c r="M361" s="71"/>
    </row>
    <row r="362" spans="1:13" ht="26.25" hidden="1" thickBot="1" x14ac:dyDescent="0.3">
      <c r="A362" s="12" t="s">
        <v>659</v>
      </c>
      <c r="B362" s="13" t="s">
        <v>660</v>
      </c>
      <c r="C362" s="14" t="s">
        <v>652</v>
      </c>
      <c r="D362" s="45" t="s">
        <v>190</v>
      </c>
      <c r="E362" s="54">
        <v>25</v>
      </c>
      <c r="F362" s="55"/>
      <c r="G362" s="55"/>
      <c r="H362" s="55"/>
      <c r="I362" s="14"/>
      <c r="J362" s="45"/>
      <c r="K362" s="45"/>
      <c r="L362" s="45"/>
      <c r="M362" s="71"/>
    </row>
    <row r="363" spans="1:13" ht="26.25" hidden="1" thickBot="1" x14ac:dyDescent="0.3">
      <c r="A363" s="12" t="s">
        <v>661</v>
      </c>
      <c r="B363" s="13" t="s">
        <v>662</v>
      </c>
      <c r="C363" s="14" t="s">
        <v>565</v>
      </c>
      <c r="D363" s="45" t="s">
        <v>190</v>
      </c>
      <c r="E363" s="45">
        <v>79.599999999999994</v>
      </c>
      <c r="F363" s="55"/>
      <c r="G363" s="55"/>
      <c r="H363" s="55"/>
      <c r="I363" s="14"/>
      <c r="J363" s="45"/>
      <c r="K363" s="45"/>
      <c r="L363" s="45"/>
      <c r="M363" s="71"/>
    </row>
    <row r="364" spans="1:13" ht="26.25" hidden="1" thickBot="1" x14ac:dyDescent="0.3">
      <c r="A364" s="12" t="s">
        <v>663</v>
      </c>
      <c r="B364" s="13" t="s">
        <v>664</v>
      </c>
      <c r="C364" s="14" t="s">
        <v>565</v>
      </c>
      <c r="D364" s="45"/>
      <c r="E364" s="45"/>
      <c r="F364" s="55"/>
      <c r="G364" s="55"/>
      <c r="H364" s="55"/>
      <c r="I364" s="14"/>
      <c r="J364" s="45"/>
      <c r="K364" s="45"/>
      <c r="L364" s="45"/>
      <c r="M364" s="71"/>
    </row>
    <row r="365" spans="1:13" ht="15.75" thickBot="1" x14ac:dyDescent="0.3">
      <c r="A365" s="12" t="s">
        <v>665</v>
      </c>
      <c r="B365" s="13" t="s">
        <v>666</v>
      </c>
      <c r="C365" s="14"/>
      <c r="D365" s="45" t="s">
        <v>28</v>
      </c>
      <c r="E365" s="45"/>
      <c r="F365" s="55">
        <v>70</v>
      </c>
      <c r="G365" s="55"/>
      <c r="H365" s="55"/>
      <c r="I365" s="14" t="s">
        <v>649</v>
      </c>
      <c r="J365" s="45" t="s">
        <v>94</v>
      </c>
      <c r="K365" s="45" t="s">
        <v>189</v>
      </c>
      <c r="L365" s="45"/>
      <c r="M365" s="71"/>
    </row>
    <row r="366" spans="1:13" ht="15.75" thickBot="1" x14ac:dyDescent="0.3">
      <c r="A366" s="9" t="s">
        <v>667</v>
      </c>
      <c r="B366" s="10" t="s">
        <v>668</v>
      </c>
      <c r="C366" s="11"/>
      <c r="D366" s="60"/>
      <c r="E366" s="44">
        <f>SUM(E367:E368)</f>
        <v>28.5</v>
      </c>
      <c r="F366" s="44">
        <f>SUM(F367:F368)</f>
        <v>48.599999999999994</v>
      </c>
      <c r="G366" s="44">
        <f>SUM(G367:G368)</f>
        <v>49.5</v>
      </c>
      <c r="H366" s="44">
        <f>SUM(H367:H368)</f>
        <v>50.400000000000006</v>
      </c>
      <c r="I366" s="178"/>
      <c r="J366" s="179"/>
      <c r="K366" s="179"/>
      <c r="L366" s="179"/>
      <c r="M366" s="180"/>
    </row>
    <row r="367" spans="1:13" ht="51.75" thickBot="1" x14ac:dyDescent="0.3">
      <c r="A367" s="12" t="s">
        <v>669</v>
      </c>
      <c r="B367" s="13" t="s">
        <v>670</v>
      </c>
      <c r="C367" s="14" t="s">
        <v>565</v>
      </c>
      <c r="D367" s="45" t="s">
        <v>28</v>
      </c>
      <c r="E367" s="45">
        <v>15.2</v>
      </c>
      <c r="F367" s="55">
        <v>15.2</v>
      </c>
      <c r="G367" s="55">
        <v>15.5</v>
      </c>
      <c r="H367" s="55">
        <v>15.8</v>
      </c>
      <c r="I367" s="14" t="s">
        <v>671</v>
      </c>
      <c r="J367" s="45" t="s">
        <v>94</v>
      </c>
      <c r="K367" s="45" t="s">
        <v>672</v>
      </c>
      <c r="L367" s="45" t="s">
        <v>70</v>
      </c>
      <c r="M367" s="71" t="s">
        <v>110</v>
      </c>
    </row>
    <row r="368" spans="1:13" ht="51.75" thickBot="1" x14ac:dyDescent="0.3">
      <c r="A368" s="12" t="s">
        <v>673</v>
      </c>
      <c r="B368" s="13" t="s">
        <v>674</v>
      </c>
      <c r="C368" s="14" t="s">
        <v>675</v>
      </c>
      <c r="D368" s="45" t="s">
        <v>28</v>
      </c>
      <c r="E368" s="45">
        <v>13.3</v>
      </c>
      <c r="F368" s="55">
        <v>33.4</v>
      </c>
      <c r="G368" s="55">
        <v>34</v>
      </c>
      <c r="H368" s="55">
        <v>34.6</v>
      </c>
      <c r="I368" s="14" t="s">
        <v>676</v>
      </c>
      <c r="J368" s="45" t="s">
        <v>94</v>
      </c>
      <c r="K368" s="45" t="s">
        <v>572</v>
      </c>
      <c r="L368" s="45" t="s">
        <v>572</v>
      </c>
      <c r="M368" s="71" t="s">
        <v>572</v>
      </c>
    </row>
    <row r="369" spans="1:13" ht="26.25" thickBot="1" x14ac:dyDescent="0.3">
      <c r="A369" s="3" t="s">
        <v>677</v>
      </c>
      <c r="B369" s="4" t="s">
        <v>678</v>
      </c>
      <c r="C369" s="5" t="s">
        <v>679</v>
      </c>
      <c r="D369" s="59"/>
      <c r="E369" s="42">
        <f>E370+E445</f>
        <v>74637.700000000012</v>
      </c>
      <c r="F369" s="42">
        <f>F370+F445</f>
        <v>82754.10000000002</v>
      </c>
      <c r="G369" s="42">
        <f>G370+G445</f>
        <v>83987.400000000009</v>
      </c>
      <c r="H369" s="42">
        <f>H370+H445</f>
        <v>81840.7</v>
      </c>
      <c r="I369" s="181"/>
      <c r="J369" s="182"/>
      <c r="K369" s="182"/>
      <c r="L369" s="182"/>
      <c r="M369" s="183"/>
    </row>
    <row r="370" spans="1:13" ht="25.5" x14ac:dyDescent="0.25">
      <c r="A370" s="165" t="s">
        <v>680</v>
      </c>
      <c r="B370" s="167" t="s">
        <v>681</v>
      </c>
      <c r="C370" s="169"/>
      <c r="D370" s="169"/>
      <c r="E370" s="162">
        <f>E371+E372+E399</f>
        <v>71550.600000000006</v>
      </c>
      <c r="F370" s="162">
        <f>F371+F372+F399</f>
        <v>76618.000000000015</v>
      </c>
      <c r="G370" s="162">
        <f>G371+G372+G399</f>
        <v>76147.600000000006</v>
      </c>
      <c r="H370" s="162">
        <f>H371+H372+H399</f>
        <v>77631.899999999994</v>
      </c>
      <c r="I370" s="8" t="s">
        <v>682</v>
      </c>
      <c r="J370" s="38" t="s">
        <v>94</v>
      </c>
      <c r="K370" s="38" t="s">
        <v>189</v>
      </c>
      <c r="L370" s="38" t="s">
        <v>189</v>
      </c>
      <c r="M370" s="74" t="s">
        <v>189</v>
      </c>
    </row>
    <row r="371" spans="1:13" ht="26.25" thickBot="1" x14ac:dyDescent="0.3">
      <c r="A371" s="166"/>
      <c r="B371" s="168"/>
      <c r="C371" s="170"/>
      <c r="D371" s="170"/>
      <c r="E371" s="164"/>
      <c r="F371" s="164"/>
      <c r="G371" s="164"/>
      <c r="H371" s="164"/>
      <c r="I371" s="40" t="s">
        <v>683</v>
      </c>
      <c r="J371" s="69" t="s">
        <v>315</v>
      </c>
      <c r="K371" s="69" t="s">
        <v>684</v>
      </c>
      <c r="L371" s="69" t="s">
        <v>684</v>
      </c>
      <c r="M371" s="78" t="s">
        <v>684</v>
      </c>
    </row>
    <row r="372" spans="1:13" ht="26.25" thickBot="1" x14ac:dyDescent="0.3">
      <c r="A372" s="9" t="s">
        <v>685</v>
      </c>
      <c r="B372" s="10" t="s">
        <v>686</v>
      </c>
      <c r="C372" s="11"/>
      <c r="D372" s="60"/>
      <c r="E372" s="44">
        <f>E373+E380+E381+E384+E388+E398</f>
        <v>929.1</v>
      </c>
      <c r="F372" s="44">
        <f>F373+F380+F381+F384+F388+F398</f>
        <v>1036.3</v>
      </c>
      <c r="G372" s="44">
        <f>G373+G380+G381+G384+G388+G398</f>
        <v>911</v>
      </c>
      <c r="H372" s="44">
        <f>H373+H380+H381+H384+H388+H398</f>
        <v>937.40000000000009</v>
      </c>
      <c r="I372" s="178"/>
      <c r="J372" s="179"/>
      <c r="K372" s="179"/>
      <c r="L372" s="179"/>
      <c r="M372" s="180"/>
    </row>
    <row r="373" spans="1:13" ht="25.5" x14ac:dyDescent="0.25">
      <c r="A373" s="150" t="s">
        <v>687</v>
      </c>
      <c r="B373" s="135" t="s">
        <v>688</v>
      </c>
      <c r="C373" s="135" t="s">
        <v>679</v>
      </c>
      <c r="D373" s="45"/>
      <c r="E373" s="46">
        <f>SUM(E374:E379)</f>
        <v>208.9</v>
      </c>
      <c r="F373" s="46">
        <f>SUM(F374:F379)</f>
        <v>306.10000000000002</v>
      </c>
      <c r="G373" s="46">
        <f t="shared" ref="G373:H373" si="15">SUM(G374:G379)</f>
        <v>233.7</v>
      </c>
      <c r="H373" s="46">
        <f t="shared" si="15"/>
        <v>260.10000000000002</v>
      </c>
      <c r="I373" s="14" t="s">
        <v>689</v>
      </c>
      <c r="J373" s="45" t="s">
        <v>315</v>
      </c>
      <c r="K373" s="45" t="s">
        <v>120</v>
      </c>
      <c r="L373" s="45" t="s">
        <v>120</v>
      </c>
      <c r="M373" s="71" t="s">
        <v>120</v>
      </c>
    </row>
    <row r="374" spans="1:13" x14ac:dyDescent="0.25">
      <c r="A374" s="151"/>
      <c r="B374" s="136"/>
      <c r="C374" s="136"/>
      <c r="D374" s="39" t="s">
        <v>28</v>
      </c>
      <c r="E374" s="39">
        <v>108.9</v>
      </c>
      <c r="F374" s="47">
        <v>306.10000000000002</v>
      </c>
      <c r="G374" s="47">
        <v>233.7</v>
      </c>
      <c r="H374" s="47">
        <v>260.10000000000002</v>
      </c>
      <c r="I374" s="17" t="s">
        <v>690</v>
      </c>
      <c r="J374" s="39" t="s">
        <v>315</v>
      </c>
      <c r="K374" s="39" t="s">
        <v>691</v>
      </c>
      <c r="L374" s="39" t="s">
        <v>691</v>
      </c>
      <c r="M374" s="72" t="s">
        <v>691</v>
      </c>
    </row>
    <row r="375" spans="1:13" x14ac:dyDescent="0.25">
      <c r="A375" s="151"/>
      <c r="B375" s="136"/>
      <c r="C375" s="136"/>
      <c r="D375" s="39" t="s">
        <v>190</v>
      </c>
      <c r="E375" s="93">
        <v>100</v>
      </c>
      <c r="F375" s="47"/>
      <c r="G375" s="47"/>
      <c r="H375" s="47"/>
      <c r="I375" s="17" t="s">
        <v>692</v>
      </c>
      <c r="J375" s="39" t="s">
        <v>315</v>
      </c>
      <c r="K375" s="39" t="s">
        <v>70</v>
      </c>
      <c r="L375" s="39" t="s">
        <v>70</v>
      </c>
      <c r="M375" s="72" t="s">
        <v>70</v>
      </c>
    </row>
    <row r="376" spans="1:13" ht="38.25" x14ac:dyDescent="0.25">
      <c r="A376" s="151"/>
      <c r="B376" s="136"/>
      <c r="C376" s="136"/>
      <c r="D376" s="39"/>
      <c r="E376" s="39"/>
      <c r="F376" s="47"/>
      <c r="G376" s="47"/>
      <c r="H376" s="47"/>
      <c r="I376" s="17" t="s">
        <v>693</v>
      </c>
      <c r="J376" s="39" t="s">
        <v>315</v>
      </c>
      <c r="K376" s="39" t="s">
        <v>37</v>
      </c>
      <c r="L376" s="39" t="s">
        <v>37</v>
      </c>
      <c r="M376" s="72" t="s">
        <v>37</v>
      </c>
    </row>
    <row r="377" spans="1:13" ht="25.5" x14ac:dyDescent="0.25">
      <c r="A377" s="151"/>
      <c r="B377" s="136"/>
      <c r="C377" s="136"/>
      <c r="D377" s="39"/>
      <c r="E377" s="39"/>
      <c r="F377" s="47"/>
      <c r="G377" s="47"/>
      <c r="H377" s="47"/>
      <c r="I377" s="17" t="s">
        <v>694</v>
      </c>
      <c r="J377" s="39" t="s">
        <v>315</v>
      </c>
      <c r="K377" s="39" t="s">
        <v>189</v>
      </c>
      <c r="L377" s="39" t="s">
        <v>189</v>
      </c>
      <c r="M377" s="72" t="s">
        <v>189</v>
      </c>
    </row>
    <row r="378" spans="1:13" ht="25.5" x14ac:dyDescent="0.25">
      <c r="A378" s="151"/>
      <c r="B378" s="136"/>
      <c r="C378" s="136"/>
      <c r="D378" s="39"/>
      <c r="E378" s="39"/>
      <c r="F378" s="47"/>
      <c r="G378" s="47"/>
      <c r="H378" s="47"/>
      <c r="I378" s="17" t="s">
        <v>695</v>
      </c>
      <c r="J378" s="39" t="s">
        <v>315</v>
      </c>
      <c r="K378" s="39" t="s">
        <v>592</v>
      </c>
      <c r="L378" s="39" t="s">
        <v>592</v>
      </c>
      <c r="M378" s="72" t="s">
        <v>592</v>
      </c>
    </row>
    <row r="379" spans="1:13" ht="15.75" thickBot="1" x14ac:dyDescent="0.3">
      <c r="A379" s="152"/>
      <c r="B379" s="137"/>
      <c r="C379" s="137"/>
      <c r="D379" s="39"/>
      <c r="E379" s="39"/>
      <c r="F379" s="47"/>
      <c r="G379" s="47"/>
      <c r="H379" s="47"/>
      <c r="I379" s="17" t="s">
        <v>696</v>
      </c>
      <c r="J379" s="39" t="s">
        <v>315</v>
      </c>
      <c r="K379" s="39" t="s">
        <v>697</v>
      </c>
      <c r="L379" s="39" t="s">
        <v>697</v>
      </c>
      <c r="M379" s="72" t="s">
        <v>697</v>
      </c>
    </row>
    <row r="380" spans="1:13" ht="77.25" thickBot="1" x14ac:dyDescent="0.3">
      <c r="A380" s="12" t="s">
        <v>698</v>
      </c>
      <c r="B380" s="13" t="s">
        <v>699</v>
      </c>
      <c r="C380" s="14" t="s">
        <v>679</v>
      </c>
      <c r="D380" s="45" t="s">
        <v>28</v>
      </c>
      <c r="E380" s="45">
        <v>146.6</v>
      </c>
      <c r="F380" s="55">
        <v>77.3</v>
      </c>
      <c r="G380" s="55">
        <v>177.3</v>
      </c>
      <c r="H380" s="55">
        <v>177.3</v>
      </c>
      <c r="I380" s="14" t="s">
        <v>700</v>
      </c>
      <c r="J380" s="45" t="s">
        <v>21</v>
      </c>
      <c r="K380" s="45" t="s">
        <v>701</v>
      </c>
      <c r="L380" s="45" t="s">
        <v>701</v>
      </c>
      <c r="M380" s="71" t="s">
        <v>701</v>
      </c>
    </row>
    <row r="381" spans="1:13" ht="38.25" x14ac:dyDescent="0.25">
      <c r="A381" s="150" t="s">
        <v>702</v>
      </c>
      <c r="B381" s="135" t="s">
        <v>703</v>
      </c>
      <c r="C381" s="135" t="s">
        <v>679</v>
      </c>
      <c r="D381" s="45"/>
      <c r="E381" s="46">
        <f>SUM(E382:E383)</f>
        <v>107.1</v>
      </c>
      <c r="F381" s="46">
        <f>SUM(F382:F383)</f>
        <v>110</v>
      </c>
      <c r="G381" s="46">
        <f t="shared" ref="G381:H381" si="16">SUM(G382:G383)</f>
        <v>60</v>
      </c>
      <c r="H381" s="46">
        <f t="shared" si="16"/>
        <v>60</v>
      </c>
      <c r="I381" s="14" t="s">
        <v>704</v>
      </c>
      <c r="J381" s="45" t="s">
        <v>315</v>
      </c>
      <c r="K381" s="45" t="s">
        <v>591</v>
      </c>
      <c r="L381" s="45" t="s">
        <v>591</v>
      </c>
      <c r="M381" s="71" t="s">
        <v>591</v>
      </c>
    </row>
    <row r="382" spans="1:13" ht="51" x14ac:dyDescent="0.25">
      <c r="A382" s="151"/>
      <c r="B382" s="136"/>
      <c r="C382" s="136"/>
      <c r="D382" s="39" t="s">
        <v>28</v>
      </c>
      <c r="E382" s="53">
        <v>70</v>
      </c>
      <c r="F382" s="47">
        <v>110</v>
      </c>
      <c r="G382" s="47">
        <v>60</v>
      </c>
      <c r="H382" s="47">
        <v>60</v>
      </c>
      <c r="I382" s="17" t="s">
        <v>705</v>
      </c>
      <c r="J382" s="39" t="s">
        <v>315</v>
      </c>
      <c r="K382" s="39" t="s">
        <v>706</v>
      </c>
      <c r="L382" s="39" t="s">
        <v>122</v>
      </c>
      <c r="M382" s="72" t="s">
        <v>707</v>
      </c>
    </row>
    <row r="383" spans="1:13" ht="39" thickBot="1" x14ac:dyDescent="0.3">
      <c r="A383" s="152"/>
      <c r="B383" s="137"/>
      <c r="C383" s="137"/>
      <c r="D383" s="39" t="s">
        <v>190</v>
      </c>
      <c r="E383" s="39">
        <v>37.1</v>
      </c>
      <c r="F383" s="47"/>
      <c r="G383" s="47"/>
      <c r="H383" s="47"/>
      <c r="I383" s="17" t="s">
        <v>708</v>
      </c>
      <c r="J383" s="39" t="s">
        <v>21</v>
      </c>
      <c r="K383" s="39" t="s">
        <v>30</v>
      </c>
      <c r="L383" s="39" t="s">
        <v>30</v>
      </c>
      <c r="M383" s="72" t="s">
        <v>30</v>
      </c>
    </row>
    <row r="384" spans="1:13" ht="38.25" customHeight="1" x14ac:dyDescent="0.25">
      <c r="A384" s="150" t="s">
        <v>709</v>
      </c>
      <c r="B384" s="135" t="s">
        <v>710</v>
      </c>
      <c r="C384" s="135" t="s">
        <v>184</v>
      </c>
      <c r="D384" s="45"/>
      <c r="E384" s="46">
        <f>SUM(E385:E387)</f>
        <v>66.5</v>
      </c>
      <c r="F384" s="46">
        <f>SUM(F385:F387)</f>
        <v>132.89999999999998</v>
      </c>
      <c r="G384" s="46"/>
      <c r="H384" s="46"/>
      <c r="I384" s="135" t="s">
        <v>711</v>
      </c>
      <c r="J384" s="138" t="s">
        <v>315</v>
      </c>
      <c r="K384" s="138" t="s">
        <v>712</v>
      </c>
      <c r="L384" s="138"/>
      <c r="M384" s="141"/>
    </row>
    <row r="385" spans="1:13" x14ac:dyDescent="0.25">
      <c r="A385" s="151"/>
      <c r="B385" s="136"/>
      <c r="C385" s="136"/>
      <c r="D385" s="39" t="s">
        <v>190</v>
      </c>
      <c r="E385" s="39">
        <v>22.4</v>
      </c>
      <c r="F385" s="47">
        <v>30.8</v>
      </c>
      <c r="G385" s="47"/>
      <c r="H385" s="47"/>
      <c r="I385" s="136"/>
      <c r="J385" s="139"/>
      <c r="K385" s="139"/>
      <c r="L385" s="139"/>
      <c r="M385" s="142"/>
    </row>
    <row r="386" spans="1:13" x14ac:dyDescent="0.25">
      <c r="A386" s="151"/>
      <c r="B386" s="136"/>
      <c r="C386" s="136"/>
      <c r="D386" s="39" t="s">
        <v>28</v>
      </c>
      <c r="E386" s="53">
        <v>10</v>
      </c>
      <c r="F386" s="47">
        <v>13</v>
      </c>
      <c r="G386" s="47"/>
      <c r="H386" s="47"/>
      <c r="I386" s="136"/>
      <c r="J386" s="139"/>
      <c r="K386" s="139"/>
      <c r="L386" s="139"/>
      <c r="M386" s="142"/>
    </row>
    <row r="387" spans="1:13" ht="15.75" thickBot="1" x14ac:dyDescent="0.3">
      <c r="A387" s="152"/>
      <c r="B387" s="137"/>
      <c r="C387" s="137"/>
      <c r="D387" s="39" t="s">
        <v>216</v>
      </c>
      <c r="E387" s="39">
        <v>34.1</v>
      </c>
      <c r="F387" s="47">
        <v>89.1</v>
      </c>
      <c r="G387" s="47"/>
      <c r="H387" s="47"/>
      <c r="I387" s="137"/>
      <c r="J387" s="140"/>
      <c r="K387" s="140"/>
      <c r="L387" s="140"/>
      <c r="M387" s="143"/>
    </row>
    <row r="388" spans="1:13" ht="63.75" customHeight="1" x14ac:dyDescent="0.25">
      <c r="A388" s="150" t="s">
        <v>713</v>
      </c>
      <c r="B388" s="135" t="s">
        <v>714</v>
      </c>
      <c r="C388" s="135" t="s">
        <v>679</v>
      </c>
      <c r="D388" s="45" t="s">
        <v>28</v>
      </c>
      <c r="E388" s="54">
        <v>380</v>
      </c>
      <c r="F388" s="46">
        <f>SUM(F389:F397)+390</f>
        <v>390</v>
      </c>
      <c r="G388" s="46">
        <f>SUM(G389:G397)+410</f>
        <v>410</v>
      </c>
      <c r="H388" s="46">
        <f>SUM(H389:H397)+410</f>
        <v>410</v>
      </c>
      <c r="I388" s="14" t="s">
        <v>715</v>
      </c>
      <c r="J388" s="45" t="s">
        <v>315</v>
      </c>
      <c r="K388" s="45" t="s">
        <v>716</v>
      </c>
      <c r="L388" s="45" t="s">
        <v>716</v>
      </c>
      <c r="M388" s="71" t="s">
        <v>716</v>
      </c>
    </row>
    <row r="389" spans="1:13" x14ac:dyDescent="0.25">
      <c r="A389" s="151"/>
      <c r="B389" s="136"/>
      <c r="C389" s="136"/>
      <c r="D389" s="39"/>
      <c r="E389" s="39"/>
      <c r="F389" s="47"/>
      <c r="G389" s="47"/>
      <c r="H389" s="47"/>
      <c r="I389" s="17" t="s">
        <v>717</v>
      </c>
      <c r="J389" s="39" t="s">
        <v>315</v>
      </c>
      <c r="K389" s="39" t="s">
        <v>264</v>
      </c>
      <c r="L389" s="39" t="s">
        <v>264</v>
      </c>
      <c r="M389" s="72" t="s">
        <v>264</v>
      </c>
    </row>
    <row r="390" spans="1:13" ht="63.75" x14ac:dyDescent="0.25">
      <c r="A390" s="151"/>
      <c r="B390" s="136"/>
      <c r="C390" s="136"/>
      <c r="D390" s="39"/>
      <c r="E390" s="39"/>
      <c r="F390" s="47"/>
      <c r="G390" s="47"/>
      <c r="H390" s="47"/>
      <c r="I390" s="17" t="s">
        <v>718</v>
      </c>
      <c r="J390" s="39" t="s">
        <v>315</v>
      </c>
      <c r="K390" s="39" t="s">
        <v>37</v>
      </c>
      <c r="L390" s="39" t="s">
        <v>37</v>
      </c>
      <c r="M390" s="72" t="s">
        <v>37</v>
      </c>
    </row>
    <row r="391" spans="1:13" ht="63.75" x14ac:dyDescent="0.25">
      <c r="A391" s="151"/>
      <c r="B391" s="136"/>
      <c r="C391" s="136"/>
      <c r="D391" s="39"/>
      <c r="E391" s="39"/>
      <c r="F391" s="47"/>
      <c r="G391" s="47"/>
      <c r="H391" s="47"/>
      <c r="I391" s="17" t="s">
        <v>719</v>
      </c>
      <c r="J391" s="39" t="s">
        <v>315</v>
      </c>
      <c r="K391" s="39" t="s">
        <v>30</v>
      </c>
      <c r="L391" s="39" t="s">
        <v>30</v>
      </c>
      <c r="M391" s="72" t="s">
        <v>30</v>
      </c>
    </row>
    <row r="392" spans="1:13" ht="38.25" x14ac:dyDescent="0.25">
      <c r="A392" s="151"/>
      <c r="B392" s="136"/>
      <c r="C392" s="136"/>
      <c r="D392" s="39"/>
      <c r="E392" s="39"/>
      <c r="F392" s="47"/>
      <c r="G392" s="47"/>
      <c r="H392" s="47"/>
      <c r="I392" s="17" t="s">
        <v>720</v>
      </c>
      <c r="J392" s="39" t="s">
        <v>315</v>
      </c>
      <c r="K392" s="39" t="s">
        <v>70</v>
      </c>
      <c r="L392" s="39" t="s">
        <v>70</v>
      </c>
      <c r="M392" s="72" t="s">
        <v>70</v>
      </c>
    </row>
    <row r="393" spans="1:13" x14ac:dyDescent="0.25">
      <c r="A393" s="151"/>
      <c r="B393" s="136"/>
      <c r="C393" s="136"/>
      <c r="D393" s="39"/>
      <c r="E393" s="39"/>
      <c r="F393" s="47"/>
      <c r="G393" s="47"/>
      <c r="H393" s="47"/>
      <c r="I393" s="17" t="s">
        <v>721</v>
      </c>
      <c r="J393" s="39" t="s">
        <v>315</v>
      </c>
      <c r="K393" s="39" t="s">
        <v>123</v>
      </c>
      <c r="L393" s="39" t="s">
        <v>123</v>
      </c>
      <c r="M393" s="72" t="s">
        <v>123</v>
      </c>
    </row>
    <row r="394" spans="1:13" x14ac:dyDescent="0.25">
      <c r="A394" s="151"/>
      <c r="B394" s="136"/>
      <c r="C394" s="136"/>
      <c r="D394" s="39"/>
      <c r="E394" s="39"/>
      <c r="F394" s="47"/>
      <c r="G394" s="47"/>
      <c r="H394" s="47"/>
      <c r="I394" s="17" t="s">
        <v>722</v>
      </c>
      <c r="J394" s="39" t="s">
        <v>315</v>
      </c>
      <c r="K394" s="39" t="s">
        <v>56</v>
      </c>
      <c r="L394" s="39" t="s">
        <v>56</v>
      </c>
      <c r="M394" s="72" t="s">
        <v>56</v>
      </c>
    </row>
    <row r="395" spans="1:13" ht="38.25" x14ac:dyDescent="0.25">
      <c r="A395" s="151"/>
      <c r="B395" s="136"/>
      <c r="C395" s="136"/>
      <c r="D395" s="39"/>
      <c r="E395" s="39"/>
      <c r="F395" s="47"/>
      <c r="G395" s="47"/>
      <c r="H395" s="47"/>
      <c r="I395" s="17" t="s">
        <v>723</v>
      </c>
      <c r="J395" s="39" t="s">
        <v>21</v>
      </c>
      <c r="K395" s="39" t="s">
        <v>30</v>
      </c>
      <c r="L395" s="39" t="s">
        <v>30</v>
      </c>
      <c r="M395" s="72" t="s">
        <v>30</v>
      </c>
    </row>
    <row r="396" spans="1:13" ht="38.25" x14ac:dyDescent="0.25">
      <c r="A396" s="151"/>
      <c r="B396" s="136"/>
      <c r="C396" s="136"/>
      <c r="D396" s="39"/>
      <c r="E396" s="39"/>
      <c r="F396" s="47"/>
      <c r="G396" s="47"/>
      <c r="H396" s="47"/>
      <c r="I396" s="17" t="s">
        <v>724</v>
      </c>
      <c r="J396" s="39" t="s">
        <v>21</v>
      </c>
      <c r="K396" s="39" t="s">
        <v>30</v>
      </c>
      <c r="L396" s="39" t="s">
        <v>30</v>
      </c>
      <c r="M396" s="72" t="s">
        <v>30</v>
      </c>
    </row>
    <row r="397" spans="1:13" ht="26.25" thickBot="1" x14ac:dyDescent="0.3">
      <c r="A397" s="152"/>
      <c r="B397" s="137"/>
      <c r="C397" s="137"/>
      <c r="D397" s="39"/>
      <c r="E397" s="39"/>
      <c r="F397" s="47"/>
      <c r="G397" s="47"/>
      <c r="H397" s="47"/>
      <c r="I397" s="17" t="s">
        <v>725</v>
      </c>
      <c r="J397" s="39" t="s">
        <v>315</v>
      </c>
      <c r="K397" s="39" t="s">
        <v>30</v>
      </c>
      <c r="L397" s="39" t="s">
        <v>30</v>
      </c>
      <c r="M397" s="72" t="s">
        <v>30</v>
      </c>
    </row>
    <row r="398" spans="1:13" ht="26.25" thickBot="1" x14ac:dyDescent="0.3">
      <c r="A398" s="12" t="s">
        <v>726</v>
      </c>
      <c r="B398" s="13" t="s">
        <v>727</v>
      </c>
      <c r="C398" s="14" t="s">
        <v>679</v>
      </c>
      <c r="D398" s="45" t="s">
        <v>28</v>
      </c>
      <c r="E398" s="54">
        <v>20</v>
      </c>
      <c r="F398" s="55">
        <v>20</v>
      </c>
      <c r="G398" s="55">
        <v>30</v>
      </c>
      <c r="H398" s="55">
        <v>30</v>
      </c>
      <c r="I398" s="14" t="s">
        <v>728</v>
      </c>
      <c r="J398" s="45" t="s">
        <v>315</v>
      </c>
      <c r="K398" s="45" t="s">
        <v>691</v>
      </c>
      <c r="L398" s="45" t="s">
        <v>691</v>
      </c>
      <c r="M398" s="71" t="s">
        <v>691</v>
      </c>
    </row>
    <row r="399" spans="1:13" ht="26.25" thickBot="1" x14ac:dyDescent="0.3">
      <c r="A399" s="9" t="s">
        <v>729</v>
      </c>
      <c r="B399" s="10" t="s">
        <v>730</v>
      </c>
      <c r="C399" s="11"/>
      <c r="D399" s="60"/>
      <c r="E399" s="44">
        <f>E400+E410+E412+E413+E417+E420+E428+E431+E432+E440+E441+E442+E443+E444</f>
        <v>70621.5</v>
      </c>
      <c r="F399" s="44">
        <f>F400+F410+F412+F413+F417+F420+F428+F431+F432+F440+F441+F442+F443+F444+0.1</f>
        <v>75581.700000000012</v>
      </c>
      <c r="G399" s="44">
        <f>G400+G410+G412+G413+G417+G420+G428+G431+G432+G440+G441+G442+G443+G444</f>
        <v>75236.600000000006</v>
      </c>
      <c r="H399" s="44">
        <f>H400+H410+H412+H413+H417+H420+H428+H431+H432+H440+H441+H442+H443+H444</f>
        <v>76694.5</v>
      </c>
      <c r="I399" s="178"/>
      <c r="J399" s="179"/>
      <c r="K399" s="179"/>
      <c r="L399" s="179"/>
      <c r="M399" s="180"/>
    </row>
    <row r="400" spans="1:13" ht="25.5" customHeight="1" x14ac:dyDescent="0.25">
      <c r="A400" s="150" t="s">
        <v>731</v>
      </c>
      <c r="B400" s="135" t="s">
        <v>732</v>
      </c>
      <c r="C400" s="135" t="s">
        <v>679</v>
      </c>
      <c r="D400" s="45"/>
      <c r="E400" s="46">
        <f>SUM(E401:E409)</f>
        <v>43843.5</v>
      </c>
      <c r="F400" s="46">
        <f>SUM(F401:F409)</f>
        <v>46176.600000000006</v>
      </c>
      <c r="G400" s="46">
        <f>SUM(G401:G409)</f>
        <v>45944.200000000004</v>
      </c>
      <c r="H400" s="46">
        <f>SUM(H401:H409)</f>
        <v>46841.4</v>
      </c>
      <c r="I400" s="14" t="s">
        <v>733</v>
      </c>
      <c r="J400" s="45" t="s">
        <v>315</v>
      </c>
      <c r="K400" s="45" t="s">
        <v>701</v>
      </c>
      <c r="L400" s="45" t="s">
        <v>701</v>
      </c>
      <c r="M400" s="71" t="s">
        <v>701</v>
      </c>
    </row>
    <row r="401" spans="1:13" ht="25.5" x14ac:dyDescent="0.25">
      <c r="A401" s="151"/>
      <c r="B401" s="136"/>
      <c r="C401" s="136"/>
      <c r="D401" s="39" t="s">
        <v>152</v>
      </c>
      <c r="E401" s="39">
        <v>663.6</v>
      </c>
      <c r="F401" s="47">
        <v>490.3</v>
      </c>
      <c r="G401" s="47">
        <v>504</v>
      </c>
      <c r="H401" s="47">
        <v>502.6</v>
      </c>
      <c r="I401" s="17" t="s">
        <v>734</v>
      </c>
      <c r="J401" s="39" t="s">
        <v>315</v>
      </c>
      <c r="K401" s="39" t="s">
        <v>684</v>
      </c>
      <c r="L401" s="39" t="s">
        <v>684</v>
      </c>
      <c r="M401" s="72" t="s">
        <v>684</v>
      </c>
    </row>
    <row r="402" spans="1:13" x14ac:dyDescent="0.25">
      <c r="A402" s="151"/>
      <c r="B402" s="136"/>
      <c r="C402" s="136"/>
      <c r="D402" s="39" t="s">
        <v>735</v>
      </c>
      <c r="E402" s="39">
        <v>26723.4</v>
      </c>
      <c r="F402" s="47">
        <v>28147.200000000001</v>
      </c>
      <c r="G402" s="47">
        <v>28653.9</v>
      </c>
      <c r="H402" s="47">
        <v>29284.2</v>
      </c>
      <c r="I402" s="17" t="s">
        <v>736</v>
      </c>
      <c r="J402" s="39" t="s">
        <v>21</v>
      </c>
      <c r="K402" s="39" t="s">
        <v>30</v>
      </c>
      <c r="L402" s="39" t="s">
        <v>30</v>
      </c>
      <c r="M402" s="72" t="s">
        <v>30</v>
      </c>
    </row>
    <row r="403" spans="1:13" ht="38.25" x14ac:dyDescent="0.25">
      <c r="A403" s="151"/>
      <c r="B403" s="136"/>
      <c r="C403" s="136"/>
      <c r="D403" s="39" t="s">
        <v>28</v>
      </c>
      <c r="E403" s="39">
        <v>9252.2999999999993</v>
      </c>
      <c r="F403" s="47">
        <v>9555.6</v>
      </c>
      <c r="G403" s="47">
        <v>9723.5</v>
      </c>
      <c r="H403" s="47">
        <v>9937.4</v>
      </c>
      <c r="I403" s="17" t="s">
        <v>737</v>
      </c>
      <c r="J403" s="39" t="s">
        <v>315</v>
      </c>
      <c r="K403" s="39" t="s">
        <v>738</v>
      </c>
      <c r="L403" s="39" t="s">
        <v>739</v>
      </c>
      <c r="M403" s="72" t="s">
        <v>738</v>
      </c>
    </row>
    <row r="404" spans="1:13" ht="51" x14ac:dyDescent="0.25">
      <c r="A404" s="151"/>
      <c r="B404" s="136"/>
      <c r="C404" s="136"/>
      <c r="D404" s="39" t="s">
        <v>157</v>
      </c>
      <c r="E404" s="39">
        <v>150.4</v>
      </c>
      <c r="F404" s="47">
        <v>778</v>
      </c>
      <c r="G404" s="47"/>
      <c r="H404" s="47"/>
      <c r="I404" s="17" t="s">
        <v>740</v>
      </c>
      <c r="J404" s="39" t="s">
        <v>315</v>
      </c>
      <c r="K404" s="39" t="s">
        <v>472</v>
      </c>
      <c r="L404" s="39" t="s">
        <v>741</v>
      </c>
      <c r="M404" s="72" t="s">
        <v>741</v>
      </c>
    </row>
    <row r="405" spans="1:13" ht="25.5" x14ac:dyDescent="0.25">
      <c r="A405" s="151"/>
      <c r="B405" s="136"/>
      <c r="C405" s="136"/>
      <c r="D405" s="39" t="s">
        <v>162</v>
      </c>
      <c r="E405" s="39">
        <v>926.2</v>
      </c>
      <c r="F405" s="47">
        <v>713.8</v>
      </c>
      <c r="G405" s="47">
        <v>463.9</v>
      </c>
      <c r="H405" s="47">
        <v>392.1</v>
      </c>
      <c r="I405" s="17" t="s">
        <v>742</v>
      </c>
      <c r="J405" s="39" t="s">
        <v>21</v>
      </c>
      <c r="K405" s="39" t="s">
        <v>30</v>
      </c>
      <c r="L405" s="39" t="s">
        <v>30</v>
      </c>
      <c r="M405" s="72" t="s">
        <v>30</v>
      </c>
    </row>
    <row r="406" spans="1:13" ht="25.5" x14ac:dyDescent="0.25">
      <c r="A406" s="151"/>
      <c r="B406" s="136"/>
      <c r="C406" s="136"/>
      <c r="D406" s="39" t="s">
        <v>139</v>
      </c>
      <c r="E406" s="39">
        <v>1139.5999999999999</v>
      </c>
      <c r="F406" s="47">
        <v>1209.3</v>
      </c>
      <c r="G406" s="47">
        <v>1221.5</v>
      </c>
      <c r="H406" s="47">
        <v>1229.3</v>
      </c>
      <c r="I406" s="17" t="s">
        <v>743</v>
      </c>
      <c r="J406" s="39" t="s">
        <v>315</v>
      </c>
      <c r="K406" s="39" t="s">
        <v>744</v>
      </c>
      <c r="L406" s="39" t="s">
        <v>744</v>
      </c>
      <c r="M406" s="72" t="s">
        <v>744</v>
      </c>
    </row>
    <row r="407" spans="1:13" ht="25.5" x14ac:dyDescent="0.25">
      <c r="A407" s="151"/>
      <c r="B407" s="136"/>
      <c r="C407" s="136"/>
      <c r="D407" s="39" t="s">
        <v>148</v>
      </c>
      <c r="E407" s="39">
        <v>4764.5</v>
      </c>
      <c r="F407" s="47">
        <v>5282.4</v>
      </c>
      <c r="G407" s="47">
        <v>5377.4</v>
      </c>
      <c r="H407" s="47">
        <v>5495.8</v>
      </c>
      <c r="I407" s="17" t="s">
        <v>745</v>
      </c>
      <c r="J407" s="39" t="s">
        <v>276</v>
      </c>
      <c r="K407" s="39" t="s">
        <v>746</v>
      </c>
      <c r="L407" s="39" t="s">
        <v>746</v>
      </c>
      <c r="M407" s="72" t="s">
        <v>746</v>
      </c>
    </row>
    <row r="408" spans="1:13" ht="51" x14ac:dyDescent="0.25">
      <c r="A408" s="151"/>
      <c r="B408" s="136"/>
      <c r="C408" s="136"/>
      <c r="D408" s="39" t="s">
        <v>190</v>
      </c>
      <c r="E408" s="39">
        <v>223.5</v>
      </c>
      <c r="F408" s="47"/>
      <c r="G408" s="47"/>
      <c r="H408" s="47"/>
      <c r="I408" s="17" t="s">
        <v>747</v>
      </c>
      <c r="J408" s="39" t="s">
        <v>315</v>
      </c>
      <c r="K408" s="39" t="s">
        <v>748</v>
      </c>
      <c r="L408" s="39" t="s">
        <v>748</v>
      </c>
      <c r="M408" s="72" t="s">
        <v>748</v>
      </c>
    </row>
    <row r="409" spans="1:13" ht="39" thickBot="1" x14ac:dyDescent="0.3">
      <c r="A409" s="152"/>
      <c r="B409" s="137"/>
      <c r="C409" s="137"/>
      <c r="D409" s="39"/>
      <c r="E409" s="39"/>
      <c r="F409" s="47"/>
      <c r="G409" s="47"/>
      <c r="H409" s="47"/>
      <c r="I409" s="17" t="s">
        <v>749</v>
      </c>
      <c r="J409" s="39" t="s">
        <v>94</v>
      </c>
      <c r="K409" s="39" t="s">
        <v>70</v>
      </c>
      <c r="L409" s="39" t="s">
        <v>70</v>
      </c>
      <c r="M409" s="72" t="s">
        <v>70</v>
      </c>
    </row>
    <row r="410" spans="1:13" ht="51" x14ac:dyDescent="0.25">
      <c r="A410" s="150" t="s">
        <v>750</v>
      </c>
      <c r="B410" s="135" t="s">
        <v>751</v>
      </c>
      <c r="C410" s="135" t="s">
        <v>679</v>
      </c>
      <c r="D410" s="45" t="s">
        <v>735</v>
      </c>
      <c r="E410" s="45">
        <v>700.5</v>
      </c>
      <c r="F410" s="46">
        <f>SUM(F411:F411)+707.2</f>
        <v>707.2</v>
      </c>
      <c r="G410" s="46">
        <f>SUM(G411:G411)+719.9</f>
        <v>719.9</v>
      </c>
      <c r="H410" s="46">
        <f>SUM(H411:H411)+735.7</f>
        <v>735.7</v>
      </c>
      <c r="I410" s="14" t="s">
        <v>752</v>
      </c>
      <c r="J410" s="45" t="s">
        <v>315</v>
      </c>
      <c r="K410" s="45" t="s">
        <v>305</v>
      </c>
      <c r="L410" s="45" t="s">
        <v>305</v>
      </c>
      <c r="M410" s="71" t="s">
        <v>305</v>
      </c>
    </row>
    <row r="411" spans="1:13" ht="26.25" thickBot="1" x14ac:dyDescent="0.3">
      <c r="A411" s="152"/>
      <c r="B411" s="137"/>
      <c r="C411" s="137"/>
      <c r="D411" s="39"/>
      <c r="E411" s="39"/>
      <c r="F411" s="47"/>
      <c r="G411" s="47"/>
      <c r="H411" s="47"/>
      <c r="I411" s="17" t="s">
        <v>753</v>
      </c>
      <c r="J411" s="39" t="s">
        <v>315</v>
      </c>
      <c r="K411" s="39" t="s">
        <v>701</v>
      </c>
      <c r="L411" s="39" t="s">
        <v>701</v>
      </c>
      <c r="M411" s="72" t="s">
        <v>701</v>
      </c>
    </row>
    <row r="412" spans="1:13" ht="39" thickBot="1" x14ac:dyDescent="0.3">
      <c r="A412" s="12" t="s">
        <v>754</v>
      </c>
      <c r="B412" s="13" t="s">
        <v>755</v>
      </c>
      <c r="C412" s="14" t="s">
        <v>679</v>
      </c>
      <c r="D412" s="45" t="s">
        <v>28</v>
      </c>
      <c r="E412" s="54">
        <v>70</v>
      </c>
      <c r="F412" s="55">
        <v>80</v>
      </c>
      <c r="G412" s="55">
        <v>80</v>
      </c>
      <c r="H412" s="55">
        <v>80</v>
      </c>
      <c r="I412" s="14" t="s">
        <v>756</v>
      </c>
      <c r="J412" s="45" t="s">
        <v>315</v>
      </c>
      <c r="K412" s="45" t="s">
        <v>757</v>
      </c>
      <c r="L412" s="45" t="s">
        <v>758</v>
      </c>
      <c r="M412" s="71" t="s">
        <v>758</v>
      </c>
    </row>
    <row r="413" spans="1:13" ht="43.5" customHeight="1" x14ac:dyDescent="0.25">
      <c r="A413" s="150" t="s">
        <v>759</v>
      </c>
      <c r="B413" s="135" t="s">
        <v>760</v>
      </c>
      <c r="C413" s="135" t="s">
        <v>679</v>
      </c>
      <c r="D413" s="45"/>
      <c r="E413" s="46">
        <f>SUM(E414:E416)</f>
        <v>634</v>
      </c>
      <c r="F413" s="46">
        <f>SUM(F414:F416)</f>
        <v>672.2</v>
      </c>
      <c r="G413" s="46">
        <f>SUM(G414:G416)</f>
        <v>683.1</v>
      </c>
      <c r="H413" s="46">
        <f>SUM(H414:H416)</f>
        <v>696.9</v>
      </c>
      <c r="I413" s="14" t="s">
        <v>761</v>
      </c>
      <c r="J413" s="45" t="s">
        <v>315</v>
      </c>
      <c r="K413" s="45" t="s">
        <v>56</v>
      </c>
      <c r="L413" s="45" t="s">
        <v>56</v>
      </c>
      <c r="M413" s="71" t="s">
        <v>56</v>
      </c>
    </row>
    <row r="414" spans="1:13" x14ac:dyDescent="0.25">
      <c r="A414" s="151"/>
      <c r="B414" s="136"/>
      <c r="C414" s="136"/>
      <c r="D414" s="39" t="s">
        <v>735</v>
      </c>
      <c r="E414" s="39">
        <v>578.4</v>
      </c>
      <c r="F414" s="47">
        <v>616.20000000000005</v>
      </c>
      <c r="G414" s="47">
        <v>627.1</v>
      </c>
      <c r="H414" s="47">
        <v>640.9</v>
      </c>
      <c r="I414" s="144" t="s">
        <v>762</v>
      </c>
      <c r="J414" s="146" t="s">
        <v>315</v>
      </c>
      <c r="K414" s="146" t="s">
        <v>30</v>
      </c>
      <c r="L414" s="146" t="s">
        <v>30</v>
      </c>
      <c r="M414" s="148" t="s">
        <v>30</v>
      </c>
    </row>
    <row r="415" spans="1:13" x14ac:dyDescent="0.25">
      <c r="A415" s="151"/>
      <c r="B415" s="136"/>
      <c r="C415" s="136"/>
      <c r="D415" s="39" t="s">
        <v>148</v>
      </c>
      <c r="E415" s="39">
        <v>6.1</v>
      </c>
      <c r="F415" s="47"/>
      <c r="G415" s="47"/>
      <c r="H415" s="47"/>
      <c r="I415" s="136"/>
      <c r="J415" s="139"/>
      <c r="K415" s="139"/>
      <c r="L415" s="139"/>
      <c r="M415" s="142"/>
    </row>
    <row r="416" spans="1:13" ht="15.75" thickBot="1" x14ac:dyDescent="0.3">
      <c r="A416" s="152"/>
      <c r="B416" s="137"/>
      <c r="C416" s="137"/>
      <c r="D416" s="39" t="s">
        <v>28</v>
      </c>
      <c r="E416" s="39">
        <v>49.5</v>
      </c>
      <c r="F416" s="47">
        <v>56</v>
      </c>
      <c r="G416" s="47">
        <v>56</v>
      </c>
      <c r="H416" s="47">
        <v>56</v>
      </c>
      <c r="I416" s="137"/>
      <c r="J416" s="140"/>
      <c r="K416" s="140"/>
      <c r="L416" s="140"/>
      <c r="M416" s="143"/>
    </row>
    <row r="417" spans="1:13" ht="25.5" customHeight="1" x14ac:dyDescent="0.25">
      <c r="A417" s="150" t="s">
        <v>763</v>
      </c>
      <c r="B417" s="135" t="s">
        <v>764</v>
      </c>
      <c r="C417" s="135" t="s">
        <v>679</v>
      </c>
      <c r="D417" s="45"/>
      <c r="E417" s="46">
        <f>SUM(E418:E419)</f>
        <v>377.1</v>
      </c>
      <c r="F417" s="46">
        <f>SUM(F418:F419)</f>
        <v>332</v>
      </c>
      <c r="G417" s="46"/>
      <c r="H417" s="46"/>
      <c r="I417" s="135" t="s">
        <v>765</v>
      </c>
      <c r="J417" s="138" t="s">
        <v>315</v>
      </c>
      <c r="K417" s="138" t="s">
        <v>37</v>
      </c>
      <c r="L417" s="138"/>
      <c r="M417" s="141"/>
    </row>
    <row r="418" spans="1:13" x14ac:dyDescent="0.25">
      <c r="A418" s="151"/>
      <c r="B418" s="136"/>
      <c r="C418" s="136"/>
      <c r="D418" s="39" t="s">
        <v>216</v>
      </c>
      <c r="E418" s="39">
        <v>320.5</v>
      </c>
      <c r="F418" s="47">
        <v>282.2</v>
      </c>
      <c r="G418" s="47"/>
      <c r="H418" s="47"/>
      <c r="I418" s="136"/>
      <c r="J418" s="139"/>
      <c r="K418" s="139"/>
      <c r="L418" s="139"/>
      <c r="M418" s="142"/>
    </row>
    <row r="419" spans="1:13" ht="15.75" thickBot="1" x14ac:dyDescent="0.3">
      <c r="A419" s="152"/>
      <c r="B419" s="137"/>
      <c r="C419" s="137"/>
      <c r="D419" s="39" t="s">
        <v>28</v>
      </c>
      <c r="E419" s="39">
        <v>56.6</v>
      </c>
      <c r="F419" s="47">
        <v>49.8</v>
      </c>
      <c r="G419" s="47"/>
      <c r="H419" s="47"/>
      <c r="I419" s="137"/>
      <c r="J419" s="140"/>
      <c r="K419" s="140"/>
      <c r="L419" s="140"/>
      <c r="M419" s="143"/>
    </row>
    <row r="420" spans="1:13" ht="25.5" x14ac:dyDescent="0.25">
      <c r="A420" s="150" t="s">
        <v>766</v>
      </c>
      <c r="B420" s="135" t="s">
        <v>767</v>
      </c>
      <c r="C420" s="135" t="s">
        <v>768</v>
      </c>
      <c r="D420" s="45"/>
      <c r="E420" s="46">
        <f>SUM(E421:E427)</f>
        <v>4368.4000000000005</v>
      </c>
      <c r="F420" s="46">
        <f>SUM(F421:F427)</f>
        <v>4666.1000000000004</v>
      </c>
      <c r="G420" s="46">
        <f>SUM(G421:G427)</f>
        <v>4658.7</v>
      </c>
      <c r="H420" s="46">
        <f>SUM(H421:H427)</f>
        <v>4757.2</v>
      </c>
      <c r="I420" s="14" t="s">
        <v>769</v>
      </c>
      <c r="J420" s="45" t="s">
        <v>315</v>
      </c>
      <c r="K420" s="45" t="s">
        <v>70</v>
      </c>
      <c r="L420" s="45" t="s">
        <v>70</v>
      </c>
      <c r="M420" s="71" t="s">
        <v>70</v>
      </c>
    </row>
    <row r="421" spans="1:13" ht="25.5" x14ac:dyDescent="0.25">
      <c r="A421" s="151"/>
      <c r="B421" s="136"/>
      <c r="C421" s="136"/>
      <c r="D421" s="39" t="s">
        <v>152</v>
      </c>
      <c r="E421" s="39">
        <v>113.3</v>
      </c>
      <c r="F421" s="47">
        <v>70</v>
      </c>
      <c r="G421" s="47">
        <v>72.2</v>
      </c>
      <c r="H421" s="47">
        <v>73.3</v>
      </c>
      <c r="I421" s="17" t="s">
        <v>770</v>
      </c>
      <c r="J421" s="39" t="s">
        <v>315</v>
      </c>
      <c r="K421" s="39" t="s">
        <v>771</v>
      </c>
      <c r="L421" s="39" t="s">
        <v>771</v>
      </c>
      <c r="M421" s="72" t="s">
        <v>771</v>
      </c>
    </row>
    <row r="422" spans="1:13" ht="25.5" x14ac:dyDescent="0.25">
      <c r="A422" s="151"/>
      <c r="B422" s="136"/>
      <c r="C422" s="136"/>
      <c r="D422" s="39" t="s">
        <v>157</v>
      </c>
      <c r="E422" s="53">
        <v>7</v>
      </c>
      <c r="F422" s="47">
        <v>22.7</v>
      </c>
      <c r="G422" s="47">
        <v>22.7</v>
      </c>
      <c r="H422" s="47">
        <v>22.7</v>
      </c>
      <c r="I422" s="17" t="s">
        <v>772</v>
      </c>
      <c r="J422" s="39" t="s">
        <v>315</v>
      </c>
      <c r="K422" s="39" t="s">
        <v>706</v>
      </c>
      <c r="L422" s="39" t="s">
        <v>122</v>
      </c>
      <c r="M422" s="72" t="s">
        <v>707</v>
      </c>
    </row>
    <row r="423" spans="1:13" ht="51" x14ac:dyDescent="0.25">
      <c r="A423" s="151"/>
      <c r="B423" s="136"/>
      <c r="C423" s="136"/>
      <c r="D423" s="39" t="s">
        <v>139</v>
      </c>
      <c r="E423" s="53">
        <v>316</v>
      </c>
      <c r="F423" s="47">
        <v>334.9</v>
      </c>
      <c r="G423" s="47">
        <v>333.8</v>
      </c>
      <c r="H423" s="47">
        <v>338.9</v>
      </c>
      <c r="I423" s="17" t="s">
        <v>773</v>
      </c>
      <c r="J423" s="39" t="s">
        <v>315</v>
      </c>
      <c r="K423" s="39" t="s">
        <v>774</v>
      </c>
      <c r="L423" s="39" t="s">
        <v>774</v>
      </c>
      <c r="M423" s="72" t="s">
        <v>774</v>
      </c>
    </row>
    <row r="424" spans="1:13" ht="25.5" x14ac:dyDescent="0.25">
      <c r="A424" s="151"/>
      <c r="B424" s="136"/>
      <c r="C424" s="136"/>
      <c r="D424" s="39" t="s">
        <v>735</v>
      </c>
      <c r="E424" s="39">
        <v>266.10000000000002</v>
      </c>
      <c r="F424" s="47">
        <v>269.2</v>
      </c>
      <c r="G424" s="47">
        <v>274</v>
      </c>
      <c r="H424" s="47">
        <v>280</v>
      </c>
      <c r="I424" s="17" t="s">
        <v>775</v>
      </c>
      <c r="J424" s="39" t="s">
        <v>315</v>
      </c>
      <c r="K424" s="39" t="s">
        <v>776</v>
      </c>
      <c r="L424" s="39" t="s">
        <v>569</v>
      </c>
      <c r="M424" s="72" t="s">
        <v>569</v>
      </c>
    </row>
    <row r="425" spans="1:13" ht="25.5" x14ac:dyDescent="0.25">
      <c r="A425" s="151"/>
      <c r="B425" s="136"/>
      <c r="C425" s="136"/>
      <c r="D425" s="39" t="s">
        <v>162</v>
      </c>
      <c r="E425" s="39">
        <v>30.5</v>
      </c>
      <c r="F425" s="47">
        <v>104.8</v>
      </c>
      <c r="G425" s="47">
        <v>31</v>
      </c>
      <c r="H425" s="47">
        <v>31</v>
      </c>
      <c r="I425" s="17" t="s">
        <v>777</v>
      </c>
      <c r="J425" s="39" t="s">
        <v>315</v>
      </c>
      <c r="K425" s="39" t="s">
        <v>778</v>
      </c>
      <c r="L425" s="39" t="s">
        <v>779</v>
      </c>
      <c r="M425" s="72" t="s">
        <v>779</v>
      </c>
    </row>
    <row r="426" spans="1:13" x14ac:dyDescent="0.25">
      <c r="A426" s="151"/>
      <c r="B426" s="136"/>
      <c r="C426" s="136"/>
      <c r="D426" s="39" t="s">
        <v>190</v>
      </c>
      <c r="E426" s="39">
        <v>40.700000000000003</v>
      </c>
      <c r="F426" s="47"/>
      <c r="G426" s="47"/>
      <c r="H426" s="47"/>
      <c r="I426" s="17"/>
      <c r="J426" s="39"/>
      <c r="K426" s="39"/>
      <c r="L426" s="39"/>
      <c r="M426" s="72"/>
    </row>
    <row r="427" spans="1:13" ht="39" thickBot="1" x14ac:dyDescent="0.3">
      <c r="A427" s="152"/>
      <c r="B427" s="137"/>
      <c r="C427" s="137"/>
      <c r="D427" s="39" t="s">
        <v>28</v>
      </c>
      <c r="E427" s="39">
        <v>3594.8</v>
      </c>
      <c r="F427" s="47">
        <v>3864.5</v>
      </c>
      <c r="G427" s="47">
        <v>3925</v>
      </c>
      <c r="H427" s="47">
        <v>4011.3</v>
      </c>
      <c r="I427" s="17" t="s">
        <v>780</v>
      </c>
      <c r="J427" s="39" t="s">
        <v>315</v>
      </c>
      <c r="K427" s="39" t="s">
        <v>189</v>
      </c>
      <c r="L427" s="39" t="s">
        <v>189</v>
      </c>
      <c r="M427" s="72" t="s">
        <v>189</v>
      </c>
    </row>
    <row r="428" spans="1:13" ht="51" customHeight="1" x14ac:dyDescent="0.25">
      <c r="A428" s="150" t="s">
        <v>781</v>
      </c>
      <c r="B428" s="135" t="s">
        <v>782</v>
      </c>
      <c r="C428" s="135" t="s">
        <v>679</v>
      </c>
      <c r="D428" s="45"/>
      <c r="E428" s="46">
        <f>SUM(E429:E430)</f>
        <v>264.2</v>
      </c>
      <c r="F428" s="46">
        <f t="shared" ref="F428:H428" si="17">SUM(F429:F430)</f>
        <v>700</v>
      </c>
      <c r="G428" s="46">
        <f t="shared" si="17"/>
        <v>700</v>
      </c>
      <c r="H428" s="46">
        <f t="shared" si="17"/>
        <v>700</v>
      </c>
      <c r="I428" s="135" t="s">
        <v>773</v>
      </c>
      <c r="J428" s="138" t="s">
        <v>315</v>
      </c>
      <c r="K428" s="138" t="s">
        <v>774</v>
      </c>
      <c r="L428" s="138" t="s">
        <v>774</v>
      </c>
      <c r="M428" s="141" t="s">
        <v>774</v>
      </c>
    </row>
    <row r="429" spans="1:13" x14ac:dyDescent="0.25">
      <c r="A429" s="151"/>
      <c r="B429" s="136"/>
      <c r="C429" s="136"/>
      <c r="D429" s="90" t="s">
        <v>190</v>
      </c>
      <c r="E429" s="49">
        <v>29.2</v>
      </c>
      <c r="F429" s="49"/>
      <c r="G429" s="49"/>
      <c r="H429" s="49"/>
      <c r="I429" s="136"/>
      <c r="J429" s="139"/>
      <c r="K429" s="139"/>
      <c r="L429" s="139"/>
      <c r="M429" s="142"/>
    </row>
    <row r="430" spans="1:13" ht="15.75" thickBot="1" x14ac:dyDescent="0.3">
      <c r="A430" s="152"/>
      <c r="B430" s="137"/>
      <c r="C430" s="137"/>
      <c r="D430" s="39" t="s">
        <v>148</v>
      </c>
      <c r="E430" s="53">
        <v>235</v>
      </c>
      <c r="F430" s="47">
        <v>700</v>
      </c>
      <c r="G430" s="47">
        <v>700</v>
      </c>
      <c r="H430" s="47">
        <v>700</v>
      </c>
      <c r="I430" s="137"/>
      <c r="J430" s="140"/>
      <c r="K430" s="140"/>
      <c r="L430" s="140"/>
      <c r="M430" s="143"/>
    </row>
    <row r="431" spans="1:13" ht="30" customHeight="1" thickBot="1" x14ac:dyDescent="0.3">
      <c r="A431" s="12" t="s">
        <v>783</v>
      </c>
      <c r="B431" s="13" t="s">
        <v>784</v>
      </c>
      <c r="C431" s="14" t="s">
        <v>679</v>
      </c>
      <c r="D431" s="45" t="s">
        <v>28</v>
      </c>
      <c r="E431" s="45">
        <v>28.3</v>
      </c>
      <c r="F431" s="55">
        <v>28.3</v>
      </c>
      <c r="G431" s="55">
        <v>28.3</v>
      </c>
      <c r="H431" s="55">
        <v>28.3</v>
      </c>
      <c r="I431" s="14" t="s">
        <v>780</v>
      </c>
      <c r="J431" s="45" t="s">
        <v>315</v>
      </c>
      <c r="K431" s="45" t="s">
        <v>189</v>
      </c>
      <c r="L431" s="45" t="s">
        <v>189</v>
      </c>
      <c r="M431" s="71" t="s">
        <v>189</v>
      </c>
    </row>
    <row r="432" spans="1:13" ht="25.5" customHeight="1" x14ac:dyDescent="0.25">
      <c r="A432" s="150" t="s">
        <v>785</v>
      </c>
      <c r="B432" s="135" t="s">
        <v>786</v>
      </c>
      <c r="C432" s="135" t="s">
        <v>679</v>
      </c>
      <c r="D432" s="45"/>
      <c r="E432" s="46">
        <f>SUM(E433:E439)</f>
        <v>19119.3</v>
      </c>
      <c r="F432" s="46">
        <f>SUM(F433:F439)</f>
        <v>20745.2</v>
      </c>
      <c r="G432" s="46">
        <f>SUM(G433:G439)</f>
        <v>20922</v>
      </c>
      <c r="H432" s="46">
        <f>SUM(H433:H439)</f>
        <v>21330.999999999996</v>
      </c>
      <c r="I432" s="14" t="s">
        <v>787</v>
      </c>
      <c r="J432" s="45" t="s">
        <v>315</v>
      </c>
      <c r="K432" s="45" t="s">
        <v>151</v>
      </c>
      <c r="L432" s="45" t="s">
        <v>151</v>
      </c>
      <c r="M432" s="71" t="s">
        <v>151</v>
      </c>
    </row>
    <row r="433" spans="1:13" ht="25.5" customHeight="1" x14ac:dyDescent="0.25">
      <c r="A433" s="151"/>
      <c r="B433" s="136"/>
      <c r="C433" s="136"/>
      <c r="D433" s="39" t="s">
        <v>735</v>
      </c>
      <c r="E433" s="39">
        <v>8259.5</v>
      </c>
      <c r="F433" s="47">
        <v>8551.4</v>
      </c>
      <c r="G433" s="47">
        <v>8705.1</v>
      </c>
      <c r="H433" s="47">
        <v>8896.4</v>
      </c>
      <c r="I433" s="144" t="s">
        <v>788</v>
      </c>
      <c r="J433" s="146" t="s">
        <v>315</v>
      </c>
      <c r="K433" s="146" t="s">
        <v>789</v>
      </c>
      <c r="L433" s="146" t="s">
        <v>789</v>
      </c>
      <c r="M433" s="148" t="s">
        <v>789</v>
      </c>
    </row>
    <row r="434" spans="1:13" x14ac:dyDescent="0.25">
      <c r="A434" s="151"/>
      <c r="B434" s="136"/>
      <c r="C434" s="136"/>
      <c r="D434" s="39" t="s">
        <v>152</v>
      </c>
      <c r="E434" s="39">
        <v>64.2</v>
      </c>
      <c r="F434" s="47">
        <v>55</v>
      </c>
      <c r="G434" s="47">
        <v>49.8</v>
      </c>
      <c r="H434" s="47">
        <v>50.9</v>
      </c>
      <c r="I434" s="136"/>
      <c r="J434" s="139"/>
      <c r="K434" s="139"/>
      <c r="L434" s="139"/>
      <c r="M434" s="142"/>
    </row>
    <row r="435" spans="1:13" x14ac:dyDescent="0.25">
      <c r="A435" s="151"/>
      <c r="B435" s="136"/>
      <c r="C435" s="136"/>
      <c r="D435" s="39" t="s">
        <v>157</v>
      </c>
      <c r="E435" s="39"/>
      <c r="F435" s="47">
        <v>55.9</v>
      </c>
      <c r="G435" s="47">
        <v>55.9</v>
      </c>
      <c r="H435" s="47">
        <v>55.9</v>
      </c>
      <c r="I435" s="136"/>
      <c r="J435" s="139"/>
      <c r="K435" s="139"/>
      <c r="L435" s="139"/>
      <c r="M435" s="142"/>
    </row>
    <row r="436" spans="1:13" x14ac:dyDescent="0.25">
      <c r="A436" s="151"/>
      <c r="B436" s="136"/>
      <c r="C436" s="136"/>
      <c r="D436" s="39" t="s">
        <v>28</v>
      </c>
      <c r="E436" s="39">
        <v>8412.4</v>
      </c>
      <c r="F436" s="47">
        <v>9780.1</v>
      </c>
      <c r="G436" s="47">
        <v>9902.7999999999993</v>
      </c>
      <c r="H436" s="47">
        <v>10120.9</v>
      </c>
      <c r="I436" s="136"/>
      <c r="J436" s="139"/>
      <c r="K436" s="139"/>
      <c r="L436" s="139"/>
      <c r="M436" s="142"/>
    </row>
    <row r="437" spans="1:13" x14ac:dyDescent="0.25">
      <c r="A437" s="151"/>
      <c r="B437" s="136"/>
      <c r="C437" s="136"/>
      <c r="D437" s="39" t="s">
        <v>190</v>
      </c>
      <c r="E437" s="39">
        <v>90.2</v>
      </c>
      <c r="F437" s="47"/>
      <c r="G437" s="47"/>
      <c r="H437" s="47"/>
      <c r="I437" s="136"/>
      <c r="J437" s="139"/>
      <c r="K437" s="139"/>
      <c r="L437" s="139"/>
      <c r="M437" s="142"/>
    </row>
    <row r="438" spans="1:13" x14ac:dyDescent="0.25">
      <c r="A438" s="151"/>
      <c r="B438" s="136"/>
      <c r="C438" s="136"/>
      <c r="D438" s="39" t="s">
        <v>162</v>
      </c>
      <c r="E438" s="53">
        <v>202</v>
      </c>
      <c r="F438" s="47">
        <v>119.5</v>
      </c>
      <c r="G438" s="47">
        <v>10.7</v>
      </c>
      <c r="H438" s="47">
        <v>7.1</v>
      </c>
      <c r="I438" s="136"/>
      <c r="J438" s="139"/>
      <c r="K438" s="139"/>
      <c r="L438" s="139"/>
      <c r="M438" s="142"/>
    </row>
    <row r="439" spans="1:13" ht="15.75" thickBot="1" x14ac:dyDescent="0.3">
      <c r="A439" s="152"/>
      <c r="B439" s="137"/>
      <c r="C439" s="137"/>
      <c r="D439" s="39" t="s">
        <v>139</v>
      </c>
      <c r="E439" s="53">
        <v>2091</v>
      </c>
      <c r="F439" s="47">
        <v>2183.3000000000002</v>
      </c>
      <c r="G439" s="47">
        <v>2197.6999999999998</v>
      </c>
      <c r="H439" s="47">
        <v>2199.8000000000002</v>
      </c>
      <c r="I439" s="137"/>
      <c r="J439" s="140"/>
      <c r="K439" s="140"/>
      <c r="L439" s="140"/>
      <c r="M439" s="143"/>
    </row>
    <row r="440" spans="1:13" ht="26.25" thickBot="1" x14ac:dyDescent="0.3">
      <c r="A440" s="12" t="s">
        <v>790</v>
      </c>
      <c r="B440" s="13" t="s">
        <v>791</v>
      </c>
      <c r="C440" s="14" t="s">
        <v>679</v>
      </c>
      <c r="D440" s="45" t="s">
        <v>28</v>
      </c>
      <c r="E440" s="54">
        <v>224</v>
      </c>
      <c r="F440" s="55">
        <v>224</v>
      </c>
      <c r="G440" s="55">
        <v>240</v>
      </c>
      <c r="H440" s="55">
        <v>240</v>
      </c>
      <c r="I440" s="14" t="s">
        <v>792</v>
      </c>
      <c r="J440" s="45" t="s">
        <v>315</v>
      </c>
      <c r="K440" s="45" t="s">
        <v>793</v>
      </c>
      <c r="L440" s="45" t="s">
        <v>793</v>
      </c>
      <c r="M440" s="71" t="s">
        <v>793</v>
      </c>
    </row>
    <row r="441" spans="1:13" ht="51" x14ac:dyDescent="0.25">
      <c r="A441" s="12" t="s">
        <v>794</v>
      </c>
      <c r="B441" s="13" t="s">
        <v>795</v>
      </c>
      <c r="C441" s="14" t="s">
        <v>679</v>
      </c>
      <c r="D441" s="45" t="s">
        <v>28</v>
      </c>
      <c r="E441" s="54">
        <v>236</v>
      </c>
      <c r="F441" s="55">
        <v>246</v>
      </c>
      <c r="G441" s="55">
        <v>246</v>
      </c>
      <c r="H441" s="55">
        <v>246</v>
      </c>
      <c r="I441" s="14" t="s">
        <v>796</v>
      </c>
      <c r="J441" s="45" t="s">
        <v>315</v>
      </c>
      <c r="K441" s="45" t="s">
        <v>797</v>
      </c>
      <c r="L441" s="45" t="s">
        <v>797</v>
      </c>
      <c r="M441" s="71" t="s">
        <v>797</v>
      </c>
    </row>
    <row r="442" spans="1:13" ht="38.25" x14ac:dyDescent="0.25">
      <c r="A442" s="12" t="s">
        <v>798</v>
      </c>
      <c r="B442" s="13" t="s">
        <v>799</v>
      </c>
      <c r="C442" s="14" t="s">
        <v>679</v>
      </c>
      <c r="D442" s="45" t="s">
        <v>735</v>
      </c>
      <c r="E442" s="45">
        <v>656.2</v>
      </c>
      <c r="F442" s="55">
        <v>604</v>
      </c>
      <c r="G442" s="55">
        <v>614.4</v>
      </c>
      <c r="H442" s="55">
        <v>628</v>
      </c>
      <c r="I442" s="14" t="s">
        <v>800</v>
      </c>
      <c r="J442" s="45" t="s">
        <v>315</v>
      </c>
      <c r="K442" s="45" t="s">
        <v>322</v>
      </c>
      <c r="L442" s="45" t="s">
        <v>322</v>
      </c>
      <c r="M442" s="71" t="s">
        <v>322</v>
      </c>
    </row>
    <row r="443" spans="1:13" ht="25.5" x14ac:dyDescent="0.25">
      <c r="A443" s="12" t="s">
        <v>801</v>
      </c>
      <c r="B443" s="13" t="s">
        <v>802</v>
      </c>
      <c r="C443" s="14" t="s">
        <v>679</v>
      </c>
      <c r="D443" s="45" t="s">
        <v>28</v>
      </c>
      <c r="E443" s="54">
        <v>100</v>
      </c>
      <c r="F443" s="55">
        <v>100</v>
      </c>
      <c r="G443" s="55">
        <v>100</v>
      </c>
      <c r="H443" s="55">
        <v>110</v>
      </c>
      <c r="I443" s="14" t="s">
        <v>803</v>
      </c>
      <c r="J443" s="45" t="s">
        <v>315</v>
      </c>
      <c r="K443" s="45" t="s">
        <v>804</v>
      </c>
      <c r="L443" s="45" t="s">
        <v>804</v>
      </c>
      <c r="M443" s="71" t="s">
        <v>804</v>
      </c>
    </row>
    <row r="444" spans="1:13" ht="51" x14ac:dyDescent="0.25">
      <c r="A444" s="12" t="s">
        <v>805</v>
      </c>
      <c r="B444" s="13" t="s">
        <v>806</v>
      </c>
      <c r="C444" s="14"/>
      <c r="D444" s="45" t="s">
        <v>28</v>
      </c>
      <c r="E444" s="45"/>
      <c r="F444" s="55">
        <v>300</v>
      </c>
      <c r="G444" s="55">
        <v>300</v>
      </c>
      <c r="H444" s="55">
        <v>300</v>
      </c>
      <c r="I444" s="14" t="s">
        <v>807</v>
      </c>
      <c r="J444" s="45" t="s">
        <v>94</v>
      </c>
      <c r="K444" s="45" t="s">
        <v>189</v>
      </c>
      <c r="L444" s="45" t="s">
        <v>189</v>
      </c>
      <c r="M444" s="71" t="s">
        <v>189</v>
      </c>
    </row>
    <row r="445" spans="1:13" ht="26.25" thickBot="1" x14ac:dyDescent="0.3">
      <c r="A445" s="6" t="s">
        <v>808</v>
      </c>
      <c r="B445" s="7" t="s">
        <v>809</v>
      </c>
      <c r="C445" s="8"/>
      <c r="D445" s="38"/>
      <c r="E445" s="43">
        <f>SUM(E446:E446)</f>
        <v>3087.1</v>
      </c>
      <c r="F445" s="43">
        <f>SUM(F446:F446)</f>
        <v>6136.1</v>
      </c>
      <c r="G445" s="43">
        <f>SUM(G446:G446)</f>
        <v>7839.7999999999993</v>
      </c>
      <c r="H445" s="43">
        <f>SUM(H446:H446)</f>
        <v>4208.8</v>
      </c>
      <c r="I445" s="8" t="s">
        <v>810</v>
      </c>
      <c r="J445" s="38" t="s">
        <v>315</v>
      </c>
      <c r="K445" s="38" t="s">
        <v>56</v>
      </c>
      <c r="L445" s="38" t="s">
        <v>56</v>
      </c>
      <c r="M445" s="74" t="s">
        <v>56</v>
      </c>
    </row>
    <row r="446" spans="1:13" ht="26.25" thickBot="1" x14ac:dyDescent="0.3">
      <c r="A446" s="9" t="s">
        <v>811</v>
      </c>
      <c r="B446" s="10" t="s">
        <v>812</v>
      </c>
      <c r="C446" s="11"/>
      <c r="D446" s="60"/>
      <c r="E446" s="44">
        <f>E447+E448+E449+E452+E453+E458+E461+E463+E468+E469+E473+E478+E481+E485+E489+E490</f>
        <v>3087.1</v>
      </c>
      <c r="F446" s="44">
        <f>F447+F448+F449+F452+F453+F458+F461+F463+F468+F469+F473+F478+F481+F485+F489+F490</f>
        <v>6136.1</v>
      </c>
      <c r="G446" s="44">
        <f>G447+G448+G449+G452+G453+G458+G461+G463+G468+G469+G473+G478+G481+G485+G489+G490</f>
        <v>7839.7999999999993</v>
      </c>
      <c r="H446" s="44">
        <f>H447+H448+H449+H452+H453+H458+H461+H463+H468+H469+H473+H478+H481+H485+H489+H490</f>
        <v>4208.8</v>
      </c>
      <c r="I446" s="178"/>
      <c r="J446" s="179"/>
      <c r="K446" s="179"/>
      <c r="L446" s="179"/>
      <c r="M446" s="180"/>
    </row>
    <row r="447" spans="1:13" ht="39" thickBot="1" x14ac:dyDescent="0.3">
      <c r="A447" s="12" t="s">
        <v>813</v>
      </c>
      <c r="B447" s="13" t="s">
        <v>814</v>
      </c>
      <c r="C447" s="14" t="s">
        <v>815</v>
      </c>
      <c r="D447" s="45" t="s">
        <v>28</v>
      </c>
      <c r="E447" s="45"/>
      <c r="F447" s="55"/>
      <c r="G447" s="55">
        <v>493</v>
      </c>
      <c r="H447" s="55"/>
      <c r="I447" s="14" t="s">
        <v>816</v>
      </c>
      <c r="J447" s="45" t="s">
        <v>94</v>
      </c>
      <c r="K447" s="45"/>
      <c r="L447" s="45" t="s">
        <v>189</v>
      </c>
      <c r="M447" s="71"/>
    </row>
    <row r="448" spans="1:13" ht="26.25" thickBot="1" x14ac:dyDescent="0.3">
      <c r="A448" s="12" t="s">
        <v>817</v>
      </c>
      <c r="B448" s="13" t="s">
        <v>818</v>
      </c>
      <c r="C448" s="14" t="s">
        <v>819</v>
      </c>
      <c r="D448" s="45" t="s">
        <v>28</v>
      </c>
      <c r="E448" s="45"/>
      <c r="F448" s="55"/>
      <c r="G448" s="55">
        <v>500</v>
      </c>
      <c r="H448" s="55">
        <v>737.3</v>
      </c>
      <c r="I448" s="14" t="s">
        <v>820</v>
      </c>
      <c r="J448" s="45" t="s">
        <v>94</v>
      </c>
      <c r="K448" s="45"/>
      <c r="L448" s="45" t="s">
        <v>122</v>
      </c>
      <c r="M448" s="71" t="s">
        <v>189</v>
      </c>
    </row>
    <row r="449" spans="1:13" ht="25.5" x14ac:dyDescent="0.25">
      <c r="A449" s="150" t="s">
        <v>821</v>
      </c>
      <c r="B449" s="135" t="s">
        <v>822</v>
      </c>
      <c r="C449" s="135" t="s">
        <v>819</v>
      </c>
      <c r="D449" s="45" t="s">
        <v>28</v>
      </c>
      <c r="E449" s="54">
        <v>81</v>
      </c>
      <c r="F449" s="46">
        <f>SUM(F450:F451)+805</f>
        <v>805</v>
      </c>
      <c r="G449" s="46">
        <f>SUM(G450:G451)+644.2</f>
        <v>644.20000000000005</v>
      </c>
      <c r="H449" s="46">
        <f>SUM(H450:H451)+644.2</f>
        <v>644.20000000000005</v>
      </c>
      <c r="I449" s="14" t="s">
        <v>823</v>
      </c>
      <c r="J449" s="45" t="s">
        <v>21</v>
      </c>
      <c r="K449" s="45" t="s">
        <v>123</v>
      </c>
      <c r="L449" s="45" t="s">
        <v>189</v>
      </c>
      <c r="M449" s="71"/>
    </row>
    <row r="450" spans="1:13" ht="38.25" x14ac:dyDescent="0.25">
      <c r="A450" s="151"/>
      <c r="B450" s="136"/>
      <c r="C450" s="136"/>
      <c r="D450" s="39"/>
      <c r="E450" s="39"/>
      <c r="F450" s="47"/>
      <c r="G450" s="47"/>
      <c r="H450" s="47"/>
      <c r="I450" s="17" t="s">
        <v>824</v>
      </c>
      <c r="J450" s="39" t="s">
        <v>94</v>
      </c>
      <c r="K450" s="39" t="s">
        <v>189</v>
      </c>
      <c r="L450" s="39"/>
      <c r="M450" s="72"/>
    </row>
    <row r="451" spans="1:13" ht="26.25" thickBot="1" x14ac:dyDescent="0.3">
      <c r="A451" s="152"/>
      <c r="B451" s="137"/>
      <c r="C451" s="137"/>
      <c r="D451" s="39"/>
      <c r="E451" s="39"/>
      <c r="F451" s="47"/>
      <c r="G451" s="47"/>
      <c r="H451" s="47"/>
      <c r="I451" s="17" t="s">
        <v>825</v>
      </c>
      <c r="J451" s="39" t="s">
        <v>94</v>
      </c>
      <c r="K451" s="39" t="s">
        <v>131</v>
      </c>
      <c r="L451" s="39" t="s">
        <v>106</v>
      </c>
      <c r="M451" s="72" t="s">
        <v>189</v>
      </c>
    </row>
    <row r="452" spans="1:13" ht="26.25" hidden="1" thickBot="1" x14ac:dyDescent="0.3">
      <c r="A452" s="12" t="s">
        <v>826</v>
      </c>
      <c r="B452" s="13" t="s">
        <v>827</v>
      </c>
      <c r="C452" s="14" t="s">
        <v>819</v>
      </c>
      <c r="D452" s="45" t="s">
        <v>28</v>
      </c>
      <c r="E452" s="45"/>
      <c r="F452" s="55">
        <v>0</v>
      </c>
      <c r="G452" s="55">
        <v>0</v>
      </c>
      <c r="H452" s="55">
        <v>0</v>
      </c>
      <c r="I452" s="14"/>
      <c r="J452" s="45"/>
      <c r="K452" s="45"/>
      <c r="L452" s="45"/>
      <c r="M452" s="71"/>
    </row>
    <row r="453" spans="1:13" ht="38.25" customHeight="1" x14ac:dyDescent="0.25">
      <c r="A453" s="150" t="s">
        <v>828</v>
      </c>
      <c r="B453" s="135" t="s">
        <v>829</v>
      </c>
      <c r="C453" s="135" t="s">
        <v>815</v>
      </c>
      <c r="D453" s="45"/>
      <c r="E453" s="46">
        <f>SUM(E454:E457)</f>
        <v>1599.6</v>
      </c>
      <c r="F453" s="46">
        <f>SUM(F454:F457)</f>
        <v>1289.4000000000001</v>
      </c>
      <c r="G453" s="46">
        <f>SUM(G454:G457)</f>
        <v>450.6</v>
      </c>
      <c r="H453" s="46"/>
      <c r="I453" s="135" t="s">
        <v>830</v>
      </c>
      <c r="J453" s="138" t="s">
        <v>94</v>
      </c>
      <c r="K453" s="138" t="s">
        <v>831</v>
      </c>
      <c r="L453" s="138" t="s">
        <v>189</v>
      </c>
      <c r="M453" s="141"/>
    </row>
    <row r="454" spans="1:13" x14ac:dyDescent="0.25">
      <c r="A454" s="151"/>
      <c r="B454" s="136"/>
      <c r="C454" s="136"/>
      <c r="D454" s="39" t="s">
        <v>375</v>
      </c>
      <c r="E454" s="53">
        <v>900</v>
      </c>
      <c r="F454" s="47">
        <v>700</v>
      </c>
      <c r="G454" s="47"/>
      <c r="H454" s="47"/>
      <c r="I454" s="136"/>
      <c r="J454" s="139"/>
      <c r="K454" s="139"/>
      <c r="L454" s="139"/>
      <c r="M454" s="142"/>
    </row>
    <row r="455" spans="1:13" x14ac:dyDescent="0.25">
      <c r="A455" s="151"/>
      <c r="B455" s="136"/>
      <c r="C455" s="136"/>
      <c r="D455" s="39" t="s">
        <v>190</v>
      </c>
      <c r="E455" s="39">
        <v>8.6</v>
      </c>
      <c r="F455" s="47"/>
      <c r="G455" s="47"/>
      <c r="H455" s="47"/>
      <c r="I455" s="136"/>
      <c r="J455" s="139"/>
      <c r="K455" s="139"/>
      <c r="L455" s="139"/>
      <c r="M455" s="142"/>
    </row>
    <row r="456" spans="1:13" x14ac:dyDescent="0.25">
      <c r="A456" s="151"/>
      <c r="B456" s="136"/>
      <c r="C456" s="136"/>
      <c r="D456" s="39" t="s">
        <v>28</v>
      </c>
      <c r="E456" s="53">
        <v>25</v>
      </c>
      <c r="F456" s="47">
        <v>89.4</v>
      </c>
      <c r="G456" s="47">
        <v>35.6</v>
      </c>
      <c r="H456" s="47"/>
      <c r="I456" s="136"/>
      <c r="J456" s="139"/>
      <c r="K456" s="139"/>
      <c r="L456" s="139"/>
      <c r="M456" s="142"/>
    </row>
    <row r="457" spans="1:13" ht="15.75" thickBot="1" x14ac:dyDescent="0.3">
      <c r="A457" s="152"/>
      <c r="B457" s="137"/>
      <c r="C457" s="137"/>
      <c r="D457" s="39" t="s">
        <v>832</v>
      </c>
      <c r="E457" s="53">
        <v>666</v>
      </c>
      <c r="F457" s="47">
        <v>500</v>
      </c>
      <c r="G457" s="47">
        <v>415</v>
      </c>
      <c r="H457" s="47"/>
      <c r="I457" s="137"/>
      <c r="J457" s="140"/>
      <c r="K457" s="140"/>
      <c r="L457" s="140"/>
      <c r="M457" s="143"/>
    </row>
    <row r="458" spans="1:13" ht="51" customHeight="1" x14ac:dyDescent="0.25">
      <c r="A458" s="150" t="s">
        <v>833</v>
      </c>
      <c r="B458" s="135" t="s">
        <v>834</v>
      </c>
      <c r="C458" s="135" t="s">
        <v>835</v>
      </c>
      <c r="D458" s="80"/>
      <c r="E458" s="56">
        <f>SUM(E459:E460)</f>
        <v>202.3</v>
      </c>
      <c r="F458" s="56">
        <f t="shared" ref="F458:H458" si="18">SUM(F459:F460)</f>
        <v>233</v>
      </c>
      <c r="G458" s="56">
        <f t="shared" si="18"/>
        <v>218</v>
      </c>
      <c r="H458" s="56">
        <f t="shared" si="18"/>
        <v>218</v>
      </c>
      <c r="I458" s="135" t="s">
        <v>836</v>
      </c>
      <c r="J458" s="138" t="s">
        <v>315</v>
      </c>
      <c r="K458" s="138" t="s">
        <v>56</v>
      </c>
      <c r="L458" s="138" t="s">
        <v>30</v>
      </c>
      <c r="M458" s="141" t="s">
        <v>30</v>
      </c>
    </row>
    <row r="459" spans="1:13" x14ac:dyDescent="0.25">
      <c r="A459" s="151"/>
      <c r="B459" s="136"/>
      <c r="C459" s="136"/>
      <c r="D459" s="39" t="s">
        <v>28</v>
      </c>
      <c r="E459" s="53">
        <v>40</v>
      </c>
      <c r="F459" s="47">
        <v>233</v>
      </c>
      <c r="G459" s="47">
        <v>218</v>
      </c>
      <c r="H459" s="47">
        <v>218</v>
      </c>
      <c r="I459" s="136"/>
      <c r="J459" s="139"/>
      <c r="K459" s="139"/>
      <c r="L459" s="139"/>
      <c r="M459" s="142"/>
    </row>
    <row r="460" spans="1:13" ht="15.75" thickBot="1" x14ac:dyDescent="0.3">
      <c r="A460" s="152"/>
      <c r="B460" s="137"/>
      <c r="C460" s="137"/>
      <c r="D460" s="90" t="s">
        <v>190</v>
      </c>
      <c r="E460" s="90">
        <v>162.30000000000001</v>
      </c>
      <c r="F460" s="52"/>
      <c r="G460" s="52"/>
      <c r="H460" s="52"/>
      <c r="I460" s="137"/>
      <c r="J460" s="140"/>
      <c r="K460" s="140"/>
      <c r="L460" s="140"/>
      <c r="M460" s="143"/>
    </row>
    <row r="461" spans="1:13" ht="63.75" x14ac:dyDescent="0.25">
      <c r="A461" s="150" t="s">
        <v>837</v>
      </c>
      <c r="B461" s="135" t="s">
        <v>838</v>
      </c>
      <c r="C461" s="135" t="s">
        <v>679</v>
      </c>
      <c r="D461" s="45" t="s">
        <v>28</v>
      </c>
      <c r="E461" s="45"/>
      <c r="F461" s="46">
        <f>SUM(F462:F462)+110</f>
        <v>110</v>
      </c>
      <c r="G461" s="46">
        <f>SUM(G462:G462)+297.3</f>
        <v>297.3</v>
      </c>
      <c r="H461" s="46">
        <f>SUM(H462:H462)+297.3</f>
        <v>297.3</v>
      </c>
      <c r="I461" s="14" t="s">
        <v>839</v>
      </c>
      <c r="J461" s="45" t="s">
        <v>315</v>
      </c>
      <c r="K461" s="45" t="s">
        <v>56</v>
      </c>
      <c r="L461" s="45" t="s">
        <v>30</v>
      </c>
      <c r="M461" s="71" t="s">
        <v>30</v>
      </c>
    </row>
    <row r="462" spans="1:13" ht="77.25" thickBot="1" x14ac:dyDescent="0.3">
      <c r="A462" s="152"/>
      <c r="B462" s="137"/>
      <c r="C462" s="137"/>
      <c r="D462" s="39"/>
      <c r="E462" s="39"/>
      <c r="F462" s="47"/>
      <c r="G462" s="47"/>
      <c r="H462" s="47"/>
      <c r="I462" s="17" t="s">
        <v>840</v>
      </c>
      <c r="J462" s="39" t="s">
        <v>315</v>
      </c>
      <c r="K462" s="39" t="s">
        <v>322</v>
      </c>
      <c r="L462" s="39" t="s">
        <v>67</v>
      </c>
      <c r="M462" s="72" t="s">
        <v>67</v>
      </c>
    </row>
    <row r="463" spans="1:13" ht="51" x14ac:dyDescent="0.25">
      <c r="A463" s="150" t="s">
        <v>841</v>
      </c>
      <c r="B463" s="135" t="s">
        <v>842</v>
      </c>
      <c r="C463" s="135" t="s">
        <v>819</v>
      </c>
      <c r="D463" s="45"/>
      <c r="E463" s="46">
        <f>SUM(E464:E467)</f>
        <v>200</v>
      </c>
      <c r="F463" s="46">
        <f>SUM(F464:F467)</f>
        <v>964.8</v>
      </c>
      <c r="G463" s="46">
        <f>SUM(G464:G467)</f>
        <v>1782</v>
      </c>
      <c r="H463" s="46">
        <f>SUM(H464:H467)</f>
        <v>1782</v>
      </c>
      <c r="I463" s="14" t="s">
        <v>843</v>
      </c>
      <c r="J463" s="45" t="s">
        <v>21</v>
      </c>
      <c r="K463" s="45" t="s">
        <v>56</v>
      </c>
      <c r="L463" s="45" t="s">
        <v>30</v>
      </c>
      <c r="M463" s="71" t="s">
        <v>30</v>
      </c>
    </row>
    <row r="464" spans="1:13" ht="63.75" x14ac:dyDescent="0.25">
      <c r="A464" s="151"/>
      <c r="B464" s="136"/>
      <c r="C464" s="136"/>
      <c r="D464" s="39" t="s">
        <v>28</v>
      </c>
      <c r="E464" s="53">
        <v>200</v>
      </c>
      <c r="F464" s="47">
        <v>779.8</v>
      </c>
      <c r="G464" s="47">
        <v>1782</v>
      </c>
      <c r="H464" s="47">
        <v>1782</v>
      </c>
      <c r="I464" s="17" t="s">
        <v>844</v>
      </c>
      <c r="J464" s="39" t="s">
        <v>315</v>
      </c>
      <c r="K464" s="39" t="s">
        <v>30</v>
      </c>
      <c r="L464" s="39" t="s">
        <v>30</v>
      </c>
      <c r="M464" s="72"/>
    </row>
    <row r="465" spans="1:13" ht="25.5" x14ac:dyDescent="0.25">
      <c r="A465" s="151"/>
      <c r="B465" s="136"/>
      <c r="C465" s="136"/>
      <c r="D465" s="39" t="s">
        <v>190</v>
      </c>
      <c r="E465" s="39"/>
      <c r="F465" s="47">
        <v>185</v>
      </c>
      <c r="G465" s="47"/>
      <c r="H465" s="47"/>
      <c r="I465" s="17" t="s">
        <v>845</v>
      </c>
      <c r="J465" s="39" t="s">
        <v>315</v>
      </c>
      <c r="K465" s="39" t="s">
        <v>30</v>
      </c>
      <c r="L465" s="39"/>
      <c r="M465" s="72"/>
    </row>
    <row r="466" spans="1:13" ht="38.25" x14ac:dyDescent="0.25">
      <c r="A466" s="151"/>
      <c r="B466" s="136"/>
      <c r="C466" s="136"/>
      <c r="D466" s="39"/>
      <c r="E466" s="39"/>
      <c r="F466" s="47"/>
      <c r="G466" s="47"/>
      <c r="H466" s="47"/>
      <c r="I466" s="17" t="s">
        <v>846</v>
      </c>
      <c r="J466" s="39" t="s">
        <v>315</v>
      </c>
      <c r="K466" s="39" t="s">
        <v>56</v>
      </c>
      <c r="L466" s="39" t="s">
        <v>56</v>
      </c>
      <c r="M466" s="72" t="s">
        <v>56</v>
      </c>
    </row>
    <row r="467" spans="1:13" ht="51.75" thickBot="1" x14ac:dyDescent="0.3">
      <c r="A467" s="152"/>
      <c r="B467" s="137"/>
      <c r="C467" s="137"/>
      <c r="D467" s="39"/>
      <c r="E467" s="39"/>
      <c r="F467" s="47"/>
      <c r="G467" s="47"/>
      <c r="H467" s="47"/>
      <c r="I467" s="17" t="s">
        <v>847</v>
      </c>
      <c r="J467" s="39" t="s">
        <v>315</v>
      </c>
      <c r="K467" s="39" t="s">
        <v>56</v>
      </c>
      <c r="L467" s="39" t="s">
        <v>56</v>
      </c>
      <c r="M467" s="72"/>
    </row>
    <row r="468" spans="1:13" ht="26.25" thickBot="1" x14ac:dyDescent="0.3">
      <c r="A468" s="12" t="s">
        <v>848</v>
      </c>
      <c r="B468" s="13" t="s">
        <v>849</v>
      </c>
      <c r="C468" s="14" t="s">
        <v>819</v>
      </c>
      <c r="D468" s="45" t="s">
        <v>28</v>
      </c>
      <c r="E468" s="45"/>
      <c r="F468" s="55"/>
      <c r="G468" s="55">
        <v>500</v>
      </c>
      <c r="H468" s="55"/>
      <c r="I468" s="14" t="s">
        <v>850</v>
      </c>
      <c r="J468" s="45" t="s">
        <v>94</v>
      </c>
      <c r="K468" s="45"/>
      <c r="L468" s="45" t="s">
        <v>189</v>
      </c>
      <c r="M468" s="71"/>
    </row>
    <row r="469" spans="1:13" ht="38.25" customHeight="1" x14ac:dyDescent="0.25">
      <c r="A469" s="150" t="s">
        <v>851</v>
      </c>
      <c r="B469" s="135" t="s">
        <v>852</v>
      </c>
      <c r="C469" s="135" t="s">
        <v>815</v>
      </c>
      <c r="D469" s="45"/>
      <c r="E469" s="46">
        <f>SUM(E470:E472)</f>
        <v>178.1</v>
      </c>
      <c r="F469" s="46">
        <f>SUM(F470:F472)</f>
        <v>22.5</v>
      </c>
      <c r="G469" s="46"/>
      <c r="H469" s="46"/>
      <c r="I469" s="135" t="s">
        <v>374</v>
      </c>
      <c r="J469" s="138" t="s">
        <v>21</v>
      </c>
      <c r="K469" s="138" t="s">
        <v>30</v>
      </c>
      <c r="L469" s="138"/>
      <c r="M469" s="141"/>
    </row>
    <row r="470" spans="1:13" x14ac:dyDescent="0.25">
      <c r="A470" s="151"/>
      <c r="B470" s="136"/>
      <c r="C470" s="136"/>
      <c r="D470" s="39" t="s">
        <v>216</v>
      </c>
      <c r="E470" s="53">
        <v>67</v>
      </c>
      <c r="F470" s="47">
        <v>20.6</v>
      </c>
      <c r="G470" s="47"/>
      <c r="H470" s="47"/>
      <c r="I470" s="136"/>
      <c r="J470" s="139"/>
      <c r="K470" s="139"/>
      <c r="L470" s="139"/>
      <c r="M470" s="142"/>
    </row>
    <row r="471" spans="1:13" x14ac:dyDescent="0.25">
      <c r="A471" s="151"/>
      <c r="B471" s="136"/>
      <c r="C471" s="136"/>
      <c r="D471" s="39" t="s">
        <v>190</v>
      </c>
      <c r="E471" s="39">
        <v>106.1</v>
      </c>
      <c r="F471" s="47"/>
      <c r="G471" s="47"/>
      <c r="H471" s="47"/>
      <c r="I471" s="136"/>
      <c r="J471" s="139"/>
      <c r="K471" s="139"/>
      <c r="L471" s="139"/>
      <c r="M471" s="142"/>
    </row>
    <row r="472" spans="1:13" ht="15.75" thickBot="1" x14ac:dyDescent="0.3">
      <c r="A472" s="152"/>
      <c r="B472" s="137"/>
      <c r="C472" s="137"/>
      <c r="D472" s="39" t="s">
        <v>148</v>
      </c>
      <c r="E472" s="53">
        <v>5</v>
      </c>
      <c r="F472" s="47">
        <v>1.9</v>
      </c>
      <c r="G472" s="47"/>
      <c r="H472" s="47"/>
      <c r="I472" s="137"/>
      <c r="J472" s="140"/>
      <c r="K472" s="140"/>
      <c r="L472" s="140"/>
      <c r="M472" s="143"/>
    </row>
    <row r="473" spans="1:13" ht="38.25" customHeight="1" x14ac:dyDescent="0.25">
      <c r="A473" s="150" t="s">
        <v>853</v>
      </c>
      <c r="B473" s="135" t="s">
        <v>854</v>
      </c>
      <c r="C473" s="135" t="s">
        <v>815</v>
      </c>
      <c r="D473" s="45"/>
      <c r="E473" s="46">
        <f>SUM(E474:E477)</f>
        <v>749.2</v>
      </c>
      <c r="F473" s="46">
        <f>SUM(F474:F477)</f>
        <v>92.9</v>
      </c>
      <c r="G473" s="46"/>
      <c r="H473" s="46"/>
      <c r="I473" s="135" t="s">
        <v>855</v>
      </c>
      <c r="J473" s="138" t="s">
        <v>21</v>
      </c>
      <c r="K473" s="138" t="s">
        <v>30</v>
      </c>
      <c r="L473" s="138"/>
      <c r="M473" s="141"/>
    </row>
    <row r="474" spans="1:13" x14ac:dyDescent="0.25">
      <c r="A474" s="151"/>
      <c r="B474" s="136"/>
      <c r="C474" s="136"/>
      <c r="D474" s="39" t="s">
        <v>216</v>
      </c>
      <c r="E474" s="39">
        <v>309.60000000000002</v>
      </c>
      <c r="F474" s="47">
        <v>66.900000000000006</v>
      </c>
      <c r="G474" s="47"/>
      <c r="H474" s="47"/>
      <c r="I474" s="136"/>
      <c r="J474" s="139"/>
      <c r="K474" s="139"/>
      <c r="L474" s="139"/>
      <c r="M474" s="142"/>
    </row>
    <row r="475" spans="1:13" x14ac:dyDescent="0.25">
      <c r="A475" s="151"/>
      <c r="B475" s="136"/>
      <c r="C475" s="136"/>
      <c r="D475" s="39" t="s">
        <v>375</v>
      </c>
      <c r="E475" s="53">
        <v>200</v>
      </c>
      <c r="F475" s="47"/>
      <c r="G475" s="47"/>
      <c r="H475" s="47"/>
      <c r="I475" s="136"/>
      <c r="J475" s="139"/>
      <c r="K475" s="139"/>
      <c r="L475" s="139"/>
      <c r="M475" s="142"/>
    </row>
    <row r="476" spans="1:13" x14ac:dyDescent="0.25">
      <c r="A476" s="151"/>
      <c r="B476" s="136"/>
      <c r="C476" s="136"/>
      <c r="D476" s="39" t="s">
        <v>148</v>
      </c>
      <c r="E476" s="39">
        <v>51.2</v>
      </c>
      <c r="F476" s="47">
        <v>6</v>
      </c>
      <c r="G476" s="47"/>
      <c r="H476" s="47"/>
      <c r="I476" s="136"/>
      <c r="J476" s="139"/>
      <c r="K476" s="139"/>
      <c r="L476" s="139"/>
      <c r="M476" s="142"/>
    </row>
    <row r="477" spans="1:13" ht="15.75" thickBot="1" x14ac:dyDescent="0.3">
      <c r="A477" s="152"/>
      <c r="B477" s="137"/>
      <c r="C477" s="137"/>
      <c r="D477" s="39" t="s">
        <v>190</v>
      </c>
      <c r="E477" s="39">
        <v>188.4</v>
      </c>
      <c r="F477" s="47">
        <v>20</v>
      </c>
      <c r="G477" s="47"/>
      <c r="H477" s="47"/>
      <c r="I477" s="137"/>
      <c r="J477" s="140"/>
      <c r="K477" s="140"/>
      <c r="L477" s="140"/>
      <c r="M477" s="143"/>
    </row>
    <row r="478" spans="1:13" ht="38.25" x14ac:dyDescent="0.25">
      <c r="A478" s="150" t="s">
        <v>856</v>
      </c>
      <c r="B478" s="135" t="s">
        <v>857</v>
      </c>
      <c r="C478" s="135" t="s">
        <v>815</v>
      </c>
      <c r="D478" s="45"/>
      <c r="E478" s="46">
        <f>SUM(E479:E480)</f>
        <v>76.900000000000006</v>
      </c>
      <c r="F478" s="46">
        <f>SUM(F479:F480)</f>
        <v>23.3</v>
      </c>
      <c r="G478" s="46"/>
      <c r="H478" s="46"/>
      <c r="I478" s="14" t="s">
        <v>858</v>
      </c>
      <c r="J478" s="45" t="s">
        <v>21</v>
      </c>
      <c r="K478" s="45" t="s">
        <v>56</v>
      </c>
      <c r="L478" s="45"/>
      <c r="M478" s="71"/>
    </row>
    <row r="479" spans="1:13" ht="25.5" customHeight="1" x14ac:dyDescent="0.25">
      <c r="A479" s="151"/>
      <c r="B479" s="136"/>
      <c r="C479" s="136"/>
      <c r="D479" s="39" t="s">
        <v>190</v>
      </c>
      <c r="E479" s="39">
        <v>21.9</v>
      </c>
      <c r="F479" s="47">
        <v>6</v>
      </c>
      <c r="G479" s="47"/>
      <c r="H479" s="47"/>
      <c r="I479" s="144" t="s">
        <v>859</v>
      </c>
      <c r="J479" s="146" t="s">
        <v>21</v>
      </c>
      <c r="K479" s="146" t="s">
        <v>56</v>
      </c>
      <c r="L479" s="146"/>
      <c r="M479" s="148"/>
    </row>
    <row r="480" spans="1:13" ht="15.75" thickBot="1" x14ac:dyDescent="0.3">
      <c r="A480" s="152"/>
      <c r="B480" s="137"/>
      <c r="C480" s="137"/>
      <c r="D480" s="39" t="s">
        <v>216</v>
      </c>
      <c r="E480" s="53">
        <v>55</v>
      </c>
      <c r="F480" s="47">
        <v>17.3</v>
      </c>
      <c r="G480" s="47"/>
      <c r="H480" s="47"/>
      <c r="I480" s="137"/>
      <c r="J480" s="140"/>
      <c r="K480" s="140"/>
      <c r="L480" s="140"/>
      <c r="M480" s="143"/>
    </row>
    <row r="481" spans="1:13" ht="25.5" customHeight="1" x14ac:dyDescent="0.25">
      <c r="A481" s="150" t="s">
        <v>860</v>
      </c>
      <c r="B481" s="135" t="s">
        <v>861</v>
      </c>
      <c r="C481" s="135" t="s">
        <v>862</v>
      </c>
      <c r="D481" s="45" t="s">
        <v>28</v>
      </c>
      <c r="E481" s="45"/>
      <c r="F481" s="46">
        <f>SUM(F482:F484)+921.1</f>
        <v>921.1</v>
      </c>
      <c r="G481" s="46">
        <f>SUM(G482:G484)+442.9</f>
        <v>442.9</v>
      </c>
      <c r="H481" s="46">
        <f>SUM(H482:H484)+250</f>
        <v>250</v>
      </c>
      <c r="I481" s="14" t="s">
        <v>863</v>
      </c>
      <c r="J481" s="45" t="s">
        <v>315</v>
      </c>
      <c r="K481" s="45" t="s">
        <v>56</v>
      </c>
      <c r="L481" s="45" t="s">
        <v>30</v>
      </c>
      <c r="M481" s="71" t="s">
        <v>30</v>
      </c>
    </row>
    <row r="482" spans="1:13" ht="38.25" x14ac:dyDescent="0.25">
      <c r="A482" s="151"/>
      <c r="B482" s="136"/>
      <c r="C482" s="136"/>
      <c r="D482" s="39"/>
      <c r="E482" s="39"/>
      <c r="F482" s="47"/>
      <c r="G482" s="47"/>
      <c r="H482" s="47"/>
      <c r="I482" s="17" t="s">
        <v>864</v>
      </c>
      <c r="J482" s="39" t="s">
        <v>315</v>
      </c>
      <c r="K482" s="39" t="s">
        <v>110</v>
      </c>
      <c r="L482" s="39" t="s">
        <v>110</v>
      </c>
      <c r="M482" s="72" t="s">
        <v>110</v>
      </c>
    </row>
    <row r="483" spans="1:13" ht="38.25" x14ac:dyDescent="0.25">
      <c r="A483" s="151"/>
      <c r="B483" s="136"/>
      <c r="C483" s="136"/>
      <c r="D483" s="39"/>
      <c r="E483" s="39"/>
      <c r="F483" s="47"/>
      <c r="G483" s="47"/>
      <c r="H483" s="47"/>
      <c r="I483" s="17" t="s">
        <v>865</v>
      </c>
      <c r="J483" s="39" t="s">
        <v>315</v>
      </c>
      <c r="K483" s="39" t="s">
        <v>208</v>
      </c>
      <c r="L483" s="39" t="s">
        <v>208</v>
      </c>
      <c r="M483" s="72" t="s">
        <v>70</v>
      </c>
    </row>
    <row r="484" spans="1:13" ht="26.25" thickBot="1" x14ac:dyDescent="0.3">
      <c r="A484" s="152"/>
      <c r="B484" s="137"/>
      <c r="C484" s="137"/>
      <c r="D484" s="39"/>
      <c r="E484" s="39"/>
      <c r="F484" s="47"/>
      <c r="G484" s="47"/>
      <c r="H484" s="47"/>
      <c r="I484" s="17" t="s">
        <v>866</v>
      </c>
      <c r="J484" s="39" t="s">
        <v>21</v>
      </c>
      <c r="K484" s="39" t="s">
        <v>37</v>
      </c>
      <c r="L484" s="39" t="s">
        <v>264</v>
      </c>
      <c r="M484" s="72"/>
    </row>
    <row r="485" spans="1:13" ht="38.25" customHeight="1" x14ac:dyDescent="0.25">
      <c r="A485" s="150" t="s">
        <v>867</v>
      </c>
      <c r="B485" s="135" t="s">
        <v>868</v>
      </c>
      <c r="C485" s="135" t="s">
        <v>862</v>
      </c>
      <c r="D485" s="45"/>
      <c r="E485" s="45"/>
      <c r="F485" s="46">
        <f>SUM(F486:F488)</f>
        <v>1394.1000000000001</v>
      </c>
      <c r="G485" s="46">
        <f>SUM(G486:G488)</f>
        <v>2231.7999999999997</v>
      </c>
      <c r="H485" s="46"/>
      <c r="I485" s="135" t="s">
        <v>869</v>
      </c>
      <c r="J485" s="138" t="s">
        <v>21</v>
      </c>
      <c r="K485" s="138" t="s">
        <v>56</v>
      </c>
      <c r="L485" s="138" t="s">
        <v>67</v>
      </c>
      <c r="M485" s="141"/>
    </row>
    <row r="486" spans="1:13" x14ac:dyDescent="0.25">
      <c r="A486" s="151"/>
      <c r="B486" s="136"/>
      <c r="C486" s="136"/>
      <c r="D486" s="39" t="s">
        <v>375</v>
      </c>
      <c r="E486" s="39"/>
      <c r="F486" s="47">
        <v>1032.9000000000001</v>
      </c>
      <c r="G486" s="47">
        <v>1653.6</v>
      </c>
      <c r="H486" s="47"/>
      <c r="I486" s="136"/>
      <c r="J486" s="139"/>
      <c r="K486" s="139"/>
      <c r="L486" s="139"/>
      <c r="M486" s="142"/>
    </row>
    <row r="487" spans="1:13" x14ac:dyDescent="0.25">
      <c r="A487" s="151"/>
      <c r="B487" s="136"/>
      <c r="C487" s="136"/>
      <c r="D487" s="39" t="s">
        <v>148</v>
      </c>
      <c r="E487" s="39"/>
      <c r="F487" s="47">
        <v>309.89999999999998</v>
      </c>
      <c r="G487" s="47">
        <v>496.2</v>
      </c>
      <c r="H487" s="47"/>
      <c r="I487" s="136"/>
      <c r="J487" s="139"/>
      <c r="K487" s="139"/>
      <c r="L487" s="139"/>
      <c r="M487" s="142"/>
    </row>
    <row r="488" spans="1:13" ht="15.75" thickBot="1" x14ac:dyDescent="0.3">
      <c r="A488" s="152"/>
      <c r="B488" s="137"/>
      <c r="C488" s="137"/>
      <c r="D488" s="39" t="s">
        <v>28</v>
      </c>
      <c r="E488" s="39"/>
      <c r="F488" s="47">
        <v>51.3</v>
      </c>
      <c r="G488" s="47">
        <v>82</v>
      </c>
      <c r="H488" s="47"/>
      <c r="I488" s="137"/>
      <c r="J488" s="140"/>
      <c r="K488" s="140"/>
      <c r="L488" s="140"/>
      <c r="M488" s="143"/>
    </row>
    <row r="489" spans="1:13" ht="51.75" thickBot="1" x14ac:dyDescent="0.3">
      <c r="A489" s="12" t="s">
        <v>870</v>
      </c>
      <c r="B489" s="13" t="s">
        <v>871</v>
      </c>
      <c r="C489" s="14" t="s">
        <v>872</v>
      </c>
      <c r="D489" s="45" t="s">
        <v>28</v>
      </c>
      <c r="E489" s="45"/>
      <c r="F489" s="55">
        <v>80</v>
      </c>
      <c r="G489" s="55">
        <v>80</v>
      </c>
      <c r="H489" s="55">
        <v>80</v>
      </c>
      <c r="I489" s="14" t="s">
        <v>873</v>
      </c>
      <c r="J489" s="45" t="s">
        <v>94</v>
      </c>
      <c r="K489" s="45" t="s">
        <v>189</v>
      </c>
      <c r="L489" s="45" t="s">
        <v>189</v>
      </c>
      <c r="M489" s="71" t="s">
        <v>189</v>
      </c>
    </row>
    <row r="490" spans="1:13" ht="77.25" thickBot="1" x14ac:dyDescent="0.3">
      <c r="A490" s="12" t="s">
        <v>874</v>
      </c>
      <c r="B490" s="13" t="s">
        <v>875</v>
      </c>
      <c r="C490" s="14" t="s">
        <v>679</v>
      </c>
      <c r="D490" s="45" t="s">
        <v>28</v>
      </c>
      <c r="E490" s="45"/>
      <c r="F490" s="55">
        <v>200</v>
      </c>
      <c r="G490" s="55">
        <v>200</v>
      </c>
      <c r="H490" s="55">
        <v>200</v>
      </c>
      <c r="I490" s="14" t="s">
        <v>876</v>
      </c>
      <c r="J490" s="45" t="s">
        <v>315</v>
      </c>
      <c r="K490" s="45" t="s">
        <v>56</v>
      </c>
      <c r="L490" s="45" t="s">
        <v>56</v>
      </c>
      <c r="M490" s="71" t="s">
        <v>56</v>
      </c>
    </row>
    <row r="491" spans="1:13" ht="15.75" thickBot="1" x14ac:dyDescent="0.3">
      <c r="A491" s="3" t="s">
        <v>877</v>
      </c>
      <c r="B491" s="4" t="s">
        <v>878</v>
      </c>
      <c r="C491" s="5" t="s">
        <v>879</v>
      </c>
      <c r="D491" s="59"/>
      <c r="E491" s="42">
        <f>SUM(E492:E492)</f>
        <v>2521.4</v>
      </c>
      <c r="F491" s="42">
        <f>SUM(F492:F492)</f>
        <v>3042.5</v>
      </c>
      <c r="G491" s="42">
        <f>SUM(G492:G492)</f>
        <v>2484.1000000000004</v>
      </c>
      <c r="H491" s="42">
        <f>SUM(H492:H492)</f>
        <v>2291.1999999999998</v>
      </c>
      <c r="I491" s="181"/>
      <c r="J491" s="182"/>
      <c r="K491" s="182"/>
      <c r="L491" s="182"/>
      <c r="M491" s="183"/>
    </row>
    <row r="492" spans="1:13" ht="39" thickBot="1" x14ac:dyDescent="0.3">
      <c r="A492" s="6" t="s">
        <v>880</v>
      </c>
      <c r="B492" s="7" t="s">
        <v>881</v>
      </c>
      <c r="C492" s="8"/>
      <c r="D492" s="38"/>
      <c r="E492" s="43">
        <f>E493+E507+E534</f>
        <v>2521.4</v>
      </c>
      <c r="F492" s="43">
        <f>F493+F507+F534</f>
        <v>3042.5</v>
      </c>
      <c r="G492" s="43">
        <f>G493+G507+G534</f>
        <v>2484.1000000000004</v>
      </c>
      <c r="H492" s="43">
        <f>H493+H507+H534</f>
        <v>2291.1999999999998</v>
      </c>
      <c r="I492" s="8" t="s">
        <v>882</v>
      </c>
      <c r="J492" s="38" t="s">
        <v>94</v>
      </c>
      <c r="K492" s="193">
        <v>-1</v>
      </c>
      <c r="L492" s="193">
        <v>-1</v>
      </c>
      <c r="M492" s="194">
        <v>-1</v>
      </c>
    </row>
    <row r="493" spans="1:13" ht="26.25" thickBot="1" x14ac:dyDescent="0.3">
      <c r="A493" s="9" t="s">
        <v>883</v>
      </c>
      <c r="B493" s="10" t="s">
        <v>884</v>
      </c>
      <c r="C493" s="11"/>
      <c r="D493" s="60"/>
      <c r="E493" s="44">
        <f>E494+E497+E500+E503</f>
        <v>727.4</v>
      </c>
      <c r="F493" s="44">
        <f>F494+F497+F500+F503</f>
        <v>1219.4000000000001</v>
      </c>
      <c r="G493" s="44">
        <f>G494+G497+G500+G503</f>
        <v>770</v>
      </c>
      <c r="H493" s="44">
        <f>H494+H497+H500+H503</f>
        <v>573</v>
      </c>
      <c r="I493" s="178"/>
      <c r="J493" s="179"/>
      <c r="K493" s="179"/>
      <c r="L493" s="179"/>
      <c r="M493" s="180"/>
    </row>
    <row r="494" spans="1:13" ht="38.25" customHeight="1" x14ac:dyDescent="0.25">
      <c r="A494" s="150" t="s">
        <v>885</v>
      </c>
      <c r="B494" s="135" t="s">
        <v>886</v>
      </c>
      <c r="C494" s="135" t="s">
        <v>887</v>
      </c>
      <c r="D494" s="45"/>
      <c r="E494" s="45">
        <f>SUM(E495:E496)</f>
        <v>56.6</v>
      </c>
      <c r="F494" s="54">
        <f t="shared" ref="F494:G494" si="19">SUM(F495:F496)</f>
        <v>500</v>
      </c>
      <c r="G494" s="54">
        <f t="shared" si="19"/>
        <v>300</v>
      </c>
      <c r="H494" s="45"/>
      <c r="I494" s="14" t="s">
        <v>888</v>
      </c>
      <c r="J494" s="45" t="s">
        <v>94</v>
      </c>
      <c r="K494" s="45" t="s">
        <v>189</v>
      </c>
      <c r="L494" s="45"/>
      <c r="M494" s="71"/>
    </row>
    <row r="495" spans="1:13" x14ac:dyDescent="0.25">
      <c r="A495" s="151"/>
      <c r="B495" s="136"/>
      <c r="C495" s="136"/>
      <c r="D495" s="90" t="s">
        <v>28</v>
      </c>
      <c r="E495" s="90"/>
      <c r="F495" s="49">
        <v>500</v>
      </c>
      <c r="G495" s="49">
        <v>300</v>
      </c>
      <c r="H495" s="49"/>
      <c r="I495" s="144" t="s">
        <v>889</v>
      </c>
      <c r="J495" s="146" t="s">
        <v>94</v>
      </c>
      <c r="K495" s="146"/>
      <c r="L495" s="146" t="s">
        <v>189</v>
      </c>
      <c r="M495" s="148"/>
    </row>
    <row r="496" spans="1:13" ht="15.75" thickBot="1" x14ac:dyDescent="0.3">
      <c r="A496" s="152"/>
      <c r="B496" s="137"/>
      <c r="C496" s="137"/>
      <c r="D496" s="39" t="s">
        <v>190</v>
      </c>
      <c r="E496" s="39">
        <v>56.6</v>
      </c>
      <c r="F496" s="47"/>
      <c r="G496" s="47"/>
      <c r="H496" s="47"/>
      <c r="I496" s="137"/>
      <c r="J496" s="140"/>
      <c r="K496" s="140"/>
      <c r="L496" s="140"/>
      <c r="M496" s="143"/>
    </row>
    <row r="497" spans="1:13" ht="63.75" customHeight="1" x14ac:dyDescent="0.25">
      <c r="A497" s="150" t="s">
        <v>890</v>
      </c>
      <c r="B497" s="135" t="s">
        <v>891</v>
      </c>
      <c r="C497" s="135" t="s">
        <v>892</v>
      </c>
      <c r="D497" s="45" t="s">
        <v>28</v>
      </c>
      <c r="E497" s="54">
        <f>SUM(E498:E499)</f>
        <v>200</v>
      </c>
      <c r="F497" s="54">
        <f t="shared" ref="F497:H497" si="20">SUM(F498:F499)</f>
        <v>310</v>
      </c>
      <c r="G497" s="54">
        <f t="shared" si="20"/>
        <v>310</v>
      </c>
      <c r="H497" s="54">
        <f t="shared" si="20"/>
        <v>338</v>
      </c>
      <c r="I497" s="14" t="s">
        <v>893</v>
      </c>
      <c r="J497" s="45" t="s">
        <v>94</v>
      </c>
      <c r="K497" s="45" t="s">
        <v>305</v>
      </c>
      <c r="L497" s="45" t="s">
        <v>189</v>
      </c>
      <c r="M497" s="71"/>
    </row>
    <row r="498" spans="1:13" ht="15" customHeight="1" x14ac:dyDescent="0.25">
      <c r="A498" s="151"/>
      <c r="B498" s="136"/>
      <c r="C498" s="136"/>
      <c r="D498" s="90" t="s">
        <v>28</v>
      </c>
      <c r="E498" s="90"/>
      <c r="F498" s="49">
        <v>310</v>
      </c>
      <c r="G498" s="49">
        <v>310</v>
      </c>
      <c r="H498" s="49">
        <v>338</v>
      </c>
      <c r="I498" s="144" t="s">
        <v>894</v>
      </c>
      <c r="J498" s="146" t="s">
        <v>94</v>
      </c>
      <c r="K498" s="146"/>
      <c r="L498" s="146"/>
      <c r="M498" s="148" t="s">
        <v>189</v>
      </c>
    </row>
    <row r="499" spans="1:13" ht="27" customHeight="1" thickBot="1" x14ac:dyDescent="0.3">
      <c r="A499" s="152"/>
      <c r="B499" s="137"/>
      <c r="C499" s="137"/>
      <c r="D499" s="39" t="s">
        <v>190</v>
      </c>
      <c r="E499" s="53">
        <v>200</v>
      </c>
      <c r="F499" s="47"/>
      <c r="G499" s="47"/>
      <c r="H499" s="47"/>
      <c r="I499" s="137"/>
      <c r="J499" s="140"/>
      <c r="K499" s="140"/>
      <c r="L499" s="140"/>
      <c r="M499" s="143"/>
    </row>
    <row r="500" spans="1:13" ht="25.5" x14ac:dyDescent="0.25">
      <c r="A500" s="150" t="s">
        <v>895</v>
      </c>
      <c r="B500" s="135" t="s">
        <v>896</v>
      </c>
      <c r="C500" s="135" t="s">
        <v>879</v>
      </c>
      <c r="D500" s="45" t="s">
        <v>28</v>
      </c>
      <c r="E500" s="54">
        <v>70</v>
      </c>
      <c r="F500" s="46">
        <f>SUM(F501:F502)+365</f>
        <v>365</v>
      </c>
      <c r="G500" s="46">
        <f>SUM(G501:G502)+160</f>
        <v>160</v>
      </c>
      <c r="H500" s="46">
        <f>SUM(H501:H502)+235</f>
        <v>235</v>
      </c>
      <c r="I500" s="14" t="s">
        <v>897</v>
      </c>
      <c r="J500" s="45" t="s">
        <v>94</v>
      </c>
      <c r="K500" s="45" t="s">
        <v>189</v>
      </c>
      <c r="L500" s="45"/>
      <c r="M500" s="71"/>
    </row>
    <row r="501" spans="1:13" ht="25.5" x14ac:dyDescent="0.25">
      <c r="A501" s="151"/>
      <c r="B501" s="136"/>
      <c r="C501" s="136"/>
      <c r="D501" s="39"/>
      <c r="E501" s="39"/>
      <c r="F501" s="47"/>
      <c r="G501" s="47"/>
      <c r="H501" s="47"/>
      <c r="I501" s="17" t="s">
        <v>898</v>
      </c>
      <c r="J501" s="39" t="s">
        <v>94</v>
      </c>
      <c r="K501" s="39"/>
      <c r="L501" s="39" t="s">
        <v>189</v>
      </c>
      <c r="M501" s="72"/>
    </row>
    <row r="502" spans="1:13" ht="26.25" thickBot="1" x14ac:dyDescent="0.3">
      <c r="A502" s="152"/>
      <c r="B502" s="137"/>
      <c r="C502" s="137"/>
      <c r="D502" s="39"/>
      <c r="E502" s="39"/>
      <c r="F502" s="47"/>
      <c r="G502" s="47"/>
      <c r="H502" s="47"/>
      <c r="I502" s="17" t="s">
        <v>899</v>
      </c>
      <c r="J502" s="39" t="s">
        <v>94</v>
      </c>
      <c r="K502" s="39"/>
      <c r="L502" s="39"/>
      <c r="M502" s="72" t="s">
        <v>189</v>
      </c>
    </row>
    <row r="503" spans="1:13" ht="76.5" customHeight="1" x14ac:dyDescent="0.25">
      <c r="A503" s="150" t="s">
        <v>900</v>
      </c>
      <c r="B503" s="135" t="s">
        <v>901</v>
      </c>
      <c r="C503" s="135" t="s">
        <v>902</v>
      </c>
      <c r="D503" s="45"/>
      <c r="E503" s="46">
        <f>SUM(E504:E506)</f>
        <v>400.79999999999995</v>
      </c>
      <c r="F503" s="46">
        <f>SUM(F504:F506)</f>
        <v>44.400000000000006</v>
      </c>
      <c r="G503" s="46"/>
      <c r="H503" s="46"/>
      <c r="I503" s="14" t="s">
        <v>903</v>
      </c>
      <c r="J503" s="45" t="s">
        <v>476</v>
      </c>
      <c r="K503" s="45" t="s">
        <v>904</v>
      </c>
      <c r="L503" s="45"/>
      <c r="M503" s="71"/>
    </row>
    <row r="504" spans="1:13" ht="63.75" customHeight="1" x14ac:dyDescent="0.25">
      <c r="A504" s="151"/>
      <c r="B504" s="136"/>
      <c r="C504" s="136"/>
      <c r="D504" s="39" t="s">
        <v>190</v>
      </c>
      <c r="E504" s="39">
        <v>10.9</v>
      </c>
      <c r="F504" s="47">
        <v>36.700000000000003</v>
      </c>
      <c r="G504" s="47"/>
      <c r="H504" s="47"/>
      <c r="I504" s="144" t="s">
        <v>905</v>
      </c>
      <c r="J504" s="146" t="s">
        <v>21</v>
      </c>
      <c r="K504" s="146" t="s">
        <v>30</v>
      </c>
      <c r="L504" s="146"/>
      <c r="M504" s="148"/>
    </row>
    <row r="505" spans="1:13" x14ac:dyDescent="0.25">
      <c r="A505" s="151"/>
      <c r="B505" s="136"/>
      <c r="C505" s="136"/>
      <c r="D505" s="39" t="s">
        <v>216</v>
      </c>
      <c r="E505" s="39">
        <v>307.2</v>
      </c>
      <c r="F505" s="47"/>
      <c r="G505" s="47"/>
      <c r="H505" s="47"/>
      <c r="I505" s="136"/>
      <c r="J505" s="139"/>
      <c r="K505" s="139"/>
      <c r="L505" s="139"/>
      <c r="M505" s="142"/>
    </row>
    <row r="506" spans="1:13" ht="15.75" thickBot="1" x14ac:dyDescent="0.3">
      <c r="A506" s="152"/>
      <c r="B506" s="137"/>
      <c r="C506" s="137"/>
      <c r="D506" s="39" t="s">
        <v>148</v>
      </c>
      <c r="E506" s="39">
        <v>82.7</v>
      </c>
      <c r="F506" s="47">
        <v>7.7</v>
      </c>
      <c r="G506" s="47"/>
      <c r="H506" s="47"/>
      <c r="I506" s="137"/>
      <c r="J506" s="140"/>
      <c r="K506" s="140"/>
      <c r="L506" s="140"/>
      <c r="M506" s="143"/>
    </row>
    <row r="507" spans="1:13" ht="39" thickBot="1" x14ac:dyDescent="0.3">
      <c r="A507" s="9" t="s">
        <v>906</v>
      </c>
      <c r="B507" s="10" t="s">
        <v>907</v>
      </c>
      <c r="C507" s="11"/>
      <c r="D507" s="60"/>
      <c r="E507" s="44">
        <f>E508+E512+E513+E518+E523+E526+E531</f>
        <v>1394.9</v>
      </c>
      <c r="F507" s="44">
        <f>F508+F512+F513+F518+F523+F526+F531</f>
        <v>1399.1000000000001</v>
      </c>
      <c r="G507" s="44">
        <f>G508+G512+G513+G518+G523+G526+G531</f>
        <v>1395.3</v>
      </c>
      <c r="H507" s="44">
        <f>H508+H512+H513+H518+H523+H526+H531</f>
        <v>1426.2</v>
      </c>
      <c r="I507" s="178"/>
      <c r="J507" s="179"/>
      <c r="K507" s="179"/>
      <c r="L507" s="179"/>
      <c r="M507" s="180"/>
    </row>
    <row r="508" spans="1:13" ht="15" hidden="1" customHeight="1" thickBot="1" x14ac:dyDescent="0.3">
      <c r="A508" s="150" t="s">
        <v>908</v>
      </c>
      <c r="B508" s="135" t="s">
        <v>909</v>
      </c>
      <c r="C508" s="135" t="s">
        <v>879</v>
      </c>
      <c r="D508" s="80"/>
      <c r="E508" s="56">
        <f>SUM(E509:E511)</f>
        <v>144.80000000000001</v>
      </c>
      <c r="F508" s="56">
        <f t="shared" ref="F508:H508" si="21">SUM(F509:F511)</f>
        <v>0</v>
      </c>
      <c r="G508" s="56">
        <f t="shared" si="21"/>
        <v>0</v>
      </c>
      <c r="H508" s="56">
        <f t="shared" si="21"/>
        <v>0</v>
      </c>
      <c r="I508" s="86"/>
      <c r="J508" s="80"/>
      <c r="K508" s="80"/>
      <c r="L508" s="80"/>
      <c r="M508" s="81"/>
    </row>
    <row r="509" spans="1:13" ht="15.75" hidden="1" customHeight="1" thickBot="1" x14ac:dyDescent="0.3">
      <c r="A509" s="151"/>
      <c r="B509" s="136"/>
      <c r="C509" s="136"/>
      <c r="D509" s="39" t="s">
        <v>28</v>
      </c>
      <c r="E509" s="53">
        <v>100</v>
      </c>
      <c r="F509" s="47"/>
      <c r="G509" s="47"/>
      <c r="H509" s="47"/>
      <c r="I509" s="17"/>
      <c r="J509" s="39"/>
      <c r="K509" s="39"/>
      <c r="L509" s="39"/>
      <c r="M509" s="72"/>
    </row>
    <row r="510" spans="1:13" ht="22.5" hidden="1" customHeight="1" thickBot="1" x14ac:dyDescent="0.3">
      <c r="A510" s="151"/>
      <c r="B510" s="136"/>
      <c r="C510" s="136"/>
      <c r="D510" s="39" t="s">
        <v>252</v>
      </c>
      <c r="E510" s="53">
        <v>13</v>
      </c>
      <c r="F510" s="47"/>
      <c r="G510" s="47"/>
      <c r="H510" s="47"/>
      <c r="I510" s="17"/>
      <c r="J510" s="39"/>
      <c r="K510" s="39"/>
      <c r="L510" s="39"/>
      <c r="M510" s="72"/>
    </row>
    <row r="511" spans="1:13" ht="23.25" hidden="1" customHeight="1" thickBot="1" x14ac:dyDescent="0.3">
      <c r="A511" s="152"/>
      <c r="B511" s="137"/>
      <c r="C511" s="137"/>
      <c r="D511" s="90" t="s">
        <v>1322</v>
      </c>
      <c r="E511" s="90">
        <v>31.8</v>
      </c>
      <c r="F511" s="52"/>
      <c r="G511" s="52"/>
      <c r="H511" s="52"/>
      <c r="I511" s="91"/>
      <c r="J511" s="90"/>
      <c r="K511" s="90"/>
      <c r="L511" s="90"/>
      <c r="M511" s="92"/>
    </row>
    <row r="512" spans="1:13" ht="39" thickBot="1" x14ac:dyDescent="0.3">
      <c r="A512" s="12" t="s">
        <v>910</v>
      </c>
      <c r="B512" s="13" t="s">
        <v>911</v>
      </c>
      <c r="C512" s="14" t="s">
        <v>879</v>
      </c>
      <c r="D512" s="45" t="s">
        <v>252</v>
      </c>
      <c r="E512" s="54">
        <v>21</v>
      </c>
      <c r="F512" s="55">
        <v>46</v>
      </c>
      <c r="G512" s="55">
        <v>47</v>
      </c>
      <c r="H512" s="55">
        <v>48</v>
      </c>
      <c r="I512" s="14" t="s">
        <v>912</v>
      </c>
      <c r="J512" s="45" t="s">
        <v>315</v>
      </c>
      <c r="K512" s="45" t="s">
        <v>913</v>
      </c>
      <c r="L512" s="45" t="s">
        <v>440</v>
      </c>
      <c r="M512" s="71" t="s">
        <v>758</v>
      </c>
    </row>
    <row r="513" spans="1:13" ht="63.75" customHeight="1" x14ac:dyDescent="0.25">
      <c r="A513" s="150" t="s">
        <v>914</v>
      </c>
      <c r="B513" s="135" t="s">
        <v>915</v>
      </c>
      <c r="C513" s="135" t="s">
        <v>916</v>
      </c>
      <c r="D513" s="45"/>
      <c r="E513" s="46">
        <f>SUM(E514:E517)</f>
        <v>34.5</v>
      </c>
      <c r="F513" s="46">
        <f>SUM(F514:F517)</f>
        <v>29.1</v>
      </c>
      <c r="G513" s="46">
        <f>SUM(G514:G517)</f>
        <v>1</v>
      </c>
      <c r="H513" s="46">
        <f>SUM(H514:H517)</f>
        <v>1</v>
      </c>
      <c r="I513" s="135" t="s">
        <v>917</v>
      </c>
      <c r="J513" s="138" t="s">
        <v>315</v>
      </c>
      <c r="K513" s="138" t="s">
        <v>104</v>
      </c>
      <c r="L513" s="138"/>
      <c r="M513" s="141"/>
    </row>
    <row r="514" spans="1:13" x14ac:dyDescent="0.25">
      <c r="A514" s="151"/>
      <c r="B514" s="136"/>
      <c r="C514" s="136"/>
      <c r="D514" s="39" t="s">
        <v>157</v>
      </c>
      <c r="E514" s="39">
        <v>2.1</v>
      </c>
      <c r="F514" s="47">
        <v>1</v>
      </c>
      <c r="G514" s="47"/>
      <c r="H514" s="47"/>
      <c r="I514" s="136"/>
      <c r="J514" s="139"/>
      <c r="K514" s="139"/>
      <c r="L514" s="139"/>
      <c r="M514" s="142"/>
    </row>
    <row r="515" spans="1:13" x14ac:dyDescent="0.25">
      <c r="A515" s="151"/>
      <c r="B515" s="136"/>
      <c r="C515" s="136"/>
      <c r="D515" s="39" t="s">
        <v>28</v>
      </c>
      <c r="E515" s="39">
        <v>3.3</v>
      </c>
      <c r="F515" s="47">
        <v>1</v>
      </c>
      <c r="G515" s="47"/>
      <c r="H515" s="47"/>
      <c r="I515" s="136"/>
      <c r="J515" s="139"/>
      <c r="K515" s="139"/>
      <c r="L515" s="139"/>
      <c r="M515" s="142"/>
    </row>
    <row r="516" spans="1:13" x14ac:dyDescent="0.25">
      <c r="A516" s="151"/>
      <c r="B516" s="136"/>
      <c r="C516" s="136"/>
      <c r="D516" s="39" t="s">
        <v>162</v>
      </c>
      <c r="E516" s="39">
        <v>29.1</v>
      </c>
      <c r="F516" s="47">
        <v>26.1</v>
      </c>
      <c r="G516" s="47"/>
      <c r="H516" s="47"/>
      <c r="I516" s="136"/>
      <c r="J516" s="139"/>
      <c r="K516" s="139"/>
      <c r="L516" s="139"/>
      <c r="M516" s="142"/>
    </row>
    <row r="517" spans="1:13" ht="15.75" thickBot="1" x14ac:dyDescent="0.3">
      <c r="A517" s="152"/>
      <c r="B517" s="137"/>
      <c r="C517" s="137"/>
      <c r="D517" s="39" t="s">
        <v>152</v>
      </c>
      <c r="E517" s="39"/>
      <c r="F517" s="47">
        <v>1</v>
      </c>
      <c r="G517" s="47">
        <v>1</v>
      </c>
      <c r="H517" s="47">
        <v>1</v>
      </c>
      <c r="I517" s="137"/>
      <c r="J517" s="140"/>
      <c r="K517" s="140"/>
      <c r="L517" s="140"/>
      <c r="M517" s="143"/>
    </row>
    <row r="518" spans="1:13" ht="51" customHeight="1" x14ac:dyDescent="0.25">
      <c r="A518" s="150" t="s">
        <v>918</v>
      </c>
      <c r="B518" s="135" t="s">
        <v>919</v>
      </c>
      <c r="C518" s="135" t="s">
        <v>916</v>
      </c>
      <c r="D518" s="45"/>
      <c r="E518" s="46">
        <f>SUM(E519:E522)</f>
        <v>111.39999999999999</v>
      </c>
      <c r="F518" s="46">
        <f>SUM(F519:F522)</f>
        <v>128.4</v>
      </c>
      <c r="G518" s="46">
        <f>SUM(G519:G522)</f>
        <v>130.4</v>
      </c>
      <c r="H518" s="46">
        <f>SUM(H519:H522)</f>
        <v>133.4</v>
      </c>
      <c r="I518" s="135" t="s">
        <v>920</v>
      </c>
      <c r="J518" s="138" t="s">
        <v>315</v>
      </c>
      <c r="K518" s="138" t="s">
        <v>741</v>
      </c>
      <c r="L518" s="138" t="s">
        <v>741</v>
      </c>
      <c r="M518" s="141" t="s">
        <v>741</v>
      </c>
    </row>
    <row r="519" spans="1:13" x14ac:dyDescent="0.25">
      <c r="A519" s="151"/>
      <c r="B519" s="136"/>
      <c r="C519" s="136"/>
      <c r="D519" s="39" t="s">
        <v>152</v>
      </c>
      <c r="E519" s="39">
        <v>0.5</v>
      </c>
      <c r="F519" s="47">
        <v>0.9</v>
      </c>
      <c r="G519" s="47">
        <v>0.5</v>
      </c>
      <c r="H519" s="47">
        <v>0.5</v>
      </c>
      <c r="I519" s="136"/>
      <c r="J519" s="139"/>
      <c r="K519" s="139"/>
      <c r="L519" s="139"/>
      <c r="M519" s="142"/>
    </row>
    <row r="520" spans="1:13" x14ac:dyDescent="0.25">
      <c r="A520" s="151"/>
      <c r="B520" s="136"/>
      <c r="C520" s="136"/>
      <c r="D520" s="39" t="s">
        <v>28</v>
      </c>
      <c r="E520" s="39">
        <v>109.8</v>
      </c>
      <c r="F520" s="47">
        <v>126.5</v>
      </c>
      <c r="G520" s="47">
        <v>128.9</v>
      </c>
      <c r="H520" s="47">
        <v>131.9</v>
      </c>
      <c r="I520" s="136"/>
      <c r="J520" s="139"/>
      <c r="K520" s="139"/>
      <c r="L520" s="139"/>
      <c r="M520" s="142"/>
    </row>
    <row r="521" spans="1:13" x14ac:dyDescent="0.25">
      <c r="A521" s="151"/>
      <c r="B521" s="136"/>
      <c r="C521" s="136"/>
      <c r="D521" s="39" t="s">
        <v>190</v>
      </c>
      <c r="E521" s="39">
        <v>0.1</v>
      </c>
      <c r="F521" s="47"/>
      <c r="G521" s="47"/>
      <c r="H521" s="47"/>
      <c r="I521" s="136"/>
      <c r="J521" s="139"/>
      <c r="K521" s="139"/>
      <c r="L521" s="139"/>
      <c r="M521" s="142"/>
    </row>
    <row r="522" spans="1:13" ht="15.75" thickBot="1" x14ac:dyDescent="0.3">
      <c r="A522" s="152"/>
      <c r="B522" s="137"/>
      <c r="C522" s="137"/>
      <c r="D522" s="39" t="s">
        <v>139</v>
      </c>
      <c r="E522" s="53">
        <v>1</v>
      </c>
      <c r="F522" s="47">
        <v>1</v>
      </c>
      <c r="G522" s="47">
        <v>1</v>
      </c>
      <c r="H522" s="47">
        <v>1</v>
      </c>
      <c r="I522" s="137"/>
      <c r="J522" s="140"/>
      <c r="K522" s="140"/>
      <c r="L522" s="140"/>
      <c r="M522" s="143"/>
    </row>
    <row r="523" spans="1:13" ht="51" customHeight="1" x14ac:dyDescent="0.25">
      <c r="A523" s="150" t="s">
        <v>921</v>
      </c>
      <c r="B523" s="135" t="s">
        <v>922</v>
      </c>
      <c r="C523" s="135" t="s">
        <v>916</v>
      </c>
      <c r="D523" s="45"/>
      <c r="E523" s="46">
        <f>SUM(E524:E525)</f>
        <v>723.3</v>
      </c>
      <c r="F523" s="46">
        <f>SUM(F524:F525)</f>
        <v>821.5</v>
      </c>
      <c r="G523" s="46">
        <f>SUM(G524:G525)</f>
        <v>836.2</v>
      </c>
      <c r="H523" s="46">
        <f>SUM(H524:H525)</f>
        <v>854.5</v>
      </c>
      <c r="I523" s="14" t="s">
        <v>923</v>
      </c>
      <c r="J523" s="45" t="s">
        <v>315</v>
      </c>
      <c r="K523" s="45" t="s">
        <v>924</v>
      </c>
      <c r="L523" s="45" t="s">
        <v>924</v>
      </c>
      <c r="M523" s="71" t="s">
        <v>924</v>
      </c>
    </row>
    <row r="524" spans="1:13" ht="25.5" x14ac:dyDescent="0.25">
      <c r="A524" s="151"/>
      <c r="B524" s="136"/>
      <c r="C524" s="136"/>
      <c r="D524" s="39" t="s">
        <v>557</v>
      </c>
      <c r="E524" s="39">
        <v>520.29999999999995</v>
      </c>
      <c r="F524" s="47">
        <v>592.5</v>
      </c>
      <c r="G524" s="47">
        <v>603.20000000000005</v>
      </c>
      <c r="H524" s="47">
        <v>616.5</v>
      </c>
      <c r="I524" s="17" t="s">
        <v>925</v>
      </c>
      <c r="J524" s="39" t="s">
        <v>315</v>
      </c>
      <c r="K524" s="39" t="s">
        <v>926</v>
      </c>
      <c r="L524" s="39" t="s">
        <v>926</v>
      </c>
      <c r="M524" s="72" t="s">
        <v>926</v>
      </c>
    </row>
    <row r="525" spans="1:13" ht="26.25" thickBot="1" x14ac:dyDescent="0.3">
      <c r="A525" s="152"/>
      <c r="B525" s="137"/>
      <c r="C525" s="137"/>
      <c r="D525" s="39" t="s">
        <v>28</v>
      </c>
      <c r="E525" s="53">
        <v>203</v>
      </c>
      <c r="F525" s="47">
        <v>229</v>
      </c>
      <c r="G525" s="47">
        <v>233</v>
      </c>
      <c r="H525" s="47">
        <v>238</v>
      </c>
      <c r="I525" s="17" t="s">
        <v>927</v>
      </c>
      <c r="J525" s="39" t="s">
        <v>315</v>
      </c>
      <c r="K525" s="39" t="s">
        <v>804</v>
      </c>
      <c r="L525" s="39" t="s">
        <v>804</v>
      </c>
      <c r="M525" s="72" t="s">
        <v>804</v>
      </c>
    </row>
    <row r="526" spans="1:13" ht="51" customHeight="1" x14ac:dyDescent="0.25">
      <c r="A526" s="150" t="s">
        <v>928</v>
      </c>
      <c r="B526" s="135" t="s">
        <v>929</v>
      </c>
      <c r="C526" s="135" t="s">
        <v>916</v>
      </c>
      <c r="D526" s="45" t="s">
        <v>557</v>
      </c>
      <c r="E526" s="45">
        <v>272.89999999999998</v>
      </c>
      <c r="F526" s="46">
        <f>SUM(F527:F530)+274.7</f>
        <v>274.7</v>
      </c>
      <c r="G526" s="46">
        <f>SUM(G527:G530)+279.6</f>
        <v>279.60000000000002</v>
      </c>
      <c r="H526" s="46">
        <f>SUM(H527:H530)+285.8</f>
        <v>285.8</v>
      </c>
      <c r="I526" s="14" t="s">
        <v>930</v>
      </c>
      <c r="J526" s="45" t="s">
        <v>315</v>
      </c>
      <c r="K526" s="45" t="s">
        <v>30</v>
      </c>
      <c r="L526" s="45" t="s">
        <v>30</v>
      </c>
      <c r="M526" s="71" t="s">
        <v>30</v>
      </c>
    </row>
    <row r="527" spans="1:13" ht="25.5" x14ac:dyDescent="0.25">
      <c r="A527" s="151"/>
      <c r="B527" s="136"/>
      <c r="C527" s="136"/>
      <c r="D527" s="39"/>
      <c r="E527" s="39"/>
      <c r="F527" s="47"/>
      <c r="G527" s="47"/>
      <c r="H527" s="47"/>
      <c r="I527" s="17" t="s">
        <v>931</v>
      </c>
      <c r="J527" s="39" t="s">
        <v>315</v>
      </c>
      <c r="K527" s="39" t="s">
        <v>932</v>
      </c>
      <c r="L527" s="39" t="s">
        <v>932</v>
      </c>
      <c r="M527" s="72" t="s">
        <v>932</v>
      </c>
    </row>
    <row r="528" spans="1:13" ht="25.5" x14ac:dyDescent="0.25">
      <c r="A528" s="151"/>
      <c r="B528" s="136"/>
      <c r="C528" s="136"/>
      <c r="D528" s="39"/>
      <c r="E528" s="39"/>
      <c r="F528" s="47"/>
      <c r="G528" s="47"/>
      <c r="H528" s="47"/>
      <c r="I528" s="17" t="s">
        <v>933</v>
      </c>
      <c r="J528" s="39" t="s">
        <v>315</v>
      </c>
      <c r="K528" s="39" t="s">
        <v>757</v>
      </c>
      <c r="L528" s="39" t="s">
        <v>757</v>
      </c>
      <c r="M528" s="72" t="s">
        <v>757</v>
      </c>
    </row>
    <row r="529" spans="1:13" ht="25.5" x14ac:dyDescent="0.25">
      <c r="A529" s="151"/>
      <c r="B529" s="136"/>
      <c r="C529" s="136"/>
      <c r="D529" s="39"/>
      <c r="E529" s="39"/>
      <c r="F529" s="47"/>
      <c r="G529" s="47"/>
      <c r="H529" s="47"/>
      <c r="I529" s="17" t="s">
        <v>934</v>
      </c>
      <c r="J529" s="39" t="s">
        <v>315</v>
      </c>
      <c r="K529" s="39" t="s">
        <v>472</v>
      </c>
      <c r="L529" s="39" t="s">
        <v>472</v>
      </c>
      <c r="M529" s="72" t="s">
        <v>472</v>
      </c>
    </row>
    <row r="530" spans="1:13" ht="51.75" thickBot="1" x14ac:dyDescent="0.3">
      <c r="A530" s="152"/>
      <c r="B530" s="137"/>
      <c r="C530" s="137"/>
      <c r="D530" s="39"/>
      <c r="E530" s="39"/>
      <c r="F530" s="47"/>
      <c r="G530" s="47"/>
      <c r="H530" s="47"/>
      <c r="I530" s="17" t="s">
        <v>935</v>
      </c>
      <c r="J530" s="39" t="s">
        <v>315</v>
      </c>
      <c r="K530" s="39" t="s">
        <v>776</v>
      </c>
      <c r="L530" s="39" t="s">
        <v>776</v>
      </c>
      <c r="M530" s="72" t="s">
        <v>776</v>
      </c>
    </row>
    <row r="531" spans="1:13" ht="51" customHeight="1" x14ac:dyDescent="0.25">
      <c r="A531" s="150" t="s">
        <v>936</v>
      </c>
      <c r="B531" s="135" t="s">
        <v>937</v>
      </c>
      <c r="C531" s="135" t="s">
        <v>916</v>
      </c>
      <c r="D531" s="45" t="s">
        <v>557</v>
      </c>
      <c r="E531" s="54">
        <v>87</v>
      </c>
      <c r="F531" s="46">
        <f>SUM(F532:F533)+99.4</f>
        <v>99.4</v>
      </c>
      <c r="G531" s="46">
        <f>SUM(G532:G533)+101.1</f>
        <v>101.1</v>
      </c>
      <c r="H531" s="46">
        <f>SUM(H532:H533)+103.5</f>
        <v>103.5</v>
      </c>
      <c r="I531" s="14" t="s">
        <v>938</v>
      </c>
      <c r="J531" s="45" t="s">
        <v>315</v>
      </c>
      <c r="K531" s="45" t="s">
        <v>939</v>
      </c>
      <c r="L531" s="45" t="s">
        <v>940</v>
      </c>
      <c r="M531" s="71" t="s">
        <v>940</v>
      </c>
    </row>
    <row r="532" spans="1:13" x14ac:dyDescent="0.25">
      <c r="A532" s="151"/>
      <c r="B532" s="136"/>
      <c r="C532" s="136"/>
      <c r="D532" s="39"/>
      <c r="E532" s="39"/>
      <c r="F532" s="47"/>
      <c r="G532" s="47"/>
      <c r="H532" s="47"/>
      <c r="I532" s="17" t="s">
        <v>941</v>
      </c>
      <c r="J532" s="39" t="s">
        <v>315</v>
      </c>
      <c r="K532" s="39" t="s">
        <v>942</v>
      </c>
      <c r="L532" s="39" t="s">
        <v>943</v>
      </c>
      <c r="M532" s="72" t="s">
        <v>943</v>
      </c>
    </row>
    <row r="533" spans="1:13" ht="15.75" thickBot="1" x14ac:dyDescent="0.3">
      <c r="A533" s="152"/>
      <c r="B533" s="137"/>
      <c r="C533" s="137"/>
      <c r="D533" s="39"/>
      <c r="E533" s="39"/>
      <c r="F533" s="47"/>
      <c r="G533" s="47"/>
      <c r="H533" s="47"/>
      <c r="I533" s="17" t="s">
        <v>944</v>
      </c>
      <c r="J533" s="39" t="s">
        <v>315</v>
      </c>
      <c r="K533" s="39" t="s">
        <v>70</v>
      </c>
      <c r="L533" s="39" t="s">
        <v>70</v>
      </c>
      <c r="M533" s="72" t="s">
        <v>70</v>
      </c>
    </row>
    <row r="534" spans="1:13" ht="26.25" thickBot="1" x14ac:dyDescent="0.3">
      <c r="A534" s="9" t="s">
        <v>945</v>
      </c>
      <c r="B534" s="10" t="s">
        <v>946</v>
      </c>
      <c r="C534" s="11"/>
      <c r="D534" s="60"/>
      <c r="E534" s="44">
        <f>E535+E539+E540+E545+E548+E550+E551+E554</f>
        <v>399.1</v>
      </c>
      <c r="F534" s="44">
        <f>F535+F539+F540+F545+F548+F550+F551+F554</f>
        <v>424</v>
      </c>
      <c r="G534" s="44">
        <f>G535+G539+G540+G545+G548+G550+G551+G554</f>
        <v>318.8</v>
      </c>
      <c r="H534" s="44">
        <f>H535+H539+H540+H545+H548+H550+H551+H554</f>
        <v>292</v>
      </c>
      <c r="I534" s="178"/>
      <c r="J534" s="179"/>
      <c r="K534" s="179"/>
      <c r="L534" s="179"/>
      <c r="M534" s="180"/>
    </row>
    <row r="535" spans="1:13" ht="25.5" x14ac:dyDescent="0.25">
      <c r="A535" s="150" t="s">
        <v>947</v>
      </c>
      <c r="B535" s="135" t="s">
        <v>948</v>
      </c>
      <c r="C535" s="135" t="s">
        <v>879</v>
      </c>
      <c r="D535" s="45"/>
      <c r="E535" s="46">
        <f>SUM(E536:E538)</f>
        <v>40</v>
      </c>
      <c r="F535" s="46">
        <f>SUM(F536:F538)</f>
        <v>40</v>
      </c>
      <c r="G535" s="46">
        <f t="shared" ref="G535:H535" si="22">SUM(G536:G538)</f>
        <v>47</v>
      </c>
      <c r="H535" s="46">
        <f t="shared" si="22"/>
        <v>47</v>
      </c>
      <c r="I535" s="14" t="s">
        <v>949</v>
      </c>
      <c r="J535" s="45" t="s">
        <v>315</v>
      </c>
      <c r="K535" s="45" t="s">
        <v>56</v>
      </c>
      <c r="L535" s="45" t="s">
        <v>56</v>
      </c>
      <c r="M535" s="71" t="s">
        <v>56</v>
      </c>
    </row>
    <row r="536" spans="1:13" ht="25.5" x14ac:dyDescent="0.25">
      <c r="A536" s="151"/>
      <c r="B536" s="136"/>
      <c r="C536" s="136"/>
      <c r="D536" s="39" t="s">
        <v>28</v>
      </c>
      <c r="E536" s="53">
        <v>10</v>
      </c>
      <c r="F536" s="47">
        <v>40</v>
      </c>
      <c r="G536" s="47">
        <v>47</v>
      </c>
      <c r="H536" s="47">
        <v>47</v>
      </c>
      <c r="I536" s="17" t="s">
        <v>950</v>
      </c>
      <c r="J536" s="39" t="s">
        <v>315</v>
      </c>
      <c r="K536" s="39" t="s">
        <v>264</v>
      </c>
      <c r="L536" s="39" t="s">
        <v>264</v>
      </c>
      <c r="M536" s="72" t="s">
        <v>264</v>
      </c>
    </row>
    <row r="537" spans="1:13" x14ac:dyDescent="0.25">
      <c r="A537" s="151"/>
      <c r="B537" s="136"/>
      <c r="C537" s="136"/>
      <c r="D537" s="39" t="s">
        <v>1322</v>
      </c>
      <c r="E537" s="53">
        <v>30</v>
      </c>
      <c r="F537" s="47"/>
      <c r="G537" s="47"/>
      <c r="H537" s="47"/>
      <c r="I537" s="17" t="s">
        <v>951</v>
      </c>
      <c r="J537" s="39" t="s">
        <v>315</v>
      </c>
      <c r="K537" s="39" t="s">
        <v>56</v>
      </c>
      <c r="L537" s="39" t="s">
        <v>56</v>
      </c>
      <c r="M537" s="72" t="s">
        <v>56</v>
      </c>
    </row>
    <row r="538" spans="1:13" ht="15.75" thickBot="1" x14ac:dyDescent="0.3">
      <c r="A538" s="152"/>
      <c r="B538" s="137"/>
      <c r="C538" s="137"/>
      <c r="D538" s="39"/>
      <c r="E538" s="39"/>
      <c r="F538" s="47"/>
      <c r="G538" s="47"/>
      <c r="H538" s="47"/>
      <c r="I538" s="17" t="s">
        <v>952</v>
      </c>
      <c r="J538" s="39" t="s">
        <v>315</v>
      </c>
      <c r="K538" s="39" t="s">
        <v>691</v>
      </c>
      <c r="L538" s="39" t="s">
        <v>691</v>
      </c>
      <c r="M538" s="72" t="s">
        <v>691</v>
      </c>
    </row>
    <row r="539" spans="1:13" ht="26.25" thickBot="1" x14ac:dyDescent="0.3">
      <c r="A539" s="12" t="s">
        <v>953</v>
      </c>
      <c r="B539" s="13" t="s">
        <v>954</v>
      </c>
      <c r="C539" s="14" t="s">
        <v>879</v>
      </c>
      <c r="D539" s="45" t="s">
        <v>252</v>
      </c>
      <c r="E539" s="54">
        <v>15</v>
      </c>
      <c r="F539" s="55">
        <v>10</v>
      </c>
      <c r="G539" s="55">
        <v>11</v>
      </c>
      <c r="H539" s="55">
        <v>12</v>
      </c>
      <c r="I539" s="14" t="s">
        <v>955</v>
      </c>
      <c r="J539" s="45" t="s">
        <v>315</v>
      </c>
      <c r="K539" s="45" t="s">
        <v>70</v>
      </c>
      <c r="L539" s="45" t="s">
        <v>70</v>
      </c>
      <c r="M539" s="71" t="s">
        <v>70</v>
      </c>
    </row>
    <row r="540" spans="1:13" ht="63.75" customHeight="1" x14ac:dyDescent="0.25">
      <c r="A540" s="150" t="s">
        <v>956</v>
      </c>
      <c r="B540" s="135" t="s">
        <v>957</v>
      </c>
      <c r="C540" s="135" t="s">
        <v>958</v>
      </c>
      <c r="D540" s="45"/>
      <c r="E540" s="46">
        <f>SUM(E541:E544)</f>
        <v>25.8</v>
      </c>
      <c r="F540" s="46">
        <f>SUM(F541:F544)</f>
        <v>33</v>
      </c>
      <c r="G540" s="46"/>
      <c r="H540" s="46"/>
      <c r="I540" s="135" t="s">
        <v>959</v>
      </c>
      <c r="J540" s="138" t="s">
        <v>315</v>
      </c>
      <c r="K540" s="138" t="s">
        <v>131</v>
      </c>
      <c r="L540" s="138"/>
      <c r="M540" s="141"/>
    </row>
    <row r="541" spans="1:13" x14ac:dyDescent="0.25">
      <c r="A541" s="151"/>
      <c r="B541" s="136"/>
      <c r="C541" s="136"/>
      <c r="D541" s="39" t="s">
        <v>190</v>
      </c>
      <c r="E541" s="39">
        <v>4.5999999999999996</v>
      </c>
      <c r="F541" s="47">
        <v>9</v>
      </c>
      <c r="G541" s="47"/>
      <c r="H541" s="47"/>
      <c r="I541" s="136"/>
      <c r="J541" s="139"/>
      <c r="K541" s="139"/>
      <c r="L541" s="139"/>
      <c r="M541" s="142"/>
    </row>
    <row r="542" spans="1:13" x14ac:dyDescent="0.25">
      <c r="A542" s="151"/>
      <c r="B542" s="136"/>
      <c r="C542" s="136"/>
      <c r="D542" s="39" t="s">
        <v>216</v>
      </c>
      <c r="E542" s="53">
        <v>13</v>
      </c>
      <c r="F542" s="47">
        <v>15.5</v>
      </c>
      <c r="G542" s="47"/>
      <c r="H542" s="47"/>
      <c r="I542" s="136"/>
      <c r="J542" s="139"/>
      <c r="K542" s="139"/>
      <c r="L542" s="139"/>
      <c r="M542" s="142"/>
    </row>
    <row r="543" spans="1:13" x14ac:dyDescent="0.25">
      <c r="A543" s="151"/>
      <c r="B543" s="136"/>
      <c r="C543" s="136"/>
      <c r="D543" s="39" t="s">
        <v>148</v>
      </c>
      <c r="E543" s="39">
        <v>1.2</v>
      </c>
      <c r="F543" s="47">
        <v>1.5</v>
      </c>
      <c r="G543" s="47"/>
      <c r="H543" s="47"/>
      <c r="I543" s="136"/>
      <c r="J543" s="139"/>
      <c r="K543" s="139"/>
      <c r="L543" s="139"/>
      <c r="M543" s="142"/>
    </row>
    <row r="544" spans="1:13" ht="15.75" thickBot="1" x14ac:dyDescent="0.3">
      <c r="A544" s="152"/>
      <c r="B544" s="137"/>
      <c r="C544" s="137"/>
      <c r="D544" s="39" t="s">
        <v>28</v>
      </c>
      <c r="E544" s="53">
        <v>7</v>
      </c>
      <c r="F544" s="47">
        <v>7</v>
      </c>
      <c r="G544" s="47"/>
      <c r="H544" s="47"/>
      <c r="I544" s="137"/>
      <c r="J544" s="140"/>
      <c r="K544" s="140"/>
      <c r="L544" s="140"/>
      <c r="M544" s="143"/>
    </row>
    <row r="545" spans="1:13" ht="51" customHeight="1" x14ac:dyDescent="0.25">
      <c r="A545" s="150" t="s">
        <v>960</v>
      </c>
      <c r="B545" s="135" t="s">
        <v>961</v>
      </c>
      <c r="C545" s="135" t="s">
        <v>962</v>
      </c>
      <c r="D545" s="45"/>
      <c r="E545" s="46">
        <f>SUM(E546:E547)</f>
        <v>69.5</v>
      </c>
      <c r="F545" s="46">
        <f>SUM(F546:F547)</f>
        <v>69.5</v>
      </c>
      <c r="G545" s="46">
        <f>SUM(G546:G547)</f>
        <v>33.799999999999997</v>
      </c>
      <c r="H545" s="46"/>
      <c r="I545" s="135" t="s">
        <v>963</v>
      </c>
      <c r="J545" s="138" t="s">
        <v>315</v>
      </c>
      <c r="K545" s="138" t="s">
        <v>691</v>
      </c>
      <c r="L545" s="138" t="s">
        <v>964</v>
      </c>
      <c r="M545" s="141"/>
    </row>
    <row r="546" spans="1:13" x14ac:dyDescent="0.25">
      <c r="A546" s="151"/>
      <c r="B546" s="136"/>
      <c r="C546" s="136"/>
      <c r="D546" s="39" t="s">
        <v>216</v>
      </c>
      <c r="E546" s="53">
        <v>59</v>
      </c>
      <c r="F546" s="47">
        <v>59</v>
      </c>
      <c r="G546" s="47">
        <v>28.8</v>
      </c>
      <c r="H546" s="47"/>
      <c r="I546" s="136"/>
      <c r="J546" s="139"/>
      <c r="K546" s="139"/>
      <c r="L546" s="139"/>
      <c r="M546" s="142"/>
    </row>
    <row r="547" spans="1:13" ht="15.75" thickBot="1" x14ac:dyDescent="0.3">
      <c r="A547" s="152"/>
      <c r="B547" s="137"/>
      <c r="C547" s="137"/>
      <c r="D547" s="39" t="s">
        <v>148</v>
      </c>
      <c r="E547" s="39">
        <v>10.5</v>
      </c>
      <c r="F547" s="47">
        <v>10.5</v>
      </c>
      <c r="G547" s="47">
        <v>5</v>
      </c>
      <c r="H547" s="47"/>
      <c r="I547" s="137"/>
      <c r="J547" s="140"/>
      <c r="K547" s="140"/>
      <c r="L547" s="140"/>
      <c r="M547" s="143"/>
    </row>
    <row r="548" spans="1:13" ht="25.5" x14ac:dyDescent="0.25">
      <c r="A548" s="150" t="s">
        <v>965</v>
      </c>
      <c r="B548" s="135" t="s">
        <v>966</v>
      </c>
      <c r="C548" s="135" t="s">
        <v>879</v>
      </c>
      <c r="D548" s="45" t="s">
        <v>28</v>
      </c>
      <c r="E548" s="45">
        <v>36.200000000000003</v>
      </c>
      <c r="F548" s="46">
        <f>SUM(F549:F549)+114</f>
        <v>114</v>
      </c>
      <c r="G548" s="46">
        <f>SUM(G549:G549)+160</f>
        <v>160</v>
      </c>
      <c r="H548" s="46">
        <f>SUM(H549:H549)+166</f>
        <v>166</v>
      </c>
      <c r="I548" s="14" t="s">
        <v>967</v>
      </c>
      <c r="J548" s="45" t="s">
        <v>315</v>
      </c>
      <c r="K548" s="45" t="s">
        <v>264</v>
      </c>
      <c r="L548" s="45" t="s">
        <v>264</v>
      </c>
      <c r="M548" s="71" t="s">
        <v>264</v>
      </c>
    </row>
    <row r="549" spans="1:13" ht="15.75" thickBot="1" x14ac:dyDescent="0.3">
      <c r="A549" s="152"/>
      <c r="B549" s="137"/>
      <c r="C549" s="137"/>
      <c r="D549" s="39"/>
      <c r="E549" s="39"/>
      <c r="F549" s="47"/>
      <c r="G549" s="47"/>
      <c r="H549" s="47"/>
      <c r="I549" s="17" t="s">
        <v>968</v>
      </c>
      <c r="J549" s="39" t="s">
        <v>315</v>
      </c>
      <c r="K549" s="39" t="s">
        <v>322</v>
      </c>
      <c r="L549" s="39" t="s">
        <v>322</v>
      </c>
      <c r="M549" s="72" t="s">
        <v>322</v>
      </c>
    </row>
    <row r="550" spans="1:13" ht="39" thickBot="1" x14ac:dyDescent="0.3">
      <c r="A550" s="12" t="s">
        <v>969</v>
      </c>
      <c r="B550" s="13" t="s">
        <v>970</v>
      </c>
      <c r="C550" s="14" t="s">
        <v>971</v>
      </c>
      <c r="D550" s="45" t="s">
        <v>252</v>
      </c>
      <c r="E550" s="54">
        <v>3</v>
      </c>
      <c r="F550" s="55">
        <v>7</v>
      </c>
      <c r="G550" s="55">
        <v>7</v>
      </c>
      <c r="H550" s="55">
        <v>7</v>
      </c>
      <c r="I550" s="14" t="s">
        <v>972</v>
      </c>
      <c r="J550" s="45" t="s">
        <v>94</v>
      </c>
      <c r="K550" s="45" t="s">
        <v>189</v>
      </c>
      <c r="L550" s="45" t="s">
        <v>189</v>
      </c>
      <c r="M550" s="71" t="s">
        <v>189</v>
      </c>
    </row>
    <row r="551" spans="1:13" ht="51" customHeight="1" x14ac:dyDescent="0.25">
      <c r="A551" s="150" t="s">
        <v>973</v>
      </c>
      <c r="B551" s="135" t="s">
        <v>974</v>
      </c>
      <c r="C551" s="135" t="s">
        <v>184</v>
      </c>
      <c r="D551" s="80"/>
      <c r="E551" s="80">
        <f>SUM(E552:E553)</f>
        <v>209.6</v>
      </c>
      <c r="F551" s="80">
        <f t="shared" ref="F551" si="23">SUM(F552:F553)</f>
        <v>50.5</v>
      </c>
      <c r="G551" s="80"/>
      <c r="H551" s="80"/>
      <c r="I551" s="135" t="s">
        <v>374</v>
      </c>
      <c r="J551" s="138" t="s">
        <v>21</v>
      </c>
      <c r="K551" s="138" t="s">
        <v>30</v>
      </c>
      <c r="L551" s="138"/>
      <c r="M551" s="141"/>
    </row>
    <row r="552" spans="1:13" x14ac:dyDescent="0.25">
      <c r="A552" s="151"/>
      <c r="B552" s="136"/>
      <c r="C552" s="136"/>
      <c r="D552" s="39" t="s">
        <v>190</v>
      </c>
      <c r="E552" s="39"/>
      <c r="F552" s="47">
        <v>50.5</v>
      </c>
      <c r="G552" s="47"/>
      <c r="H552" s="47"/>
      <c r="I552" s="136"/>
      <c r="J552" s="139"/>
      <c r="K552" s="139"/>
      <c r="L552" s="139"/>
      <c r="M552" s="142"/>
    </row>
    <row r="553" spans="1:13" ht="15.75" thickBot="1" x14ac:dyDescent="0.3">
      <c r="A553" s="152"/>
      <c r="B553" s="137"/>
      <c r="C553" s="137"/>
      <c r="D553" s="90" t="s">
        <v>28</v>
      </c>
      <c r="E553" s="90">
        <v>209.6</v>
      </c>
      <c r="F553" s="52"/>
      <c r="G553" s="52"/>
      <c r="H553" s="52"/>
      <c r="I553" s="137"/>
      <c r="J553" s="140"/>
      <c r="K553" s="140"/>
      <c r="L553" s="140"/>
      <c r="M553" s="143"/>
    </row>
    <row r="554" spans="1:13" ht="26.25" thickBot="1" x14ac:dyDescent="0.3">
      <c r="A554" s="12" t="s">
        <v>975</v>
      </c>
      <c r="B554" s="13" t="s">
        <v>976</v>
      </c>
      <c r="C554" s="14"/>
      <c r="D554" s="45" t="s">
        <v>28</v>
      </c>
      <c r="E554" s="45"/>
      <c r="F554" s="55">
        <v>100</v>
      </c>
      <c r="G554" s="55">
        <v>60</v>
      </c>
      <c r="H554" s="55">
        <v>60</v>
      </c>
      <c r="I554" s="14" t="s">
        <v>977</v>
      </c>
      <c r="J554" s="45" t="s">
        <v>94</v>
      </c>
      <c r="K554" s="45" t="s">
        <v>189</v>
      </c>
      <c r="L554" s="45" t="s">
        <v>189</v>
      </c>
      <c r="M554" s="71" t="s">
        <v>189</v>
      </c>
    </row>
    <row r="555" spans="1:13" ht="39" thickBot="1" x14ac:dyDescent="0.3">
      <c r="A555" s="3" t="s">
        <v>978</v>
      </c>
      <c r="B555" s="4" t="s">
        <v>979</v>
      </c>
      <c r="C555" s="5" t="s">
        <v>980</v>
      </c>
      <c r="D555" s="59"/>
      <c r="E555" s="42">
        <f>SUM(E556:E556)</f>
        <v>44830.400000000009</v>
      </c>
      <c r="F555" s="42">
        <f>SUM(F556:F556)</f>
        <v>46817.1</v>
      </c>
      <c r="G555" s="42">
        <f>SUM(G556:G556)</f>
        <v>47554.3</v>
      </c>
      <c r="H555" s="42">
        <f>SUM(H556:H556)</f>
        <v>45538.400000000001</v>
      </c>
      <c r="I555" s="181"/>
      <c r="J555" s="182"/>
      <c r="K555" s="182"/>
      <c r="L555" s="182"/>
      <c r="M555" s="183"/>
    </row>
    <row r="556" spans="1:13" ht="51" customHeight="1" x14ac:dyDescent="0.25">
      <c r="A556" s="165" t="s">
        <v>981</v>
      </c>
      <c r="B556" s="167" t="s">
        <v>982</v>
      </c>
      <c r="C556" s="169"/>
      <c r="D556" s="169"/>
      <c r="E556" s="162">
        <f>E557+E558+E559+E610+E628</f>
        <v>44830.400000000009</v>
      </c>
      <c r="F556" s="162">
        <f>F557+F558+F559+F610+F628</f>
        <v>46817.1</v>
      </c>
      <c r="G556" s="162">
        <f>G557+G558+G559+G610+G628</f>
        <v>47554.3</v>
      </c>
      <c r="H556" s="162">
        <f>H557+H558+H559+H610+H628</f>
        <v>45538.400000000001</v>
      </c>
      <c r="I556" s="8" t="s">
        <v>983</v>
      </c>
      <c r="J556" s="38" t="s">
        <v>94</v>
      </c>
      <c r="K556" s="38" t="s">
        <v>984</v>
      </c>
      <c r="L556" s="38" t="s">
        <v>984</v>
      </c>
      <c r="M556" s="74" t="s">
        <v>985</v>
      </c>
    </row>
    <row r="557" spans="1:13" ht="38.25" x14ac:dyDescent="0.25">
      <c r="A557" s="171"/>
      <c r="B557" s="172"/>
      <c r="C557" s="173"/>
      <c r="D557" s="173"/>
      <c r="E557" s="163"/>
      <c r="F557" s="163"/>
      <c r="G557" s="163"/>
      <c r="H557" s="163"/>
      <c r="I557" s="40" t="s">
        <v>986</v>
      </c>
      <c r="J557" s="69" t="s">
        <v>94</v>
      </c>
      <c r="K557" s="69" t="s">
        <v>987</v>
      </c>
      <c r="L557" s="69" t="s">
        <v>987</v>
      </c>
      <c r="M557" s="78" t="s">
        <v>987</v>
      </c>
    </row>
    <row r="558" spans="1:13" ht="51.75" thickBot="1" x14ac:dyDescent="0.3">
      <c r="A558" s="166"/>
      <c r="B558" s="168"/>
      <c r="C558" s="170"/>
      <c r="D558" s="170"/>
      <c r="E558" s="164"/>
      <c r="F558" s="164"/>
      <c r="G558" s="164"/>
      <c r="H558" s="164"/>
      <c r="I558" s="40" t="s">
        <v>988</v>
      </c>
      <c r="J558" s="69" t="s">
        <v>94</v>
      </c>
      <c r="K558" s="69" t="s">
        <v>989</v>
      </c>
      <c r="L558" s="69" t="s">
        <v>989</v>
      </c>
      <c r="M558" s="78" t="s">
        <v>989</v>
      </c>
    </row>
    <row r="559" spans="1:13" ht="26.25" thickBot="1" x14ac:dyDescent="0.3">
      <c r="A559" s="9" t="s">
        <v>990</v>
      </c>
      <c r="B559" s="10" t="s">
        <v>991</v>
      </c>
      <c r="C559" s="11"/>
      <c r="D559" s="60"/>
      <c r="E559" s="44">
        <f>E560+E564+E565+E568+E573+E582+E586+E589+E592+E594+E598+E602+E606</f>
        <v>10174.6</v>
      </c>
      <c r="F559" s="44">
        <f>F560+F564+F565+F568+F573+F582+F586+F589+F592+F594+F598+F602+F606</f>
        <v>11408.400000000003</v>
      </c>
      <c r="G559" s="44">
        <f>G560+G564+G565+G568+G573+G582+G586+G589+G592+G594+G598+G602+G606</f>
        <v>10868.199999999999</v>
      </c>
      <c r="H559" s="44">
        <f>H560+H564+H565+H568+H573+H582+H586+H589+H592+H594+H598+H602+H606</f>
        <v>10499.1</v>
      </c>
      <c r="I559" s="178"/>
      <c r="J559" s="179"/>
      <c r="K559" s="179"/>
      <c r="L559" s="179"/>
      <c r="M559" s="180"/>
    </row>
    <row r="560" spans="1:13" ht="51" customHeight="1" x14ac:dyDescent="0.25">
      <c r="A560" s="150" t="s">
        <v>992</v>
      </c>
      <c r="B560" s="135" t="s">
        <v>993</v>
      </c>
      <c r="C560" s="135" t="s">
        <v>994</v>
      </c>
      <c r="D560" s="45"/>
      <c r="E560" s="46">
        <f>SUM(E561:E563)</f>
        <v>2120.3000000000002</v>
      </c>
      <c r="F560" s="46">
        <f>SUM(F561:F563)</f>
        <v>2450</v>
      </c>
      <c r="G560" s="46">
        <f>SUM(G561:G563)</f>
        <v>2494.1</v>
      </c>
      <c r="H560" s="46">
        <f>SUM(H561:H563)</f>
        <v>2548.9</v>
      </c>
      <c r="I560" s="14" t="s">
        <v>995</v>
      </c>
      <c r="J560" s="45" t="s">
        <v>315</v>
      </c>
      <c r="K560" s="45" t="s">
        <v>67</v>
      </c>
      <c r="L560" s="45" t="s">
        <v>67</v>
      </c>
      <c r="M560" s="71" t="s">
        <v>67</v>
      </c>
    </row>
    <row r="561" spans="1:13" ht="25.5" x14ac:dyDescent="0.25">
      <c r="A561" s="151"/>
      <c r="B561" s="136"/>
      <c r="C561" s="136"/>
      <c r="D561" s="39" t="s">
        <v>557</v>
      </c>
      <c r="E561" s="115">
        <v>1555.2</v>
      </c>
      <c r="F561" s="47">
        <v>1850</v>
      </c>
      <c r="G561" s="47">
        <v>1883.3</v>
      </c>
      <c r="H561" s="47">
        <v>1924.7</v>
      </c>
      <c r="I561" s="17" t="s">
        <v>996</v>
      </c>
      <c r="J561" s="39" t="s">
        <v>315</v>
      </c>
      <c r="K561" s="39" t="s">
        <v>997</v>
      </c>
      <c r="L561" s="39" t="s">
        <v>998</v>
      </c>
      <c r="M561" s="72" t="s">
        <v>999</v>
      </c>
    </row>
    <row r="562" spans="1:13" x14ac:dyDescent="0.25">
      <c r="A562" s="151"/>
      <c r="B562" s="136"/>
      <c r="C562" s="136"/>
      <c r="D562" s="39" t="s">
        <v>28</v>
      </c>
      <c r="E562" s="115">
        <v>565.1</v>
      </c>
      <c r="F562" s="47">
        <v>600</v>
      </c>
      <c r="G562" s="47">
        <v>610.79999999999995</v>
      </c>
      <c r="H562" s="47">
        <v>624.20000000000005</v>
      </c>
      <c r="I562" s="17" t="s">
        <v>1000</v>
      </c>
      <c r="J562" s="39" t="s">
        <v>315</v>
      </c>
      <c r="K562" s="39" t="s">
        <v>600</v>
      </c>
      <c r="L562" s="39" t="s">
        <v>964</v>
      </c>
      <c r="M562" s="72" t="s">
        <v>1001</v>
      </c>
    </row>
    <row r="563" spans="1:13" ht="39" thickBot="1" x14ac:dyDescent="0.3">
      <c r="A563" s="152"/>
      <c r="B563" s="137"/>
      <c r="C563" s="137"/>
      <c r="D563" s="39"/>
      <c r="E563" s="115"/>
      <c r="F563" s="47"/>
      <c r="G563" s="47"/>
      <c r="H563" s="47"/>
      <c r="I563" s="17" t="s">
        <v>1002</v>
      </c>
      <c r="J563" s="39" t="s">
        <v>94</v>
      </c>
      <c r="K563" s="39" t="s">
        <v>189</v>
      </c>
      <c r="L563" s="39" t="s">
        <v>189</v>
      </c>
      <c r="M563" s="72" t="s">
        <v>189</v>
      </c>
    </row>
    <row r="564" spans="1:13" ht="39" thickBot="1" x14ac:dyDescent="0.3">
      <c r="A564" s="12" t="s">
        <v>1003</v>
      </c>
      <c r="B564" s="13" t="s">
        <v>1004</v>
      </c>
      <c r="C564" s="14" t="s">
        <v>994</v>
      </c>
      <c r="D564" s="45" t="s">
        <v>557</v>
      </c>
      <c r="E564" s="116">
        <v>132.80000000000001</v>
      </c>
      <c r="F564" s="55">
        <v>136.80000000000001</v>
      </c>
      <c r="G564" s="55">
        <v>140.9</v>
      </c>
      <c r="H564" s="55">
        <v>144</v>
      </c>
      <c r="I564" s="14" t="s">
        <v>1005</v>
      </c>
      <c r="J564" s="45" t="s">
        <v>315</v>
      </c>
      <c r="K564" s="45" t="s">
        <v>701</v>
      </c>
      <c r="L564" s="45" t="s">
        <v>701</v>
      </c>
      <c r="M564" s="71" t="s">
        <v>701</v>
      </c>
    </row>
    <row r="565" spans="1:13" ht="63.75" customHeight="1" x14ac:dyDescent="0.25">
      <c r="A565" s="150" t="s">
        <v>1006</v>
      </c>
      <c r="B565" s="135" t="s">
        <v>1007</v>
      </c>
      <c r="C565" s="135" t="s">
        <v>1008</v>
      </c>
      <c r="D565" s="45"/>
      <c r="E565" s="117">
        <f>SUM(E566:E567)</f>
        <v>175</v>
      </c>
      <c r="F565" s="46">
        <f>SUM(F566:F567)</f>
        <v>211.5</v>
      </c>
      <c r="G565" s="46">
        <f>SUM(G566:G567)</f>
        <v>213.9</v>
      </c>
      <c r="H565" s="46">
        <f>SUM(H566:H567)</f>
        <v>216.9</v>
      </c>
      <c r="I565" s="14" t="s">
        <v>1009</v>
      </c>
      <c r="J565" s="45" t="s">
        <v>94</v>
      </c>
      <c r="K565" s="45" t="s">
        <v>1010</v>
      </c>
      <c r="L565" s="45" t="s">
        <v>50</v>
      </c>
      <c r="M565" s="71" t="s">
        <v>512</v>
      </c>
    </row>
    <row r="566" spans="1:13" ht="38.25" x14ac:dyDescent="0.25">
      <c r="A566" s="151"/>
      <c r="B566" s="136"/>
      <c r="C566" s="136"/>
      <c r="D566" s="39" t="s">
        <v>157</v>
      </c>
      <c r="E566" s="118">
        <v>100</v>
      </c>
      <c r="F566" s="47">
        <v>136.5</v>
      </c>
      <c r="G566" s="47">
        <v>138.9</v>
      </c>
      <c r="H566" s="47">
        <v>141.9</v>
      </c>
      <c r="I566" s="17" t="s">
        <v>1011</v>
      </c>
      <c r="J566" s="39" t="s">
        <v>94</v>
      </c>
      <c r="K566" s="39" t="s">
        <v>123</v>
      </c>
      <c r="L566" s="39" t="s">
        <v>305</v>
      </c>
      <c r="M566" s="72" t="s">
        <v>286</v>
      </c>
    </row>
    <row r="567" spans="1:13" ht="26.25" thickBot="1" x14ac:dyDescent="0.3">
      <c r="A567" s="152"/>
      <c r="B567" s="137"/>
      <c r="C567" s="137"/>
      <c r="D567" s="39" t="s">
        <v>28</v>
      </c>
      <c r="E567" s="118">
        <v>75</v>
      </c>
      <c r="F567" s="47">
        <v>75</v>
      </c>
      <c r="G567" s="47">
        <v>75</v>
      </c>
      <c r="H567" s="47">
        <v>75</v>
      </c>
      <c r="I567" s="17" t="s">
        <v>1012</v>
      </c>
      <c r="J567" s="39" t="s">
        <v>94</v>
      </c>
      <c r="K567" s="39" t="s">
        <v>189</v>
      </c>
      <c r="L567" s="39" t="s">
        <v>189</v>
      </c>
      <c r="M567" s="72" t="s">
        <v>189</v>
      </c>
    </row>
    <row r="568" spans="1:13" x14ac:dyDescent="0.25">
      <c r="A568" s="150" t="s">
        <v>1013</v>
      </c>
      <c r="B568" s="135" t="s">
        <v>1014</v>
      </c>
      <c r="C568" s="135" t="s">
        <v>994</v>
      </c>
      <c r="D568" s="45"/>
      <c r="E568" s="117">
        <f>SUM(E569:E572)</f>
        <v>246.3</v>
      </c>
      <c r="F568" s="46">
        <f>SUM(F569:F572)</f>
        <v>474.20000000000005</v>
      </c>
      <c r="G568" s="46">
        <f>SUM(G569:G572)</f>
        <v>479</v>
      </c>
      <c r="H568" s="46">
        <f>SUM(H569:H572)</f>
        <v>485</v>
      </c>
      <c r="I568" s="14" t="s">
        <v>995</v>
      </c>
      <c r="J568" s="45" t="s">
        <v>315</v>
      </c>
      <c r="K568" s="45" t="s">
        <v>208</v>
      </c>
      <c r="L568" s="45" t="s">
        <v>70</v>
      </c>
      <c r="M568" s="71" t="s">
        <v>70</v>
      </c>
    </row>
    <row r="569" spans="1:13" ht="38.25" x14ac:dyDescent="0.25">
      <c r="A569" s="151"/>
      <c r="B569" s="136"/>
      <c r="C569" s="136"/>
      <c r="D569" s="39" t="s">
        <v>557</v>
      </c>
      <c r="E569" s="39">
        <v>116.9</v>
      </c>
      <c r="F569" s="47">
        <v>122.1</v>
      </c>
      <c r="G569" s="47">
        <v>124.3</v>
      </c>
      <c r="H569" s="47">
        <v>127</v>
      </c>
      <c r="I569" s="17" t="s">
        <v>1015</v>
      </c>
      <c r="J569" s="39" t="s">
        <v>94</v>
      </c>
      <c r="K569" s="39" t="s">
        <v>189</v>
      </c>
      <c r="L569" s="39" t="s">
        <v>189</v>
      </c>
      <c r="M569" s="72" t="s">
        <v>189</v>
      </c>
    </row>
    <row r="570" spans="1:13" ht="38.25" customHeight="1" x14ac:dyDescent="0.25">
      <c r="A570" s="151"/>
      <c r="B570" s="136"/>
      <c r="C570" s="136"/>
      <c r="D570" s="39" t="s">
        <v>28</v>
      </c>
      <c r="E570" s="53">
        <v>70</v>
      </c>
      <c r="F570" s="47">
        <v>205</v>
      </c>
      <c r="G570" s="47">
        <v>205</v>
      </c>
      <c r="H570" s="47">
        <v>205</v>
      </c>
      <c r="I570" s="144" t="s">
        <v>1016</v>
      </c>
      <c r="J570" s="146" t="s">
        <v>94</v>
      </c>
      <c r="K570" s="146" t="s">
        <v>189</v>
      </c>
      <c r="L570" s="146" t="s">
        <v>189</v>
      </c>
      <c r="M570" s="148" t="s">
        <v>189</v>
      </c>
    </row>
    <row r="571" spans="1:13" ht="38.25" customHeight="1" x14ac:dyDescent="0.25">
      <c r="A571" s="151"/>
      <c r="B571" s="136"/>
      <c r="C571" s="136"/>
      <c r="D571" s="39" t="s">
        <v>190</v>
      </c>
      <c r="E571" s="39">
        <v>59.4</v>
      </c>
      <c r="F571" s="47"/>
      <c r="G571" s="47"/>
      <c r="H571" s="47"/>
      <c r="I571" s="136"/>
      <c r="J571" s="139"/>
      <c r="K571" s="139"/>
      <c r="L571" s="139"/>
      <c r="M571" s="142"/>
    </row>
    <row r="572" spans="1:13" ht="15.75" thickBot="1" x14ac:dyDescent="0.3">
      <c r="A572" s="152"/>
      <c r="B572" s="137"/>
      <c r="C572" s="137"/>
      <c r="D572" s="39" t="s">
        <v>157</v>
      </c>
      <c r="E572" s="39"/>
      <c r="F572" s="47">
        <v>147.1</v>
      </c>
      <c r="G572" s="47">
        <v>149.69999999999999</v>
      </c>
      <c r="H572" s="47">
        <v>153</v>
      </c>
      <c r="I572" s="137"/>
      <c r="J572" s="140"/>
      <c r="K572" s="140"/>
      <c r="L572" s="140"/>
      <c r="M572" s="143"/>
    </row>
    <row r="573" spans="1:13" ht="25.5" x14ac:dyDescent="0.25">
      <c r="A573" s="150" t="s">
        <v>1017</v>
      </c>
      <c r="B573" s="135" t="s">
        <v>1018</v>
      </c>
      <c r="C573" s="135" t="s">
        <v>1019</v>
      </c>
      <c r="D573" s="45"/>
      <c r="E573" s="117">
        <f>SUM(E574:E581)</f>
        <v>5075.2000000000007</v>
      </c>
      <c r="F573" s="46">
        <f>SUM(F574:F581)</f>
        <v>5685.9000000000005</v>
      </c>
      <c r="G573" s="46">
        <f>SUM(G574:G581)</f>
        <v>5739</v>
      </c>
      <c r="H573" s="46">
        <f>SUM(H574:H581)</f>
        <v>5267.0999999999995</v>
      </c>
      <c r="I573" s="14" t="s">
        <v>1020</v>
      </c>
      <c r="J573" s="45" t="s">
        <v>315</v>
      </c>
      <c r="K573" s="45" t="s">
        <v>573</v>
      </c>
      <c r="L573" s="45" t="s">
        <v>573</v>
      </c>
      <c r="M573" s="71" t="s">
        <v>573</v>
      </c>
    </row>
    <row r="574" spans="1:13" ht="25.5" x14ac:dyDescent="0.25">
      <c r="A574" s="151"/>
      <c r="B574" s="136"/>
      <c r="C574" s="136"/>
      <c r="D574" s="39" t="s">
        <v>28</v>
      </c>
      <c r="E574" s="115">
        <v>3337.3</v>
      </c>
      <c r="F574" s="47">
        <v>4166.2</v>
      </c>
      <c r="G574" s="47">
        <v>4264.3</v>
      </c>
      <c r="H574" s="47">
        <v>4358.2</v>
      </c>
      <c r="I574" s="17" t="s">
        <v>1021</v>
      </c>
      <c r="J574" s="39" t="s">
        <v>315</v>
      </c>
      <c r="K574" s="39" t="s">
        <v>1022</v>
      </c>
      <c r="L574" s="39" t="s">
        <v>1023</v>
      </c>
      <c r="M574" s="72" t="s">
        <v>1024</v>
      </c>
    </row>
    <row r="575" spans="1:13" ht="25.5" x14ac:dyDescent="0.25">
      <c r="A575" s="151"/>
      <c r="B575" s="136"/>
      <c r="C575" s="136"/>
      <c r="D575" s="39" t="s">
        <v>139</v>
      </c>
      <c r="E575" s="118">
        <v>474</v>
      </c>
      <c r="F575" s="47">
        <v>535.79999999999995</v>
      </c>
      <c r="G575" s="47">
        <v>550.9</v>
      </c>
      <c r="H575" s="47">
        <v>566</v>
      </c>
      <c r="I575" s="17" t="s">
        <v>1025</v>
      </c>
      <c r="J575" s="39" t="s">
        <v>315</v>
      </c>
      <c r="K575" s="39" t="s">
        <v>114</v>
      </c>
      <c r="L575" s="39" t="s">
        <v>114</v>
      </c>
      <c r="M575" s="72" t="s">
        <v>114</v>
      </c>
    </row>
    <row r="576" spans="1:13" ht="25.5" x14ac:dyDescent="0.25">
      <c r="A576" s="151"/>
      <c r="B576" s="136"/>
      <c r="C576" s="136"/>
      <c r="D576" s="39" t="s">
        <v>148</v>
      </c>
      <c r="E576" s="115">
        <v>302.3</v>
      </c>
      <c r="F576" s="47">
        <v>212.6</v>
      </c>
      <c r="G576" s="47">
        <v>216.4</v>
      </c>
      <c r="H576" s="47">
        <v>221.2</v>
      </c>
      <c r="I576" s="17" t="s">
        <v>1026</v>
      </c>
      <c r="J576" s="39" t="s">
        <v>315</v>
      </c>
      <c r="K576" s="39" t="s">
        <v>1027</v>
      </c>
      <c r="L576" s="39" t="s">
        <v>1027</v>
      </c>
      <c r="M576" s="72" t="s">
        <v>1027</v>
      </c>
    </row>
    <row r="577" spans="1:13" x14ac:dyDescent="0.25">
      <c r="A577" s="151"/>
      <c r="B577" s="136"/>
      <c r="C577" s="136"/>
      <c r="D577" s="39" t="s">
        <v>557</v>
      </c>
      <c r="E577" s="115">
        <v>517.5</v>
      </c>
      <c r="F577" s="47">
        <v>533</v>
      </c>
      <c r="G577" s="47">
        <v>549.1</v>
      </c>
      <c r="H577" s="47"/>
      <c r="I577" s="144" t="s">
        <v>1028</v>
      </c>
      <c r="J577" s="146" t="s">
        <v>315</v>
      </c>
      <c r="K577" s="146" t="s">
        <v>604</v>
      </c>
      <c r="L577" s="146" t="s">
        <v>604</v>
      </c>
      <c r="M577" s="148" t="s">
        <v>604</v>
      </c>
    </row>
    <row r="578" spans="1:13" x14ac:dyDescent="0.25">
      <c r="A578" s="151"/>
      <c r="B578" s="136"/>
      <c r="C578" s="136"/>
      <c r="D578" s="39" t="s">
        <v>190</v>
      </c>
      <c r="E578" s="118">
        <v>169</v>
      </c>
      <c r="F578" s="47"/>
      <c r="G578" s="47"/>
      <c r="H578" s="47"/>
      <c r="I578" s="145"/>
      <c r="J578" s="147"/>
      <c r="K578" s="147"/>
      <c r="L578" s="147"/>
      <c r="M578" s="149"/>
    </row>
    <row r="579" spans="1:13" x14ac:dyDescent="0.25">
      <c r="A579" s="151"/>
      <c r="B579" s="136"/>
      <c r="C579" s="136"/>
      <c r="D579" s="39" t="s">
        <v>162</v>
      </c>
      <c r="E579" s="115">
        <v>165.6</v>
      </c>
      <c r="F579" s="47">
        <v>160.69999999999999</v>
      </c>
      <c r="G579" s="47">
        <v>106.5</v>
      </c>
      <c r="H579" s="47">
        <v>86.2</v>
      </c>
      <c r="I579" s="17" t="s">
        <v>1029</v>
      </c>
      <c r="J579" s="39" t="s">
        <v>315</v>
      </c>
      <c r="K579" s="39" t="s">
        <v>300</v>
      </c>
      <c r="L579" s="39" t="s">
        <v>1030</v>
      </c>
      <c r="M579" s="72" t="s">
        <v>913</v>
      </c>
    </row>
    <row r="580" spans="1:13" ht="25.5" x14ac:dyDescent="0.25">
      <c r="A580" s="151"/>
      <c r="B580" s="136"/>
      <c r="C580" s="136"/>
      <c r="D580" s="39" t="s">
        <v>152</v>
      </c>
      <c r="E580" s="115">
        <v>45.3</v>
      </c>
      <c r="F580" s="47">
        <v>35.1</v>
      </c>
      <c r="G580" s="47">
        <v>35.299999999999997</v>
      </c>
      <c r="H580" s="47">
        <v>35.5</v>
      </c>
      <c r="I580" s="17" t="s">
        <v>1031</v>
      </c>
      <c r="J580" s="39" t="s">
        <v>315</v>
      </c>
      <c r="K580" s="39" t="s">
        <v>322</v>
      </c>
      <c r="L580" s="39" t="s">
        <v>114</v>
      </c>
      <c r="M580" s="72" t="s">
        <v>114</v>
      </c>
    </row>
    <row r="581" spans="1:13" ht="26.25" thickBot="1" x14ac:dyDescent="0.3">
      <c r="A581" s="152"/>
      <c r="B581" s="137"/>
      <c r="C581" s="137"/>
      <c r="D581" s="39" t="s">
        <v>157</v>
      </c>
      <c r="E581" s="115">
        <v>64.2</v>
      </c>
      <c r="F581" s="47">
        <v>42.5</v>
      </c>
      <c r="G581" s="47">
        <v>16.5</v>
      </c>
      <c r="H581" s="47"/>
      <c r="I581" s="17" t="s">
        <v>1032</v>
      </c>
      <c r="J581" s="39" t="s">
        <v>315</v>
      </c>
      <c r="K581" s="39" t="s">
        <v>1033</v>
      </c>
      <c r="L581" s="39" t="s">
        <v>291</v>
      </c>
      <c r="M581" s="72" t="s">
        <v>291</v>
      </c>
    </row>
    <row r="582" spans="1:13" ht="25.5" customHeight="1" x14ac:dyDescent="0.25">
      <c r="A582" s="150" t="s">
        <v>1034</v>
      </c>
      <c r="B582" s="135" t="s">
        <v>1035</v>
      </c>
      <c r="C582" s="135" t="s">
        <v>994</v>
      </c>
      <c r="D582" s="45" t="s">
        <v>28</v>
      </c>
      <c r="E582" s="116">
        <v>674.2</v>
      </c>
      <c r="F582" s="46">
        <f>SUM(F583:F585)+761</f>
        <v>761</v>
      </c>
      <c r="G582" s="46">
        <f>SUM(G583:G585)+774.7</f>
        <v>774.7</v>
      </c>
      <c r="H582" s="46">
        <f>SUM(H583:H585)+791.7</f>
        <v>791.7</v>
      </c>
      <c r="I582" s="14" t="s">
        <v>1036</v>
      </c>
      <c r="J582" s="45" t="s">
        <v>315</v>
      </c>
      <c r="K582" s="45" t="s">
        <v>1037</v>
      </c>
      <c r="L582" s="45" t="s">
        <v>1038</v>
      </c>
      <c r="M582" s="71" t="s">
        <v>1038</v>
      </c>
    </row>
    <row r="583" spans="1:13" x14ac:dyDescent="0.25">
      <c r="A583" s="151"/>
      <c r="B583" s="136"/>
      <c r="C583" s="136"/>
      <c r="D583" s="39"/>
      <c r="E583" s="115"/>
      <c r="F583" s="47"/>
      <c r="G583" s="47"/>
      <c r="H583" s="47"/>
      <c r="I583" s="17" t="s">
        <v>1039</v>
      </c>
      <c r="J583" s="39" t="s">
        <v>315</v>
      </c>
      <c r="K583" s="39" t="s">
        <v>316</v>
      </c>
      <c r="L583" s="39" t="s">
        <v>604</v>
      </c>
      <c r="M583" s="72" t="s">
        <v>69</v>
      </c>
    </row>
    <row r="584" spans="1:13" ht="38.25" x14ac:dyDescent="0.25">
      <c r="A584" s="151"/>
      <c r="B584" s="136"/>
      <c r="C584" s="136"/>
      <c r="D584" s="39"/>
      <c r="E584" s="115"/>
      <c r="F584" s="47"/>
      <c r="G584" s="47"/>
      <c r="H584" s="47"/>
      <c r="I584" s="17" t="s">
        <v>1040</v>
      </c>
      <c r="J584" s="39" t="s">
        <v>315</v>
      </c>
      <c r="K584" s="39" t="s">
        <v>120</v>
      </c>
      <c r="L584" s="39" t="s">
        <v>120</v>
      </c>
      <c r="M584" s="72" t="s">
        <v>120</v>
      </c>
    </row>
    <row r="585" spans="1:13" ht="26.25" thickBot="1" x14ac:dyDescent="0.3">
      <c r="A585" s="152"/>
      <c r="B585" s="137"/>
      <c r="C585" s="137"/>
      <c r="D585" s="39"/>
      <c r="E585" s="115"/>
      <c r="F585" s="47"/>
      <c r="G585" s="47"/>
      <c r="H585" s="47"/>
      <c r="I585" s="17" t="s">
        <v>1041</v>
      </c>
      <c r="J585" s="39" t="s">
        <v>315</v>
      </c>
      <c r="K585" s="39" t="s">
        <v>30</v>
      </c>
      <c r="L585" s="39" t="s">
        <v>30</v>
      </c>
      <c r="M585" s="72"/>
    </row>
    <row r="586" spans="1:13" ht="25.5" customHeight="1" x14ac:dyDescent="0.25">
      <c r="A586" s="150" t="s">
        <v>1042</v>
      </c>
      <c r="B586" s="135" t="s">
        <v>1043</v>
      </c>
      <c r="C586" s="135" t="s">
        <v>994</v>
      </c>
      <c r="D586" s="45"/>
      <c r="E586" s="117">
        <f>SUM(E587:E588)</f>
        <v>238.3</v>
      </c>
      <c r="F586" s="46">
        <f>SUM(F587:F588)</f>
        <v>239.6</v>
      </c>
      <c r="G586" s="46">
        <f>SUM(G587:G588)</f>
        <v>243.89999999999998</v>
      </c>
      <c r="H586" s="46">
        <f>SUM(H587:H588)</f>
        <v>249.20000000000002</v>
      </c>
      <c r="I586" s="14" t="s">
        <v>1044</v>
      </c>
      <c r="J586" s="45" t="s">
        <v>315</v>
      </c>
      <c r="K586" s="45" t="s">
        <v>604</v>
      </c>
      <c r="L586" s="45" t="s">
        <v>604</v>
      </c>
      <c r="M586" s="71" t="s">
        <v>604</v>
      </c>
    </row>
    <row r="587" spans="1:13" x14ac:dyDescent="0.25">
      <c r="A587" s="151"/>
      <c r="B587" s="136"/>
      <c r="C587" s="136"/>
      <c r="D587" s="39" t="s">
        <v>157</v>
      </c>
      <c r="E587" s="39">
        <v>187.9</v>
      </c>
      <c r="F587" s="47">
        <v>189.2</v>
      </c>
      <c r="G587" s="47">
        <v>192.6</v>
      </c>
      <c r="H587" s="47">
        <v>196.8</v>
      </c>
      <c r="I587" s="144" t="s">
        <v>1045</v>
      </c>
      <c r="J587" s="146" t="s">
        <v>315</v>
      </c>
      <c r="K587" s="146" t="s">
        <v>1046</v>
      </c>
      <c r="L587" s="146" t="s">
        <v>1046</v>
      </c>
      <c r="M587" s="148" t="s">
        <v>1046</v>
      </c>
    </row>
    <row r="588" spans="1:13" ht="15.75" thickBot="1" x14ac:dyDescent="0.3">
      <c r="A588" s="152"/>
      <c r="B588" s="137"/>
      <c r="C588" s="137"/>
      <c r="D588" s="39" t="s">
        <v>28</v>
      </c>
      <c r="E588" s="39">
        <v>50.4</v>
      </c>
      <c r="F588" s="47">
        <v>50.4</v>
      </c>
      <c r="G588" s="47">
        <v>51.3</v>
      </c>
      <c r="H588" s="47">
        <v>52.4</v>
      </c>
      <c r="I588" s="137"/>
      <c r="J588" s="140"/>
      <c r="K588" s="140"/>
      <c r="L588" s="140"/>
      <c r="M588" s="143"/>
    </row>
    <row r="589" spans="1:13" ht="25.5" customHeight="1" x14ac:dyDescent="0.25">
      <c r="A589" s="150" t="s">
        <v>1047</v>
      </c>
      <c r="B589" s="135" t="s">
        <v>1048</v>
      </c>
      <c r="C589" s="135" t="s">
        <v>994</v>
      </c>
      <c r="D589" s="45"/>
      <c r="E589" s="117">
        <f>SUM(E590:E591)</f>
        <v>213.9</v>
      </c>
      <c r="F589" s="46">
        <f>SUM(F590:F591)</f>
        <v>239.10000000000002</v>
      </c>
      <c r="G589" s="46">
        <f>SUM(G590:G591)</f>
        <v>257.79999999999995</v>
      </c>
      <c r="H589" s="46">
        <f>SUM(H590:H591)</f>
        <v>259.79999999999995</v>
      </c>
      <c r="I589" s="14" t="s">
        <v>1049</v>
      </c>
      <c r="J589" s="45" t="s">
        <v>315</v>
      </c>
      <c r="K589" s="45" t="s">
        <v>1001</v>
      </c>
      <c r="L589" s="45" t="s">
        <v>579</v>
      </c>
      <c r="M589" s="71" t="s">
        <v>581</v>
      </c>
    </row>
    <row r="590" spans="1:13" ht="51" x14ac:dyDescent="0.25">
      <c r="A590" s="151"/>
      <c r="B590" s="136"/>
      <c r="C590" s="136"/>
      <c r="D590" s="39" t="s">
        <v>148</v>
      </c>
      <c r="E590" s="115">
        <v>137.30000000000001</v>
      </c>
      <c r="F590" s="47">
        <v>154.80000000000001</v>
      </c>
      <c r="G590" s="47">
        <v>172.2</v>
      </c>
      <c r="H590" s="47">
        <v>172.2</v>
      </c>
      <c r="I590" s="17" t="s">
        <v>1050</v>
      </c>
      <c r="J590" s="39" t="s">
        <v>94</v>
      </c>
      <c r="K590" s="39" t="s">
        <v>592</v>
      </c>
      <c r="L590" s="39" t="s">
        <v>104</v>
      </c>
      <c r="M590" s="72" t="s">
        <v>105</v>
      </c>
    </row>
    <row r="591" spans="1:13" ht="51.75" thickBot="1" x14ac:dyDescent="0.3">
      <c r="A591" s="152"/>
      <c r="B591" s="137"/>
      <c r="C591" s="137"/>
      <c r="D591" s="39" t="s">
        <v>28</v>
      </c>
      <c r="E591" s="115">
        <v>76.599999999999994</v>
      </c>
      <c r="F591" s="47">
        <v>84.3</v>
      </c>
      <c r="G591" s="47">
        <v>85.6</v>
      </c>
      <c r="H591" s="47">
        <v>87.6</v>
      </c>
      <c r="I591" s="17" t="s">
        <v>1051</v>
      </c>
      <c r="J591" s="39" t="s">
        <v>94</v>
      </c>
      <c r="K591" s="39" t="s">
        <v>399</v>
      </c>
      <c r="L591" s="39" t="s">
        <v>305</v>
      </c>
      <c r="M591" s="72" t="s">
        <v>305</v>
      </c>
    </row>
    <row r="592" spans="1:13" ht="38.25" customHeight="1" x14ac:dyDescent="0.25">
      <c r="A592" s="150" t="s">
        <v>1052</v>
      </c>
      <c r="B592" s="135" t="s">
        <v>1053</v>
      </c>
      <c r="C592" s="135" t="s">
        <v>1054</v>
      </c>
      <c r="D592" s="45" t="s">
        <v>28</v>
      </c>
      <c r="E592" s="119">
        <v>200</v>
      </c>
      <c r="F592" s="46">
        <f>SUM(F593:F593)+200</f>
        <v>200</v>
      </c>
      <c r="G592" s="46">
        <f>SUM(G593:G593)+203.6</f>
        <v>203.6</v>
      </c>
      <c r="H592" s="46">
        <f>SUM(H593:H593)+208.1</f>
        <v>208.1</v>
      </c>
      <c r="I592" s="14" t="s">
        <v>1055</v>
      </c>
      <c r="J592" s="45" t="s">
        <v>315</v>
      </c>
      <c r="K592" s="45" t="s">
        <v>757</v>
      </c>
      <c r="L592" s="45" t="s">
        <v>757</v>
      </c>
      <c r="M592" s="71" t="s">
        <v>757</v>
      </c>
    </row>
    <row r="593" spans="1:13" ht="39" thickBot="1" x14ac:dyDescent="0.3">
      <c r="A593" s="152"/>
      <c r="B593" s="137"/>
      <c r="C593" s="137"/>
      <c r="D593" s="39"/>
      <c r="E593" s="115"/>
      <c r="F593" s="47"/>
      <c r="G593" s="47"/>
      <c r="H593" s="47"/>
      <c r="I593" s="17" t="s">
        <v>1056</v>
      </c>
      <c r="J593" s="39" t="s">
        <v>94</v>
      </c>
      <c r="K593" s="39" t="s">
        <v>189</v>
      </c>
      <c r="L593" s="39" t="s">
        <v>189</v>
      </c>
      <c r="M593" s="72" t="s">
        <v>189</v>
      </c>
    </row>
    <row r="594" spans="1:13" ht="89.25" customHeight="1" x14ac:dyDescent="0.25">
      <c r="A594" s="150" t="s">
        <v>1057</v>
      </c>
      <c r="B594" s="135" t="s">
        <v>1058</v>
      </c>
      <c r="C594" s="135" t="s">
        <v>1059</v>
      </c>
      <c r="D594" s="45"/>
      <c r="E594" s="117">
        <f>SUM(E595:E597)</f>
        <v>369</v>
      </c>
      <c r="F594" s="46">
        <f>SUM(F595:F597)</f>
        <v>150.1</v>
      </c>
      <c r="G594" s="46"/>
      <c r="H594" s="46"/>
      <c r="I594" s="14" t="s">
        <v>1060</v>
      </c>
      <c r="J594" s="45" t="s">
        <v>94</v>
      </c>
      <c r="K594" s="45" t="s">
        <v>22</v>
      </c>
      <c r="L594" s="45"/>
      <c r="M594" s="71"/>
    </row>
    <row r="595" spans="1:13" x14ac:dyDescent="0.25">
      <c r="A595" s="151"/>
      <c r="B595" s="136"/>
      <c r="C595" s="136"/>
      <c r="D595" s="39" t="s">
        <v>216</v>
      </c>
      <c r="E595" s="115">
        <v>354.9</v>
      </c>
      <c r="F595" s="47">
        <v>0.1</v>
      </c>
      <c r="G595" s="47"/>
      <c r="H595" s="47"/>
      <c r="I595" s="144" t="s">
        <v>1045</v>
      </c>
      <c r="J595" s="146" t="s">
        <v>315</v>
      </c>
      <c r="K595" s="146" t="s">
        <v>1061</v>
      </c>
      <c r="L595" s="146"/>
      <c r="M595" s="148"/>
    </row>
    <row r="596" spans="1:13" x14ac:dyDescent="0.25">
      <c r="A596" s="151"/>
      <c r="B596" s="136"/>
      <c r="C596" s="136"/>
      <c r="D596" s="39" t="s">
        <v>190</v>
      </c>
      <c r="E596" s="115">
        <v>9.6</v>
      </c>
      <c r="F596" s="47"/>
      <c r="G596" s="47"/>
      <c r="H596" s="47"/>
      <c r="I596" s="136"/>
      <c r="J596" s="139"/>
      <c r="K596" s="139"/>
      <c r="L596" s="139"/>
      <c r="M596" s="142"/>
    </row>
    <row r="597" spans="1:13" ht="15.75" thickBot="1" x14ac:dyDescent="0.3">
      <c r="A597" s="152"/>
      <c r="B597" s="137"/>
      <c r="C597" s="137"/>
      <c r="D597" s="39" t="s">
        <v>28</v>
      </c>
      <c r="E597" s="115">
        <v>4.5</v>
      </c>
      <c r="F597" s="47">
        <v>150</v>
      </c>
      <c r="G597" s="47"/>
      <c r="H597" s="47"/>
      <c r="I597" s="137"/>
      <c r="J597" s="140"/>
      <c r="K597" s="140"/>
      <c r="L597" s="140"/>
      <c r="M597" s="143"/>
    </row>
    <row r="598" spans="1:13" ht="38.25" customHeight="1" x14ac:dyDescent="0.25">
      <c r="A598" s="150" t="s">
        <v>1062</v>
      </c>
      <c r="B598" s="135" t="s">
        <v>1063</v>
      </c>
      <c r="C598" s="135" t="s">
        <v>1064</v>
      </c>
      <c r="D598" s="45"/>
      <c r="E598" s="117">
        <f>SUM(E599:E601)</f>
        <v>424.40000000000003</v>
      </c>
      <c r="F598" s="46">
        <f>SUM(F599:F601)</f>
        <v>280.5</v>
      </c>
      <c r="G598" s="46"/>
      <c r="H598" s="46"/>
      <c r="I598" s="135" t="s">
        <v>1045</v>
      </c>
      <c r="J598" s="138" t="s">
        <v>315</v>
      </c>
      <c r="K598" s="138" t="s">
        <v>1065</v>
      </c>
      <c r="L598" s="138"/>
      <c r="M598" s="141"/>
    </row>
    <row r="599" spans="1:13" x14ac:dyDescent="0.25">
      <c r="A599" s="151"/>
      <c r="B599" s="136"/>
      <c r="C599" s="136"/>
      <c r="D599" s="39" t="s">
        <v>216</v>
      </c>
      <c r="E599" s="39">
        <v>419.3</v>
      </c>
      <c r="F599" s="47">
        <v>274</v>
      </c>
      <c r="G599" s="47"/>
      <c r="H599" s="47"/>
      <c r="I599" s="136"/>
      <c r="J599" s="139"/>
      <c r="K599" s="139"/>
      <c r="L599" s="139"/>
      <c r="M599" s="142"/>
    </row>
    <row r="600" spans="1:13" x14ac:dyDescent="0.25">
      <c r="A600" s="151"/>
      <c r="B600" s="136"/>
      <c r="C600" s="136"/>
      <c r="D600" s="39" t="s">
        <v>190</v>
      </c>
      <c r="E600" s="39">
        <v>0.1</v>
      </c>
      <c r="F600" s="47"/>
      <c r="G600" s="47"/>
      <c r="H600" s="47"/>
      <c r="I600" s="136"/>
      <c r="J600" s="139"/>
      <c r="K600" s="139"/>
      <c r="L600" s="139"/>
      <c r="M600" s="142"/>
    </row>
    <row r="601" spans="1:13" ht="15.75" thickBot="1" x14ac:dyDescent="0.3">
      <c r="A601" s="152"/>
      <c r="B601" s="137"/>
      <c r="C601" s="137"/>
      <c r="D601" s="39" t="s">
        <v>28</v>
      </c>
      <c r="E601" s="53">
        <v>5</v>
      </c>
      <c r="F601" s="47">
        <v>6.5</v>
      </c>
      <c r="G601" s="47"/>
      <c r="H601" s="47"/>
      <c r="I601" s="137"/>
      <c r="J601" s="140"/>
      <c r="K601" s="140"/>
      <c r="L601" s="140"/>
      <c r="M601" s="143"/>
    </row>
    <row r="602" spans="1:13" ht="38.25" customHeight="1" x14ac:dyDescent="0.25">
      <c r="A602" s="150" t="s">
        <v>1066</v>
      </c>
      <c r="B602" s="135" t="s">
        <v>1067</v>
      </c>
      <c r="C602" s="135" t="s">
        <v>1064</v>
      </c>
      <c r="D602" s="45"/>
      <c r="E602" s="117">
        <f>SUM(E603:E605)</f>
        <v>94.6</v>
      </c>
      <c r="F602" s="46">
        <f>SUM(F603:F605)</f>
        <v>264.10000000000002</v>
      </c>
      <c r="G602" s="46"/>
      <c r="H602" s="46"/>
      <c r="I602" s="14" t="s">
        <v>1068</v>
      </c>
      <c r="J602" s="45" t="s">
        <v>21</v>
      </c>
      <c r="K602" s="45" t="s">
        <v>30</v>
      </c>
      <c r="L602" s="45"/>
      <c r="M602" s="71"/>
    </row>
    <row r="603" spans="1:13" ht="25.5" x14ac:dyDescent="0.25">
      <c r="A603" s="151"/>
      <c r="B603" s="136"/>
      <c r="C603" s="136"/>
      <c r="D603" s="39" t="s">
        <v>190</v>
      </c>
      <c r="E603" s="115"/>
      <c r="F603" s="47">
        <v>60</v>
      </c>
      <c r="G603" s="47"/>
      <c r="H603" s="47"/>
      <c r="I603" s="17" t="s">
        <v>1069</v>
      </c>
      <c r="J603" s="39" t="s">
        <v>21</v>
      </c>
      <c r="K603" s="39" t="s">
        <v>30</v>
      </c>
      <c r="L603" s="39"/>
      <c r="M603" s="72"/>
    </row>
    <row r="604" spans="1:13" ht="25.5" x14ac:dyDescent="0.25">
      <c r="A604" s="151"/>
      <c r="B604" s="136"/>
      <c r="C604" s="136"/>
      <c r="D604" s="39" t="s">
        <v>28</v>
      </c>
      <c r="E604" s="115">
        <v>94.6</v>
      </c>
      <c r="F604" s="47">
        <v>204.1</v>
      </c>
      <c r="G604" s="47"/>
      <c r="H604" s="47"/>
      <c r="I604" s="17" t="s">
        <v>1070</v>
      </c>
      <c r="J604" s="39" t="s">
        <v>21</v>
      </c>
      <c r="K604" s="39" t="s">
        <v>286</v>
      </c>
      <c r="L604" s="39"/>
      <c r="M604" s="72"/>
    </row>
    <row r="605" spans="1:13" ht="26.25" thickBot="1" x14ac:dyDescent="0.3">
      <c r="A605" s="152"/>
      <c r="B605" s="137"/>
      <c r="C605" s="137"/>
      <c r="D605" s="39"/>
      <c r="E605" s="115"/>
      <c r="F605" s="47"/>
      <c r="G605" s="47"/>
      <c r="H605" s="47"/>
      <c r="I605" s="17" t="s">
        <v>1071</v>
      </c>
      <c r="J605" s="39" t="s">
        <v>21</v>
      </c>
      <c r="K605" s="39" t="s">
        <v>30</v>
      </c>
      <c r="L605" s="39"/>
      <c r="M605" s="72"/>
    </row>
    <row r="606" spans="1:13" x14ac:dyDescent="0.25">
      <c r="A606" s="150" t="s">
        <v>1072</v>
      </c>
      <c r="B606" s="135" t="s">
        <v>1073</v>
      </c>
      <c r="C606" s="135"/>
      <c r="D606" s="45" t="s">
        <v>28</v>
      </c>
      <c r="E606" s="116">
        <v>210.6</v>
      </c>
      <c r="F606" s="46">
        <f>SUM(F607:F609)+315.6</f>
        <v>315.60000000000002</v>
      </c>
      <c r="G606" s="46">
        <f>SUM(G607:G609)+321.3</f>
        <v>321.3</v>
      </c>
      <c r="H606" s="46">
        <f>SUM(H607:H609)+328.4</f>
        <v>328.4</v>
      </c>
      <c r="I606" s="14" t="s">
        <v>1074</v>
      </c>
      <c r="J606" s="45" t="s">
        <v>315</v>
      </c>
      <c r="K606" s="45" t="s">
        <v>120</v>
      </c>
      <c r="L606" s="45" t="s">
        <v>120</v>
      </c>
      <c r="M606" s="71" t="s">
        <v>120</v>
      </c>
    </row>
    <row r="607" spans="1:13" ht="25.5" x14ac:dyDescent="0.25">
      <c r="A607" s="151"/>
      <c r="B607" s="136"/>
      <c r="C607" s="136"/>
      <c r="D607" s="39"/>
      <c r="E607" s="115"/>
      <c r="F607" s="47"/>
      <c r="G607" s="47"/>
      <c r="H607" s="47"/>
      <c r="I607" s="17" t="s">
        <v>1075</v>
      </c>
      <c r="J607" s="39" t="s">
        <v>315</v>
      </c>
      <c r="K607" s="39" t="s">
        <v>106</v>
      </c>
      <c r="L607" s="39" t="s">
        <v>106</v>
      </c>
      <c r="M607" s="72" t="s">
        <v>106</v>
      </c>
    </row>
    <row r="608" spans="1:13" ht="25.5" x14ac:dyDescent="0.25">
      <c r="A608" s="151"/>
      <c r="B608" s="136"/>
      <c r="C608" s="136"/>
      <c r="D608" s="39"/>
      <c r="E608" s="39"/>
      <c r="F608" s="47"/>
      <c r="G608" s="47"/>
      <c r="H608" s="47"/>
      <c r="I608" s="17" t="s">
        <v>1076</v>
      </c>
      <c r="J608" s="39" t="s">
        <v>315</v>
      </c>
      <c r="K608" s="39" t="s">
        <v>104</v>
      </c>
      <c r="L608" s="39" t="s">
        <v>104</v>
      </c>
      <c r="M608" s="72" t="s">
        <v>104</v>
      </c>
    </row>
    <row r="609" spans="1:13" ht="15.75" thickBot="1" x14ac:dyDescent="0.3">
      <c r="A609" s="152"/>
      <c r="B609" s="137"/>
      <c r="C609" s="137"/>
      <c r="D609" s="39"/>
      <c r="E609" s="39"/>
      <c r="F609" s="47"/>
      <c r="G609" s="47"/>
      <c r="H609" s="47"/>
      <c r="I609" s="17" t="s">
        <v>1077</v>
      </c>
      <c r="J609" s="39" t="s">
        <v>315</v>
      </c>
      <c r="K609" s="39" t="s">
        <v>964</v>
      </c>
      <c r="L609" s="39" t="s">
        <v>964</v>
      </c>
      <c r="M609" s="72" t="s">
        <v>964</v>
      </c>
    </row>
    <row r="610" spans="1:13" ht="53.25" customHeight="1" thickBot="1" x14ac:dyDescent="0.3">
      <c r="A610" s="9" t="s">
        <v>1078</v>
      </c>
      <c r="B610" s="10" t="s">
        <v>1079</v>
      </c>
      <c r="C610" s="11"/>
      <c r="D610" s="60"/>
      <c r="E610" s="44">
        <f>E611+E612+E615+E616+E617+E620+E623+E627</f>
        <v>4067.8999999999996</v>
      </c>
      <c r="F610" s="44">
        <f>F615+F616+F617+F623+F627</f>
        <v>2206.5</v>
      </c>
      <c r="G610" s="44">
        <f>G615+G616+G617+G623+G627</f>
        <v>3454.1</v>
      </c>
      <c r="H610" s="44">
        <f>H615+H616+H617+H623+H627</f>
        <v>1770.2</v>
      </c>
      <c r="I610" s="178"/>
      <c r="J610" s="179"/>
      <c r="K610" s="179"/>
      <c r="L610" s="179"/>
      <c r="M610" s="180"/>
    </row>
    <row r="611" spans="1:13" ht="0.75" hidden="1" customHeight="1" thickBot="1" x14ac:dyDescent="0.3">
      <c r="A611" s="105" t="s">
        <v>1333</v>
      </c>
      <c r="B611" s="106" t="s">
        <v>1334</v>
      </c>
      <c r="C611" s="107" t="s">
        <v>1338</v>
      </c>
      <c r="D611" s="108" t="s">
        <v>1335</v>
      </c>
      <c r="E611" s="109">
        <v>15</v>
      </c>
      <c r="F611" s="109"/>
      <c r="G611" s="109"/>
      <c r="H611" s="109"/>
      <c r="I611" s="101"/>
      <c r="J611" s="101"/>
      <c r="K611" s="101"/>
      <c r="L611" s="101"/>
      <c r="M611" s="110"/>
    </row>
    <row r="612" spans="1:13" ht="22.5" hidden="1" customHeight="1" thickBot="1" x14ac:dyDescent="0.3">
      <c r="A612" s="187" t="s">
        <v>1337</v>
      </c>
      <c r="B612" s="190" t="s">
        <v>1336</v>
      </c>
      <c r="C612" s="190" t="s">
        <v>1008</v>
      </c>
      <c r="D612" s="102"/>
      <c r="E612" s="103">
        <f>SUM(E613:E614)</f>
        <v>1994.2</v>
      </c>
      <c r="F612" s="103"/>
      <c r="G612" s="103"/>
      <c r="H612" s="103"/>
      <c r="I612" s="100"/>
      <c r="J612" s="100"/>
      <c r="K612" s="100"/>
      <c r="L612" s="100"/>
      <c r="M612" s="111"/>
    </row>
    <row r="613" spans="1:13" ht="21" hidden="1" customHeight="1" thickBot="1" x14ac:dyDescent="0.3">
      <c r="A613" s="188"/>
      <c r="B613" s="191"/>
      <c r="C613" s="191"/>
      <c r="D613" s="102" t="s">
        <v>28</v>
      </c>
      <c r="E613" s="103">
        <v>884</v>
      </c>
      <c r="F613" s="103"/>
      <c r="G613" s="103"/>
      <c r="H613" s="103"/>
      <c r="I613" s="104"/>
      <c r="J613" s="104"/>
      <c r="K613" s="104"/>
      <c r="L613" s="104"/>
      <c r="M613" s="112"/>
    </row>
    <row r="614" spans="1:13" ht="21" hidden="1" customHeight="1" thickBot="1" x14ac:dyDescent="0.3">
      <c r="A614" s="189"/>
      <c r="B614" s="192"/>
      <c r="C614" s="192"/>
      <c r="D614" s="102" t="s">
        <v>190</v>
      </c>
      <c r="E614" s="103">
        <v>1110.2</v>
      </c>
      <c r="F614" s="103"/>
      <c r="G614" s="103"/>
      <c r="H614" s="103"/>
      <c r="I614" s="113"/>
      <c r="J614" s="113"/>
      <c r="K614" s="113"/>
      <c r="L614" s="113"/>
      <c r="M614" s="114"/>
    </row>
    <row r="615" spans="1:13" ht="64.5" thickBot="1" x14ac:dyDescent="0.3">
      <c r="A615" s="12" t="s">
        <v>1080</v>
      </c>
      <c r="B615" s="13" t="s">
        <v>1081</v>
      </c>
      <c r="C615" s="14" t="s">
        <v>1082</v>
      </c>
      <c r="D615" s="45" t="s">
        <v>28</v>
      </c>
      <c r="E615" s="45"/>
      <c r="F615" s="55"/>
      <c r="G615" s="55">
        <v>900</v>
      </c>
      <c r="H615" s="55">
        <v>700.2</v>
      </c>
      <c r="I615" s="91" t="s">
        <v>1083</v>
      </c>
      <c r="J615" s="90" t="s">
        <v>94</v>
      </c>
      <c r="K615" s="90"/>
      <c r="L615" s="90" t="s">
        <v>123</v>
      </c>
      <c r="M615" s="92" t="s">
        <v>189</v>
      </c>
    </row>
    <row r="616" spans="1:13" ht="39" thickBot="1" x14ac:dyDescent="0.3">
      <c r="A616" s="12" t="s">
        <v>1084</v>
      </c>
      <c r="B616" s="13" t="s">
        <v>1085</v>
      </c>
      <c r="C616" s="14" t="s">
        <v>1086</v>
      </c>
      <c r="D616" s="45" t="s">
        <v>28</v>
      </c>
      <c r="E616" s="45"/>
      <c r="F616" s="55"/>
      <c r="G616" s="55">
        <v>1930</v>
      </c>
      <c r="H616" s="55">
        <v>1070</v>
      </c>
      <c r="I616" s="14" t="s">
        <v>373</v>
      </c>
      <c r="J616" s="45" t="s">
        <v>94</v>
      </c>
      <c r="K616" s="45"/>
      <c r="L616" s="45" t="s">
        <v>123</v>
      </c>
      <c r="M616" s="71" t="s">
        <v>189</v>
      </c>
    </row>
    <row r="617" spans="1:13" ht="51" x14ac:dyDescent="0.25">
      <c r="A617" s="150" t="s">
        <v>1087</v>
      </c>
      <c r="B617" s="135" t="s">
        <v>1088</v>
      </c>
      <c r="C617" s="135" t="s">
        <v>184</v>
      </c>
      <c r="D617" s="45"/>
      <c r="E617" s="117">
        <f>SUM(E618:E619)</f>
        <v>510</v>
      </c>
      <c r="F617" s="46">
        <f>SUM(F618:F619)</f>
        <v>1868.9</v>
      </c>
      <c r="G617" s="46">
        <f>SUM(G618:G619)</f>
        <v>624.1</v>
      </c>
      <c r="H617" s="46"/>
      <c r="I617" s="14" t="s">
        <v>1089</v>
      </c>
      <c r="J617" s="45" t="s">
        <v>21</v>
      </c>
      <c r="K617" s="45" t="s">
        <v>30</v>
      </c>
      <c r="L617" s="45"/>
      <c r="M617" s="71"/>
    </row>
    <row r="618" spans="1:13" x14ac:dyDescent="0.25">
      <c r="A618" s="151"/>
      <c r="B618" s="136"/>
      <c r="C618" s="136"/>
      <c r="D618" s="39" t="s">
        <v>216</v>
      </c>
      <c r="E618" s="115">
        <v>506.8</v>
      </c>
      <c r="F618" s="47">
        <v>1864.7</v>
      </c>
      <c r="G618" s="47">
        <v>619.9</v>
      </c>
      <c r="H618" s="47"/>
      <c r="I618" s="17" t="s">
        <v>373</v>
      </c>
      <c r="J618" s="39" t="s">
        <v>94</v>
      </c>
      <c r="K618" s="39" t="s">
        <v>123</v>
      </c>
      <c r="L618" s="39" t="s">
        <v>189</v>
      </c>
      <c r="M618" s="72"/>
    </row>
    <row r="619" spans="1:13" ht="26.25" thickBot="1" x14ac:dyDescent="0.3">
      <c r="A619" s="152"/>
      <c r="B619" s="137"/>
      <c r="C619" s="137"/>
      <c r="D619" s="84" t="s">
        <v>28</v>
      </c>
      <c r="E619" s="120">
        <v>3.2</v>
      </c>
      <c r="F619" s="94">
        <v>4.2</v>
      </c>
      <c r="G619" s="94">
        <v>4.2</v>
      </c>
      <c r="H619" s="94"/>
      <c r="I619" s="82" t="s">
        <v>1090</v>
      </c>
      <c r="J619" s="84" t="s">
        <v>21</v>
      </c>
      <c r="K619" s="84"/>
      <c r="L619" s="84" t="s">
        <v>264</v>
      </c>
      <c r="M619" s="85"/>
    </row>
    <row r="620" spans="1:13" ht="23.25" customHeight="1" x14ac:dyDescent="0.25">
      <c r="A620" s="184" t="s">
        <v>1339</v>
      </c>
      <c r="B620" s="135" t="s">
        <v>1340</v>
      </c>
      <c r="C620" s="135" t="s">
        <v>994</v>
      </c>
      <c r="D620" s="45"/>
      <c r="E620" s="119">
        <f>SUM(E621:E622)</f>
        <v>1150</v>
      </c>
      <c r="F620" s="55"/>
      <c r="G620" s="55"/>
      <c r="H620" s="55"/>
      <c r="I620" s="14"/>
      <c r="J620" s="45"/>
      <c r="K620" s="45"/>
      <c r="L620" s="45"/>
      <c r="M620" s="71"/>
    </row>
    <row r="621" spans="1:13" ht="18.75" customHeight="1" x14ac:dyDescent="0.25">
      <c r="A621" s="185"/>
      <c r="B621" s="136"/>
      <c r="C621" s="136"/>
      <c r="D621" s="90" t="s">
        <v>216</v>
      </c>
      <c r="E621" s="121">
        <v>1035</v>
      </c>
      <c r="F621" s="52"/>
      <c r="G621" s="52"/>
      <c r="H621" s="52"/>
      <c r="I621" s="91"/>
      <c r="J621" s="90"/>
      <c r="K621" s="90"/>
      <c r="L621" s="90"/>
      <c r="M621" s="92"/>
    </row>
    <row r="622" spans="1:13" ht="20.25" customHeight="1" thickBot="1" x14ac:dyDescent="0.3">
      <c r="A622" s="186"/>
      <c r="B622" s="137"/>
      <c r="C622" s="137"/>
      <c r="D622" s="90" t="s">
        <v>28</v>
      </c>
      <c r="E622" s="121">
        <v>115</v>
      </c>
      <c r="F622" s="52"/>
      <c r="G622" s="52"/>
      <c r="H622" s="52"/>
      <c r="I622" s="91"/>
      <c r="J622" s="90"/>
      <c r="K622" s="90"/>
      <c r="L622" s="90"/>
      <c r="M622" s="92"/>
    </row>
    <row r="623" spans="1:13" ht="38.25" customHeight="1" x14ac:dyDescent="0.25">
      <c r="A623" s="150" t="s">
        <v>1091</v>
      </c>
      <c r="B623" s="135" t="s">
        <v>1092</v>
      </c>
      <c r="C623" s="135" t="s">
        <v>1064</v>
      </c>
      <c r="D623" s="45"/>
      <c r="E623" s="117">
        <f>SUM(E624:E626)</f>
        <v>398.7</v>
      </c>
      <c r="F623" s="46">
        <f>SUM(F624:F626)</f>
        <v>337.6</v>
      </c>
      <c r="G623" s="46"/>
      <c r="H623" s="46"/>
      <c r="I623" s="14" t="s">
        <v>1068</v>
      </c>
      <c r="J623" s="45" t="s">
        <v>21</v>
      </c>
      <c r="K623" s="45" t="s">
        <v>30</v>
      </c>
      <c r="L623" s="45"/>
      <c r="M623" s="71"/>
    </row>
    <row r="624" spans="1:13" ht="25.5" customHeight="1" x14ac:dyDescent="0.25">
      <c r="A624" s="151"/>
      <c r="B624" s="136"/>
      <c r="C624" s="136"/>
      <c r="D624" s="39" t="s">
        <v>216</v>
      </c>
      <c r="E624" s="115">
        <v>379.2</v>
      </c>
      <c r="F624" s="47">
        <v>285.3</v>
      </c>
      <c r="G624" s="47"/>
      <c r="H624" s="47"/>
      <c r="I624" s="144" t="s">
        <v>1093</v>
      </c>
      <c r="J624" s="146" t="s">
        <v>21</v>
      </c>
      <c r="K624" s="146" t="s">
        <v>56</v>
      </c>
      <c r="L624" s="146"/>
      <c r="M624" s="148"/>
    </row>
    <row r="625" spans="1:13" x14ac:dyDescent="0.25">
      <c r="A625" s="151"/>
      <c r="B625" s="136"/>
      <c r="C625" s="136"/>
      <c r="D625" s="39" t="s">
        <v>190</v>
      </c>
      <c r="E625" s="39">
        <v>19.5</v>
      </c>
      <c r="F625" s="47">
        <v>1.3</v>
      </c>
      <c r="G625" s="47"/>
      <c r="H625" s="47"/>
      <c r="I625" s="136"/>
      <c r="J625" s="139"/>
      <c r="K625" s="139"/>
      <c r="L625" s="139"/>
      <c r="M625" s="142"/>
    </row>
    <row r="626" spans="1:13" ht="14.25" customHeight="1" thickBot="1" x14ac:dyDescent="0.3">
      <c r="A626" s="152"/>
      <c r="B626" s="137"/>
      <c r="C626" s="137"/>
      <c r="D626" s="39" t="s">
        <v>28</v>
      </c>
      <c r="E626" s="39"/>
      <c r="F626" s="47">
        <v>51</v>
      </c>
      <c r="G626" s="47"/>
      <c r="H626" s="47"/>
      <c r="I626" s="137"/>
      <c r="J626" s="140"/>
      <c r="K626" s="140"/>
      <c r="L626" s="140"/>
      <c r="M626" s="143"/>
    </row>
    <row r="627" spans="1:13" ht="15.75" hidden="1" customHeight="1" thickBot="1" x14ac:dyDescent="0.3">
      <c r="A627" s="12" t="s">
        <v>1094</v>
      </c>
      <c r="B627" s="13" t="s">
        <v>1095</v>
      </c>
      <c r="C627" s="14" t="s">
        <v>1096</v>
      </c>
      <c r="D627" s="45"/>
      <c r="E627" s="45"/>
      <c r="F627" s="55"/>
      <c r="G627" s="55"/>
      <c r="H627" s="55"/>
      <c r="I627" s="14"/>
      <c r="J627" s="45"/>
      <c r="K627" s="45"/>
      <c r="L627" s="45"/>
      <c r="M627" s="71"/>
    </row>
    <row r="628" spans="1:13" ht="26.25" thickBot="1" x14ac:dyDescent="0.3">
      <c r="A628" s="9" t="s">
        <v>1097</v>
      </c>
      <c r="B628" s="10" t="s">
        <v>1098</v>
      </c>
      <c r="C628" s="11"/>
      <c r="D628" s="60"/>
      <c r="E628" s="44">
        <f>E629+E633+E635+E637+E638+E639+E640+E641</f>
        <v>30587.900000000005</v>
      </c>
      <c r="F628" s="44">
        <f>F629+F633+F635+F637+F638+F639+F640+F641</f>
        <v>33202.199999999997</v>
      </c>
      <c r="G628" s="44">
        <f>G629+G633+G635+G637+G638+G639+G640+G641</f>
        <v>33232</v>
      </c>
      <c r="H628" s="44">
        <f>H629+H633+H635+H637+H638+H639+H640+H641</f>
        <v>33269.1</v>
      </c>
      <c r="I628" s="178"/>
      <c r="J628" s="179"/>
      <c r="K628" s="179"/>
      <c r="L628" s="179"/>
      <c r="M628" s="180"/>
    </row>
    <row r="629" spans="1:13" ht="25.5" x14ac:dyDescent="0.25">
      <c r="A629" s="150" t="s">
        <v>1099</v>
      </c>
      <c r="B629" s="135" t="s">
        <v>1100</v>
      </c>
      <c r="C629" s="135" t="s">
        <v>1101</v>
      </c>
      <c r="D629" s="45"/>
      <c r="E629" s="117">
        <f>SUM(E630:E632)</f>
        <v>2357.4</v>
      </c>
      <c r="F629" s="46">
        <f>SUM(F630:F632)</f>
        <v>3397</v>
      </c>
      <c r="G629" s="46">
        <f>SUM(G630:G632)</f>
        <v>3397</v>
      </c>
      <c r="H629" s="46">
        <f>SUM(H630:H632)</f>
        <v>3397</v>
      </c>
      <c r="I629" s="14" t="s">
        <v>1102</v>
      </c>
      <c r="J629" s="45" t="s">
        <v>315</v>
      </c>
      <c r="K629" s="45" t="s">
        <v>1103</v>
      </c>
      <c r="L629" s="45" t="s">
        <v>1103</v>
      </c>
      <c r="M629" s="71" t="s">
        <v>1103</v>
      </c>
    </row>
    <row r="630" spans="1:13" x14ac:dyDescent="0.25">
      <c r="A630" s="151"/>
      <c r="B630" s="136"/>
      <c r="C630" s="136"/>
      <c r="D630" s="39" t="s">
        <v>557</v>
      </c>
      <c r="E630" s="115">
        <v>575.4</v>
      </c>
      <c r="F630" s="47">
        <v>624</v>
      </c>
      <c r="G630" s="47">
        <v>624</v>
      </c>
      <c r="H630" s="47">
        <v>624</v>
      </c>
      <c r="I630" s="144" t="s">
        <v>1102</v>
      </c>
      <c r="J630" s="146" t="s">
        <v>315</v>
      </c>
      <c r="K630" s="146" t="s">
        <v>1104</v>
      </c>
      <c r="L630" s="146" t="s">
        <v>1104</v>
      </c>
      <c r="M630" s="148" t="s">
        <v>1105</v>
      </c>
    </row>
    <row r="631" spans="1:13" x14ac:dyDescent="0.25">
      <c r="A631" s="151"/>
      <c r="B631" s="136"/>
      <c r="C631" s="136"/>
      <c r="D631" s="39" t="s">
        <v>28</v>
      </c>
      <c r="E631" s="118">
        <v>390</v>
      </c>
      <c r="F631" s="47">
        <v>473</v>
      </c>
      <c r="G631" s="47">
        <v>2773</v>
      </c>
      <c r="H631" s="47">
        <v>2773</v>
      </c>
      <c r="I631" s="136"/>
      <c r="J631" s="139"/>
      <c r="K631" s="139"/>
      <c r="L631" s="139"/>
      <c r="M631" s="142"/>
    </row>
    <row r="632" spans="1:13" ht="15.75" thickBot="1" x14ac:dyDescent="0.3">
      <c r="A632" s="152"/>
      <c r="B632" s="137"/>
      <c r="C632" s="137"/>
      <c r="D632" s="39" t="s">
        <v>190</v>
      </c>
      <c r="E632" s="118">
        <v>1392</v>
      </c>
      <c r="F632" s="47">
        <v>2300</v>
      </c>
      <c r="G632" s="47"/>
      <c r="H632" s="47"/>
      <c r="I632" s="137"/>
      <c r="J632" s="140"/>
      <c r="K632" s="140"/>
      <c r="L632" s="140"/>
      <c r="M632" s="143"/>
    </row>
    <row r="633" spans="1:13" ht="25.5" x14ac:dyDescent="0.25">
      <c r="A633" s="150" t="s">
        <v>1106</v>
      </c>
      <c r="B633" s="135" t="s">
        <v>1107</v>
      </c>
      <c r="C633" s="135" t="s">
        <v>1101</v>
      </c>
      <c r="D633" s="45" t="s">
        <v>157</v>
      </c>
      <c r="E633" s="116">
        <v>17182.5</v>
      </c>
      <c r="F633" s="46">
        <f>SUM(F634:F634)+19716.8</f>
        <v>19716.8</v>
      </c>
      <c r="G633" s="46">
        <f>SUM(G634:G634)+19716.8</f>
        <v>19716.8</v>
      </c>
      <c r="H633" s="46">
        <f>SUM(H634:H634)+19716.8</f>
        <v>19716.8</v>
      </c>
      <c r="I633" s="14" t="s">
        <v>1102</v>
      </c>
      <c r="J633" s="45" t="s">
        <v>315</v>
      </c>
      <c r="K633" s="45" t="s">
        <v>1108</v>
      </c>
      <c r="L633" s="45" t="s">
        <v>1108</v>
      </c>
      <c r="M633" s="71" t="s">
        <v>1108</v>
      </c>
    </row>
    <row r="634" spans="1:13" ht="15.75" thickBot="1" x14ac:dyDescent="0.3">
      <c r="A634" s="152"/>
      <c r="B634" s="137"/>
      <c r="C634" s="137"/>
      <c r="D634" s="39"/>
      <c r="E634" s="115"/>
      <c r="F634" s="47"/>
      <c r="G634" s="47"/>
      <c r="H634" s="47"/>
      <c r="I634" s="17" t="s">
        <v>1109</v>
      </c>
      <c r="J634" s="39" t="s">
        <v>315</v>
      </c>
      <c r="K634" s="39" t="s">
        <v>1110</v>
      </c>
      <c r="L634" s="39" t="s">
        <v>1110</v>
      </c>
      <c r="M634" s="72" t="s">
        <v>1110</v>
      </c>
    </row>
    <row r="635" spans="1:13" ht="21" customHeight="1" x14ac:dyDescent="0.25">
      <c r="A635" s="150" t="s">
        <v>1111</v>
      </c>
      <c r="B635" s="135" t="s">
        <v>1112</v>
      </c>
      <c r="C635" s="135" t="s">
        <v>1101</v>
      </c>
      <c r="D635" s="45" t="s">
        <v>157</v>
      </c>
      <c r="E635" s="116">
        <v>7824.4</v>
      </c>
      <c r="F635" s="46">
        <f>SUM(F636:F636)+7153.3</f>
        <v>7153.3</v>
      </c>
      <c r="G635" s="46">
        <f>SUM(G636:G636)+7153.3</f>
        <v>7153.3</v>
      </c>
      <c r="H635" s="46">
        <f>SUM(H636:H636)+7153.3</f>
        <v>7153.3</v>
      </c>
      <c r="I635" s="14" t="s">
        <v>1102</v>
      </c>
      <c r="J635" s="45" t="s">
        <v>315</v>
      </c>
      <c r="K635" s="45" t="s">
        <v>1113</v>
      </c>
      <c r="L635" s="45" t="s">
        <v>1113</v>
      </c>
      <c r="M635" s="71" t="s">
        <v>1113</v>
      </c>
    </row>
    <row r="636" spans="1:13" ht="15" customHeight="1" thickBot="1" x14ac:dyDescent="0.3">
      <c r="A636" s="152"/>
      <c r="B636" s="137"/>
      <c r="C636" s="137"/>
      <c r="D636" s="39"/>
      <c r="E636" s="115"/>
      <c r="F636" s="47"/>
      <c r="G636" s="47"/>
      <c r="H636" s="47"/>
      <c r="I636" s="17" t="s">
        <v>1109</v>
      </c>
      <c r="J636" s="39" t="s">
        <v>315</v>
      </c>
      <c r="K636" s="39" t="s">
        <v>1110</v>
      </c>
      <c r="L636" s="39" t="s">
        <v>1110</v>
      </c>
      <c r="M636" s="72" t="s">
        <v>1110</v>
      </c>
    </row>
    <row r="637" spans="1:13" ht="0.75" hidden="1" customHeight="1" thickBot="1" x14ac:dyDescent="0.3">
      <c r="A637" s="12" t="s">
        <v>1114</v>
      </c>
      <c r="B637" s="13" t="s">
        <v>1115</v>
      </c>
      <c r="C637" s="14" t="s">
        <v>1101</v>
      </c>
      <c r="D637" s="45"/>
      <c r="E637" s="116"/>
      <c r="F637" s="55"/>
      <c r="G637" s="55"/>
      <c r="H637" s="55"/>
      <c r="I637" s="14"/>
      <c r="J637" s="45"/>
      <c r="K637" s="45"/>
      <c r="L637" s="45"/>
      <c r="M637" s="71"/>
    </row>
    <row r="638" spans="1:13" ht="39" thickBot="1" x14ac:dyDescent="0.3">
      <c r="A638" s="12" t="s">
        <v>1116</v>
      </c>
      <c r="B638" s="13" t="s">
        <v>1117</v>
      </c>
      <c r="C638" s="14" t="s">
        <v>1101</v>
      </c>
      <c r="D638" s="45" t="s">
        <v>557</v>
      </c>
      <c r="E638" s="116">
        <v>0.7</v>
      </c>
      <c r="F638" s="55">
        <v>0.7</v>
      </c>
      <c r="G638" s="55">
        <v>0.7</v>
      </c>
      <c r="H638" s="55">
        <v>0.7</v>
      </c>
      <c r="I638" s="14" t="s">
        <v>1102</v>
      </c>
      <c r="J638" s="45" t="s">
        <v>315</v>
      </c>
      <c r="K638" s="45" t="s">
        <v>30</v>
      </c>
      <c r="L638" s="45" t="s">
        <v>30</v>
      </c>
      <c r="M638" s="71" t="s">
        <v>30</v>
      </c>
    </row>
    <row r="639" spans="1:13" ht="26.25" thickBot="1" x14ac:dyDescent="0.3">
      <c r="A639" s="12" t="s">
        <v>1118</v>
      </c>
      <c r="B639" s="13" t="s">
        <v>1119</v>
      </c>
      <c r="C639" s="14" t="s">
        <v>1101</v>
      </c>
      <c r="D639" s="45" t="s">
        <v>28</v>
      </c>
      <c r="E639" s="119">
        <v>5</v>
      </c>
      <c r="F639" s="55">
        <v>5.2</v>
      </c>
      <c r="G639" s="55">
        <v>5.2</v>
      </c>
      <c r="H639" s="55">
        <v>5.2</v>
      </c>
      <c r="I639" s="14" t="s">
        <v>1102</v>
      </c>
      <c r="J639" s="45" t="s">
        <v>315</v>
      </c>
      <c r="K639" s="45" t="s">
        <v>56</v>
      </c>
      <c r="L639" s="45" t="s">
        <v>56</v>
      </c>
      <c r="M639" s="71" t="s">
        <v>56</v>
      </c>
    </row>
    <row r="640" spans="1:13" ht="26.25" thickBot="1" x14ac:dyDescent="0.3">
      <c r="A640" s="12" t="s">
        <v>1120</v>
      </c>
      <c r="B640" s="13" t="s">
        <v>1121</v>
      </c>
      <c r="C640" s="14" t="s">
        <v>1101</v>
      </c>
      <c r="D640" s="45" t="s">
        <v>557</v>
      </c>
      <c r="E640" s="116">
        <v>1217.9000000000001</v>
      </c>
      <c r="F640" s="55">
        <v>1272.2</v>
      </c>
      <c r="G640" s="55">
        <v>1272.2</v>
      </c>
      <c r="H640" s="55">
        <v>1272.2</v>
      </c>
      <c r="I640" s="14" t="s">
        <v>1102</v>
      </c>
      <c r="J640" s="45" t="s">
        <v>315</v>
      </c>
      <c r="K640" s="45" t="s">
        <v>1122</v>
      </c>
      <c r="L640" s="45" t="s">
        <v>1122</v>
      </c>
      <c r="M640" s="71" t="s">
        <v>1122</v>
      </c>
    </row>
    <row r="641" spans="1:13" ht="19.5" customHeight="1" x14ac:dyDescent="0.25">
      <c r="A641" s="150" t="s">
        <v>1123</v>
      </c>
      <c r="B641" s="135" t="s">
        <v>1124</v>
      </c>
      <c r="C641" s="135" t="s">
        <v>451</v>
      </c>
      <c r="D641" s="45"/>
      <c r="E641" s="117">
        <f>SUM(E642:E643)</f>
        <v>2000</v>
      </c>
      <c r="F641" s="46">
        <f>SUM(F642:F643)</f>
        <v>1657</v>
      </c>
      <c r="G641" s="46">
        <f>SUM(G642:G643)</f>
        <v>1686.8</v>
      </c>
      <c r="H641" s="46">
        <f>SUM(H642:H643)</f>
        <v>1723.9</v>
      </c>
      <c r="I641" s="135" t="s">
        <v>1125</v>
      </c>
      <c r="J641" s="138" t="s">
        <v>94</v>
      </c>
      <c r="K641" s="138" t="s">
        <v>189</v>
      </c>
      <c r="L641" s="138" t="s">
        <v>189</v>
      </c>
      <c r="M641" s="141" t="s">
        <v>189</v>
      </c>
    </row>
    <row r="642" spans="1:13" x14ac:dyDescent="0.25">
      <c r="A642" s="151"/>
      <c r="B642" s="136"/>
      <c r="C642" s="136"/>
      <c r="D642" s="39" t="s">
        <v>190</v>
      </c>
      <c r="E642" s="53">
        <v>2000</v>
      </c>
      <c r="F642" s="47">
        <v>1145.3</v>
      </c>
      <c r="G642" s="47"/>
      <c r="H642" s="47"/>
      <c r="I642" s="136"/>
      <c r="J642" s="139"/>
      <c r="K642" s="139"/>
      <c r="L642" s="139"/>
      <c r="M642" s="142"/>
    </row>
    <row r="643" spans="1:13" ht="23.25" customHeight="1" thickBot="1" x14ac:dyDescent="0.3">
      <c r="A643" s="152"/>
      <c r="B643" s="137"/>
      <c r="C643" s="137"/>
      <c r="D643" s="39" t="s">
        <v>28</v>
      </c>
      <c r="E643" s="39"/>
      <c r="F643" s="47">
        <v>511.7</v>
      </c>
      <c r="G643" s="47">
        <v>1686.8</v>
      </c>
      <c r="H643" s="47">
        <v>1723.9</v>
      </c>
      <c r="I643" s="137"/>
      <c r="J643" s="140"/>
      <c r="K643" s="140"/>
      <c r="L643" s="140"/>
      <c r="M643" s="143"/>
    </row>
    <row r="644" spans="1:13" ht="15.75" thickBot="1" x14ac:dyDescent="0.3">
      <c r="A644" s="3" t="s">
        <v>1126</v>
      </c>
      <c r="B644" s="4" t="s">
        <v>1127</v>
      </c>
      <c r="C644" s="5" t="s">
        <v>1128</v>
      </c>
      <c r="D644" s="59"/>
      <c r="E644" s="42">
        <f>E645+E713</f>
        <v>16052.5</v>
      </c>
      <c r="F644" s="42">
        <f>F645+F713</f>
        <v>18136.3</v>
      </c>
      <c r="G644" s="42">
        <f>G645+G713</f>
        <v>17614.8</v>
      </c>
      <c r="H644" s="42">
        <f>H645+H713</f>
        <v>16883.700000000004</v>
      </c>
      <c r="I644" s="181"/>
      <c r="J644" s="182"/>
      <c r="K644" s="182"/>
      <c r="L644" s="182"/>
      <c r="M644" s="183"/>
    </row>
    <row r="645" spans="1:13" ht="38.25" x14ac:dyDescent="0.25">
      <c r="A645" s="165" t="s">
        <v>1129</v>
      </c>
      <c r="B645" s="167" t="s">
        <v>1130</v>
      </c>
      <c r="C645" s="167" t="s">
        <v>1128</v>
      </c>
      <c r="D645" s="169"/>
      <c r="E645" s="162">
        <f>E646+E647+E648+E671+E693+E703+E709</f>
        <v>15663.5</v>
      </c>
      <c r="F645" s="162">
        <f>F646+F647+F648+F671+F693+F703+F709</f>
        <v>17717.5</v>
      </c>
      <c r="G645" s="162">
        <f>G646+G647+G648+G671+G693+G703+G709</f>
        <v>17249.599999999999</v>
      </c>
      <c r="H645" s="162">
        <f>H646+H647+H648+H671+H693+H703+H709</f>
        <v>16519.300000000003</v>
      </c>
      <c r="I645" s="8" t="s">
        <v>1131</v>
      </c>
      <c r="J645" s="38" t="s">
        <v>94</v>
      </c>
      <c r="K645" s="38" t="s">
        <v>50</v>
      </c>
      <c r="L645" s="38" t="s">
        <v>50</v>
      </c>
      <c r="M645" s="74" t="s">
        <v>50</v>
      </c>
    </row>
    <row r="646" spans="1:13" ht="25.5" x14ac:dyDescent="0.25">
      <c r="A646" s="171"/>
      <c r="B646" s="172"/>
      <c r="C646" s="172"/>
      <c r="D646" s="173"/>
      <c r="E646" s="163"/>
      <c r="F646" s="163"/>
      <c r="G646" s="163"/>
      <c r="H646" s="163"/>
      <c r="I646" s="40" t="s">
        <v>1132</v>
      </c>
      <c r="J646" s="69" t="s">
        <v>21</v>
      </c>
      <c r="K646" s="69" t="s">
        <v>1133</v>
      </c>
      <c r="L646" s="69" t="s">
        <v>1134</v>
      </c>
      <c r="M646" s="78" t="s">
        <v>1135</v>
      </c>
    </row>
    <row r="647" spans="1:13" ht="26.25" thickBot="1" x14ac:dyDescent="0.3">
      <c r="A647" s="166"/>
      <c r="B647" s="168"/>
      <c r="C647" s="168"/>
      <c r="D647" s="170"/>
      <c r="E647" s="164"/>
      <c r="F647" s="164"/>
      <c r="G647" s="164"/>
      <c r="H647" s="164"/>
      <c r="I647" s="40" t="s">
        <v>1136</v>
      </c>
      <c r="J647" s="69" t="s">
        <v>21</v>
      </c>
      <c r="K647" s="69" t="s">
        <v>591</v>
      </c>
      <c r="L647" s="69" t="s">
        <v>592</v>
      </c>
      <c r="M647" s="78" t="s">
        <v>744</v>
      </c>
    </row>
    <row r="648" spans="1:13" ht="26.25" thickBot="1" x14ac:dyDescent="0.3">
      <c r="A648" s="9" t="s">
        <v>1137</v>
      </c>
      <c r="B648" s="10" t="s">
        <v>1138</v>
      </c>
      <c r="C648" s="11"/>
      <c r="D648" s="60"/>
      <c r="E648" s="44">
        <f>E649+E660+E663+E664+E665+E666+E667</f>
        <v>7156.6000000000013</v>
      </c>
      <c r="F648" s="44">
        <f>F649+F660+F663+F664+F665+F666+F667</f>
        <v>9602.4</v>
      </c>
      <c r="G648" s="44">
        <f>G649+G660+G663+G664+G665+G666+G667</f>
        <v>9757.8999999999978</v>
      </c>
      <c r="H648" s="44">
        <f>H649+H660+H663+H664+H665+H666+H667</f>
        <v>10011.600000000002</v>
      </c>
      <c r="I648" s="178"/>
      <c r="J648" s="179"/>
      <c r="K648" s="179"/>
      <c r="L648" s="179"/>
      <c r="M648" s="180"/>
    </row>
    <row r="649" spans="1:13" ht="25.5" x14ac:dyDescent="0.25">
      <c r="A649" s="150" t="s">
        <v>1139</v>
      </c>
      <c r="B649" s="135" t="s">
        <v>1140</v>
      </c>
      <c r="C649" s="135" t="s">
        <v>1141</v>
      </c>
      <c r="D649" s="45"/>
      <c r="E649" s="46">
        <f>SUM(E650:E659)</f>
        <v>6194.7000000000007</v>
      </c>
      <c r="F649" s="46">
        <f>SUM(F650:F659)</f>
        <v>7470.3</v>
      </c>
      <c r="G649" s="46">
        <f>SUM(G650:G659)</f>
        <v>7604.7</v>
      </c>
      <c r="H649" s="46">
        <f>SUM(H650:H659)</f>
        <v>7772</v>
      </c>
      <c r="I649" s="14" t="s">
        <v>1142</v>
      </c>
      <c r="J649" s="45" t="s">
        <v>315</v>
      </c>
      <c r="K649" s="45" t="s">
        <v>1143</v>
      </c>
      <c r="L649" s="45" t="s">
        <v>1143</v>
      </c>
      <c r="M649" s="71" t="s">
        <v>1143</v>
      </c>
    </row>
    <row r="650" spans="1:13" ht="25.5" x14ac:dyDescent="0.25">
      <c r="A650" s="151"/>
      <c r="B650" s="136"/>
      <c r="C650" s="136"/>
      <c r="D650" s="39" t="s">
        <v>28</v>
      </c>
      <c r="E650" s="39">
        <v>6172.5</v>
      </c>
      <c r="F650" s="47">
        <v>7468.8</v>
      </c>
      <c r="G650" s="47">
        <v>7603.2</v>
      </c>
      <c r="H650" s="47">
        <v>7770.5</v>
      </c>
      <c r="I650" s="17" t="s">
        <v>1144</v>
      </c>
      <c r="J650" s="39" t="s">
        <v>315</v>
      </c>
      <c r="K650" s="39" t="s">
        <v>512</v>
      </c>
      <c r="L650" s="39" t="s">
        <v>512</v>
      </c>
      <c r="M650" s="72" t="s">
        <v>512</v>
      </c>
    </row>
    <row r="651" spans="1:13" ht="25.5" x14ac:dyDescent="0.25">
      <c r="A651" s="151"/>
      <c r="B651" s="136"/>
      <c r="C651" s="136"/>
      <c r="D651" s="39" t="s">
        <v>139</v>
      </c>
      <c r="E651" s="39">
        <v>1.1000000000000001</v>
      </c>
      <c r="F651" s="47">
        <v>1.5</v>
      </c>
      <c r="G651" s="47">
        <v>1.5</v>
      </c>
      <c r="H651" s="47">
        <v>1.5</v>
      </c>
      <c r="I651" s="17" t="s">
        <v>1145</v>
      </c>
      <c r="J651" s="39" t="s">
        <v>94</v>
      </c>
      <c r="K651" s="39" t="s">
        <v>189</v>
      </c>
      <c r="L651" s="39" t="s">
        <v>189</v>
      </c>
      <c r="M651" s="72" t="s">
        <v>189</v>
      </c>
    </row>
    <row r="652" spans="1:13" x14ac:dyDescent="0.25">
      <c r="A652" s="151"/>
      <c r="B652" s="136"/>
      <c r="C652" s="136"/>
      <c r="D652" s="39" t="s">
        <v>190</v>
      </c>
      <c r="E652" s="39">
        <v>21.1</v>
      </c>
      <c r="F652" s="47"/>
      <c r="G652" s="47"/>
      <c r="H652" s="47"/>
      <c r="I652" s="17" t="s">
        <v>1146</v>
      </c>
      <c r="J652" s="39" t="s">
        <v>315</v>
      </c>
      <c r="K652" s="39" t="s">
        <v>581</v>
      </c>
      <c r="L652" s="39" t="s">
        <v>472</v>
      </c>
      <c r="M652" s="72" t="s">
        <v>472</v>
      </c>
    </row>
    <row r="653" spans="1:13" x14ac:dyDescent="0.25">
      <c r="A653" s="151"/>
      <c r="B653" s="136"/>
      <c r="C653" s="136"/>
      <c r="D653" s="39"/>
      <c r="E653" s="39"/>
      <c r="F653" s="47"/>
      <c r="G653" s="47"/>
      <c r="H653" s="47"/>
      <c r="I653" s="17" t="s">
        <v>1147</v>
      </c>
      <c r="J653" s="39" t="s">
        <v>21</v>
      </c>
      <c r="K653" s="39" t="s">
        <v>106</v>
      </c>
      <c r="L653" s="39" t="s">
        <v>106</v>
      </c>
      <c r="M653" s="72" t="s">
        <v>106</v>
      </c>
    </row>
    <row r="654" spans="1:13" x14ac:dyDescent="0.25">
      <c r="A654" s="151"/>
      <c r="B654" s="136"/>
      <c r="C654" s="136"/>
      <c r="D654" s="39"/>
      <c r="E654" s="39"/>
      <c r="F654" s="47"/>
      <c r="G654" s="47"/>
      <c r="H654" s="47"/>
      <c r="I654" s="17" t="s">
        <v>1148</v>
      </c>
      <c r="J654" s="39" t="s">
        <v>21</v>
      </c>
      <c r="K654" s="39" t="s">
        <v>67</v>
      </c>
      <c r="L654" s="39" t="s">
        <v>67</v>
      </c>
      <c r="M654" s="72" t="s">
        <v>67</v>
      </c>
    </row>
    <row r="655" spans="1:13" x14ac:dyDescent="0.25">
      <c r="A655" s="151"/>
      <c r="B655" s="136"/>
      <c r="C655" s="136"/>
      <c r="D655" s="39"/>
      <c r="E655" s="39"/>
      <c r="F655" s="47"/>
      <c r="G655" s="47"/>
      <c r="H655" s="47"/>
      <c r="I655" s="17" t="s">
        <v>1149</v>
      </c>
      <c r="J655" s="39" t="s">
        <v>21</v>
      </c>
      <c r="K655" s="39" t="s">
        <v>322</v>
      </c>
      <c r="L655" s="39" t="s">
        <v>67</v>
      </c>
      <c r="M655" s="72" t="s">
        <v>70</v>
      </c>
    </row>
    <row r="656" spans="1:13" x14ac:dyDescent="0.25">
      <c r="A656" s="151"/>
      <c r="B656" s="136"/>
      <c r="C656" s="136"/>
      <c r="D656" s="39"/>
      <c r="E656" s="39"/>
      <c r="F656" s="47"/>
      <c r="G656" s="47"/>
      <c r="H656" s="47"/>
      <c r="I656" s="17" t="s">
        <v>1150</v>
      </c>
      <c r="J656" s="39" t="s">
        <v>21</v>
      </c>
      <c r="K656" s="39" t="s">
        <v>30</v>
      </c>
      <c r="L656" s="39" t="s">
        <v>30</v>
      </c>
      <c r="M656" s="72" t="s">
        <v>67</v>
      </c>
    </row>
    <row r="657" spans="1:13" x14ac:dyDescent="0.25">
      <c r="A657" s="151"/>
      <c r="B657" s="136"/>
      <c r="C657" s="136"/>
      <c r="D657" s="39"/>
      <c r="E657" s="39"/>
      <c r="F657" s="47"/>
      <c r="G657" s="47"/>
      <c r="H657" s="47"/>
      <c r="I657" s="17" t="s">
        <v>1151</v>
      </c>
      <c r="J657" s="39" t="s">
        <v>21</v>
      </c>
      <c r="K657" s="39" t="s">
        <v>741</v>
      </c>
      <c r="L657" s="39" t="s">
        <v>741</v>
      </c>
      <c r="M657" s="72" t="s">
        <v>1152</v>
      </c>
    </row>
    <row r="658" spans="1:13" ht="38.25" x14ac:dyDescent="0.25">
      <c r="A658" s="151"/>
      <c r="B658" s="136"/>
      <c r="C658" s="136"/>
      <c r="D658" s="39"/>
      <c r="E658" s="39"/>
      <c r="F658" s="47"/>
      <c r="G658" s="47"/>
      <c r="H658" s="47"/>
      <c r="I658" s="17" t="s">
        <v>1153</v>
      </c>
      <c r="J658" s="39" t="s">
        <v>315</v>
      </c>
      <c r="K658" s="39" t="s">
        <v>1154</v>
      </c>
      <c r="L658" s="39" t="s">
        <v>1155</v>
      </c>
      <c r="M658" s="72" t="s">
        <v>1154</v>
      </c>
    </row>
    <row r="659" spans="1:13" ht="39" thickBot="1" x14ac:dyDescent="0.3">
      <c r="A659" s="152"/>
      <c r="B659" s="137"/>
      <c r="C659" s="137"/>
      <c r="D659" s="39"/>
      <c r="E659" s="39"/>
      <c r="F659" s="47"/>
      <c r="G659" s="47"/>
      <c r="H659" s="47"/>
      <c r="I659" s="17" t="s">
        <v>1156</v>
      </c>
      <c r="J659" s="39" t="s">
        <v>315</v>
      </c>
      <c r="K659" s="39" t="s">
        <v>172</v>
      </c>
      <c r="L659" s="39" t="s">
        <v>1157</v>
      </c>
      <c r="M659" s="72" t="s">
        <v>1158</v>
      </c>
    </row>
    <row r="660" spans="1:13" ht="38.25" customHeight="1" x14ac:dyDescent="0.25">
      <c r="A660" s="150" t="s">
        <v>1159</v>
      </c>
      <c r="B660" s="135" t="s">
        <v>1160</v>
      </c>
      <c r="C660" s="135" t="s">
        <v>1141</v>
      </c>
      <c r="D660" s="45" t="s">
        <v>28</v>
      </c>
      <c r="E660" s="45">
        <v>561.6</v>
      </c>
      <c r="F660" s="46">
        <f>SUM(F661:F662)+627.8</f>
        <v>627.79999999999995</v>
      </c>
      <c r="G660" s="46">
        <f>SUM(G661:G662)+639.1</f>
        <v>639.1</v>
      </c>
      <c r="H660" s="46">
        <f>SUM(H661:H662)+653.2</f>
        <v>653.20000000000005</v>
      </c>
      <c r="I660" s="14" t="s">
        <v>1161</v>
      </c>
      <c r="J660" s="45" t="s">
        <v>315</v>
      </c>
      <c r="K660" s="45" t="s">
        <v>120</v>
      </c>
      <c r="L660" s="45" t="s">
        <v>120</v>
      </c>
      <c r="M660" s="71" t="s">
        <v>120</v>
      </c>
    </row>
    <row r="661" spans="1:13" ht="25.5" x14ac:dyDescent="0.25">
      <c r="A661" s="151"/>
      <c r="B661" s="136"/>
      <c r="C661" s="136"/>
      <c r="D661" s="39"/>
      <c r="E661" s="39"/>
      <c r="F661" s="47"/>
      <c r="G661" s="47"/>
      <c r="H661" s="47"/>
      <c r="I661" s="17" t="s">
        <v>1162</v>
      </c>
      <c r="J661" s="39" t="s">
        <v>21</v>
      </c>
      <c r="K661" s="39" t="s">
        <v>420</v>
      </c>
      <c r="L661" s="39" t="s">
        <v>420</v>
      </c>
      <c r="M661" s="72" t="s">
        <v>420</v>
      </c>
    </row>
    <row r="662" spans="1:13" ht="39" thickBot="1" x14ac:dyDescent="0.3">
      <c r="A662" s="152"/>
      <c r="B662" s="137"/>
      <c r="C662" s="137"/>
      <c r="D662" s="39"/>
      <c r="E662" s="39"/>
      <c r="F662" s="47"/>
      <c r="G662" s="47"/>
      <c r="H662" s="47"/>
      <c r="I662" s="17" t="s">
        <v>1163</v>
      </c>
      <c r="J662" s="39" t="s">
        <v>21</v>
      </c>
      <c r="K662" s="39" t="s">
        <v>420</v>
      </c>
      <c r="L662" s="39" t="s">
        <v>420</v>
      </c>
      <c r="M662" s="72" t="s">
        <v>420</v>
      </c>
    </row>
    <row r="663" spans="1:13" ht="26.25" thickBot="1" x14ac:dyDescent="0.3">
      <c r="A663" s="12" t="s">
        <v>1164</v>
      </c>
      <c r="B663" s="13" t="s">
        <v>1165</v>
      </c>
      <c r="C663" s="14" t="s">
        <v>1166</v>
      </c>
      <c r="D663" s="45" t="s">
        <v>28</v>
      </c>
      <c r="E663" s="45">
        <v>283.3</v>
      </c>
      <c r="F663" s="55">
        <v>302.89999999999998</v>
      </c>
      <c r="G663" s="55">
        <v>308.39999999999998</v>
      </c>
      <c r="H663" s="55">
        <v>315.2</v>
      </c>
      <c r="I663" s="14" t="s">
        <v>1167</v>
      </c>
      <c r="J663" s="45" t="s">
        <v>315</v>
      </c>
      <c r="K663" s="45" t="s">
        <v>37</v>
      </c>
      <c r="L663" s="45" t="s">
        <v>37</v>
      </c>
      <c r="M663" s="71" t="s">
        <v>37</v>
      </c>
    </row>
    <row r="664" spans="1:13" ht="25.5" x14ac:dyDescent="0.25">
      <c r="A664" s="12" t="s">
        <v>1168</v>
      </c>
      <c r="B664" s="13" t="s">
        <v>1169</v>
      </c>
      <c r="C664" s="14"/>
      <c r="D664" s="45" t="s">
        <v>28</v>
      </c>
      <c r="E664" s="116"/>
      <c r="F664" s="55">
        <v>1061.3</v>
      </c>
      <c r="G664" s="55">
        <v>1084.3</v>
      </c>
      <c r="H664" s="55">
        <v>1108.2</v>
      </c>
      <c r="I664" s="14" t="s">
        <v>1170</v>
      </c>
      <c r="J664" s="45" t="s">
        <v>94</v>
      </c>
      <c r="K664" s="45" t="s">
        <v>189</v>
      </c>
      <c r="L664" s="45" t="s">
        <v>189</v>
      </c>
      <c r="M664" s="71" t="s">
        <v>189</v>
      </c>
    </row>
    <row r="665" spans="1:13" ht="25.5" x14ac:dyDescent="0.25">
      <c r="A665" s="12" t="s">
        <v>1171</v>
      </c>
      <c r="B665" s="13" t="s">
        <v>1172</v>
      </c>
      <c r="C665" s="14" t="s">
        <v>365</v>
      </c>
      <c r="D665" s="45" t="s">
        <v>28</v>
      </c>
      <c r="E665" s="54">
        <v>67</v>
      </c>
      <c r="F665" s="55">
        <v>70.099999999999994</v>
      </c>
      <c r="G665" s="55">
        <v>71.400000000000006</v>
      </c>
      <c r="H665" s="55">
        <v>73</v>
      </c>
      <c r="I665" s="14" t="s">
        <v>1173</v>
      </c>
      <c r="J665" s="45" t="s">
        <v>94</v>
      </c>
      <c r="K665" s="45" t="s">
        <v>189</v>
      </c>
      <c r="L665" s="45" t="s">
        <v>189</v>
      </c>
      <c r="M665" s="71" t="s">
        <v>189</v>
      </c>
    </row>
    <row r="666" spans="1:13" ht="26.25" thickBot="1" x14ac:dyDescent="0.3">
      <c r="A666" s="12" t="s">
        <v>1174</v>
      </c>
      <c r="B666" s="13" t="s">
        <v>1175</v>
      </c>
      <c r="C666" s="14" t="s">
        <v>308</v>
      </c>
      <c r="D666" s="45" t="s">
        <v>28</v>
      </c>
      <c r="E666" s="54">
        <v>50</v>
      </c>
      <c r="F666" s="55">
        <v>20</v>
      </c>
      <c r="G666" s="55">
        <v>20</v>
      </c>
      <c r="H666" s="55">
        <v>20</v>
      </c>
      <c r="I666" s="14" t="s">
        <v>1176</v>
      </c>
      <c r="J666" s="45" t="s">
        <v>94</v>
      </c>
      <c r="K666" s="45" t="s">
        <v>189</v>
      </c>
      <c r="L666" s="45" t="s">
        <v>189</v>
      </c>
      <c r="M666" s="71" t="s">
        <v>189</v>
      </c>
    </row>
    <row r="667" spans="1:13" ht="25.5" customHeight="1" x14ac:dyDescent="0.25">
      <c r="A667" s="150" t="s">
        <v>1177</v>
      </c>
      <c r="B667" s="135" t="s">
        <v>1178</v>
      </c>
      <c r="C667" s="135" t="s">
        <v>1179</v>
      </c>
      <c r="D667" s="45" t="s">
        <v>28</v>
      </c>
      <c r="E667" s="45"/>
      <c r="F667" s="46">
        <f>SUM(F668:F670)+50</f>
        <v>50</v>
      </c>
      <c r="G667" s="46">
        <f>SUM(G668:G670)+30</f>
        <v>30</v>
      </c>
      <c r="H667" s="46">
        <f>SUM(H668:H670)+70</f>
        <v>70</v>
      </c>
      <c r="I667" s="14" t="s">
        <v>1180</v>
      </c>
      <c r="J667" s="45" t="s">
        <v>315</v>
      </c>
      <c r="K667" s="45" t="s">
        <v>30</v>
      </c>
      <c r="L667" s="45"/>
      <c r="M667" s="71"/>
    </row>
    <row r="668" spans="1:13" ht="25.5" x14ac:dyDescent="0.25">
      <c r="A668" s="151"/>
      <c r="B668" s="136"/>
      <c r="C668" s="136"/>
      <c r="D668" s="39"/>
      <c r="E668" s="39"/>
      <c r="F668" s="47"/>
      <c r="G668" s="47"/>
      <c r="H668" s="47"/>
      <c r="I668" s="17" t="s">
        <v>1181</v>
      </c>
      <c r="J668" s="39" t="s">
        <v>21</v>
      </c>
      <c r="K668" s="39"/>
      <c r="L668" s="39" t="s">
        <v>30</v>
      </c>
      <c r="M668" s="72"/>
    </row>
    <row r="669" spans="1:13" ht="25.5" x14ac:dyDescent="0.25">
      <c r="A669" s="151"/>
      <c r="B669" s="136"/>
      <c r="C669" s="136"/>
      <c r="D669" s="39"/>
      <c r="E669" s="39"/>
      <c r="F669" s="47"/>
      <c r="G669" s="47"/>
      <c r="H669" s="47"/>
      <c r="I669" s="17" t="s">
        <v>1182</v>
      </c>
      <c r="J669" s="39" t="s">
        <v>21</v>
      </c>
      <c r="K669" s="39"/>
      <c r="L669" s="39"/>
      <c r="M669" s="72" t="s">
        <v>30</v>
      </c>
    </row>
    <row r="670" spans="1:13" ht="26.25" thickBot="1" x14ac:dyDescent="0.3">
      <c r="A670" s="152"/>
      <c r="B670" s="137"/>
      <c r="C670" s="137"/>
      <c r="D670" s="39"/>
      <c r="E670" s="39"/>
      <c r="F670" s="47"/>
      <c r="G670" s="47"/>
      <c r="H670" s="47"/>
      <c r="I670" s="17" t="s">
        <v>1183</v>
      </c>
      <c r="J670" s="39" t="s">
        <v>21</v>
      </c>
      <c r="K670" s="39"/>
      <c r="L670" s="39"/>
      <c r="M670" s="72" t="s">
        <v>30</v>
      </c>
    </row>
    <row r="671" spans="1:13" ht="26.25" thickBot="1" x14ac:dyDescent="0.3">
      <c r="A671" s="9" t="s">
        <v>1184</v>
      </c>
      <c r="B671" s="10" t="s">
        <v>1185</v>
      </c>
      <c r="C671" s="11"/>
      <c r="D671" s="60"/>
      <c r="E671" s="44">
        <f>E672+E673+E674+E675+E676+E677+E678+E679+E680+E681+E682+E683+E684+E685+E686+E687+E688+E689+E691+E692</f>
        <v>486.80000000000013</v>
      </c>
      <c r="F671" s="44">
        <f>F672+F673+F674+F675+F676+F677+F678+F679+F680+F681+F682+F683+F684+F685+F686+F687+F688+F689+F691+F692</f>
        <v>512.5</v>
      </c>
      <c r="G671" s="44">
        <f>G672+G673+G674+G675+G676+G677+G678+G679+G680+G681+G682+G683+G684+G685+G686+G687+G688+G689+G691+G692</f>
        <v>521.70000000000005</v>
      </c>
      <c r="H671" s="44">
        <f>H672+H673+H674+H675+H676+H677+H678+H679+H680+H681+H682+H683+H684+H685+H686+H687+H688+H689+H691+H692</f>
        <v>533.20000000000005</v>
      </c>
      <c r="I671" s="178"/>
      <c r="J671" s="179"/>
      <c r="K671" s="179"/>
      <c r="L671" s="179"/>
      <c r="M671" s="180"/>
    </row>
    <row r="672" spans="1:13" ht="26.25" thickBot="1" x14ac:dyDescent="0.3">
      <c r="A672" s="12" t="s">
        <v>1186</v>
      </c>
      <c r="B672" s="13" t="s">
        <v>1187</v>
      </c>
      <c r="C672" s="14" t="s">
        <v>1128</v>
      </c>
      <c r="D672" s="45" t="s">
        <v>557</v>
      </c>
      <c r="E672" s="45">
        <v>19.5</v>
      </c>
      <c r="F672" s="55">
        <v>15.1</v>
      </c>
      <c r="G672" s="55">
        <v>15.4</v>
      </c>
      <c r="H672" s="55">
        <v>15.7</v>
      </c>
      <c r="I672" s="14" t="s">
        <v>1188</v>
      </c>
      <c r="J672" s="45" t="s">
        <v>94</v>
      </c>
      <c r="K672" s="45" t="s">
        <v>189</v>
      </c>
      <c r="L672" s="45" t="s">
        <v>189</v>
      </c>
      <c r="M672" s="71" t="s">
        <v>189</v>
      </c>
    </row>
    <row r="673" spans="1:13" ht="25.5" x14ac:dyDescent="0.25">
      <c r="A673" s="12" t="s">
        <v>1189</v>
      </c>
      <c r="B673" s="13" t="s">
        <v>1190</v>
      </c>
      <c r="C673" s="14" t="s">
        <v>451</v>
      </c>
      <c r="D673" s="45" t="s">
        <v>557</v>
      </c>
      <c r="E673" s="45">
        <v>0.3</v>
      </c>
      <c r="F673" s="55">
        <v>0.3</v>
      </c>
      <c r="G673" s="55">
        <v>0.3</v>
      </c>
      <c r="H673" s="55">
        <v>0.3</v>
      </c>
      <c r="I673" s="14" t="s">
        <v>1188</v>
      </c>
      <c r="J673" s="45" t="s">
        <v>94</v>
      </c>
      <c r="K673" s="45" t="s">
        <v>189</v>
      </c>
      <c r="L673" s="45" t="s">
        <v>189</v>
      </c>
      <c r="M673" s="71" t="s">
        <v>189</v>
      </c>
    </row>
    <row r="674" spans="1:13" ht="25.5" x14ac:dyDescent="0.25">
      <c r="A674" s="12" t="s">
        <v>1191</v>
      </c>
      <c r="B674" s="13" t="s">
        <v>1192</v>
      </c>
      <c r="C674" s="14" t="s">
        <v>1193</v>
      </c>
      <c r="D674" s="45" t="s">
        <v>557</v>
      </c>
      <c r="E674" s="45">
        <v>32.6</v>
      </c>
      <c r="F674" s="55">
        <v>30.6</v>
      </c>
      <c r="G674" s="55">
        <v>31.2</v>
      </c>
      <c r="H674" s="55">
        <v>31.9</v>
      </c>
      <c r="I674" s="14" t="s">
        <v>1188</v>
      </c>
      <c r="J674" s="45" t="s">
        <v>94</v>
      </c>
      <c r="K674" s="45" t="s">
        <v>189</v>
      </c>
      <c r="L674" s="45" t="s">
        <v>189</v>
      </c>
      <c r="M674" s="71" t="s">
        <v>189</v>
      </c>
    </row>
    <row r="675" spans="1:13" ht="25.5" x14ac:dyDescent="0.25">
      <c r="A675" s="12" t="s">
        <v>1194</v>
      </c>
      <c r="B675" s="13" t="s">
        <v>1195</v>
      </c>
      <c r="C675" s="14" t="s">
        <v>1196</v>
      </c>
      <c r="D675" s="45" t="s">
        <v>557</v>
      </c>
      <c r="E675" s="45">
        <v>55.2</v>
      </c>
      <c r="F675" s="55">
        <v>55</v>
      </c>
      <c r="G675" s="55">
        <v>56</v>
      </c>
      <c r="H675" s="55">
        <v>57.3</v>
      </c>
      <c r="I675" s="14" t="s">
        <v>1188</v>
      </c>
      <c r="J675" s="45" t="s">
        <v>94</v>
      </c>
      <c r="K675" s="45" t="s">
        <v>189</v>
      </c>
      <c r="L675" s="45" t="s">
        <v>189</v>
      </c>
      <c r="M675" s="71" t="s">
        <v>189</v>
      </c>
    </row>
    <row r="676" spans="1:13" ht="25.5" x14ac:dyDescent="0.25">
      <c r="A676" s="12" t="s">
        <v>1197</v>
      </c>
      <c r="B676" s="13" t="s">
        <v>1198</v>
      </c>
      <c r="C676" s="14" t="s">
        <v>1196</v>
      </c>
      <c r="D676" s="45" t="s">
        <v>557</v>
      </c>
      <c r="E676" s="45">
        <v>1.7</v>
      </c>
      <c r="F676" s="55">
        <v>1.7</v>
      </c>
      <c r="G676" s="55">
        <v>1.7</v>
      </c>
      <c r="H676" s="55">
        <v>1.7</v>
      </c>
      <c r="I676" s="14" t="s">
        <v>1188</v>
      </c>
      <c r="J676" s="45" t="s">
        <v>94</v>
      </c>
      <c r="K676" s="45" t="s">
        <v>189</v>
      </c>
      <c r="L676" s="45" t="s">
        <v>189</v>
      </c>
      <c r="M676" s="71" t="s">
        <v>189</v>
      </c>
    </row>
    <row r="677" spans="1:13" ht="25.5" x14ac:dyDescent="0.25">
      <c r="A677" s="12" t="s">
        <v>1199</v>
      </c>
      <c r="B677" s="13" t="s">
        <v>1200</v>
      </c>
      <c r="C677" s="14" t="s">
        <v>90</v>
      </c>
      <c r="D677" s="45" t="s">
        <v>557</v>
      </c>
      <c r="E677" s="45">
        <v>15.3</v>
      </c>
      <c r="F677" s="55">
        <v>15.3</v>
      </c>
      <c r="G677" s="55">
        <v>15.6</v>
      </c>
      <c r="H677" s="55">
        <v>15.9</v>
      </c>
      <c r="I677" s="14" t="s">
        <v>1188</v>
      </c>
      <c r="J677" s="45" t="s">
        <v>94</v>
      </c>
      <c r="K677" s="45" t="s">
        <v>189</v>
      </c>
      <c r="L677" s="45" t="s">
        <v>189</v>
      </c>
      <c r="M677" s="71" t="s">
        <v>189</v>
      </c>
    </row>
    <row r="678" spans="1:13" ht="38.25" x14ac:dyDescent="0.25">
      <c r="A678" s="12" t="s">
        <v>1201</v>
      </c>
      <c r="B678" s="13" t="s">
        <v>1202</v>
      </c>
      <c r="C678" s="14" t="s">
        <v>1203</v>
      </c>
      <c r="D678" s="45" t="s">
        <v>557</v>
      </c>
      <c r="E678" s="45">
        <v>22.2</v>
      </c>
      <c r="F678" s="55">
        <v>22.2</v>
      </c>
      <c r="G678" s="55">
        <v>22.6</v>
      </c>
      <c r="H678" s="55">
        <v>23.1</v>
      </c>
      <c r="I678" s="14" t="s">
        <v>1188</v>
      </c>
      <c r="J678" s="45" t="s">
        <v>94</v>
      </c>
      <c r="K678" s="45" t="s">
        <v>189</v>
      </c>
      <c r="L678" s="45" t="s">
        <v>189</v>
      </c>
      <c r="M678" s="71" t="s">
        <v>189</v>
      </c>
    </row>
    <row r="679" spans="1:13" ht="25.5" x14ac:dyDescent="0.25">
      <c r="A679" s="12" t="s">
        <v>1204</v>
      </c>
      <c r="B679" s="13" t="s">
        <v>1205</v>
      </c>
      <c r="C679" s="14" t="s">
        <v>1128</v>
      </c>
      <c r="D679" s="45" t="s">
        <v>557</v>
      </c>
      <c r="E679" s="45">
        <v>75.8</v>
      </c>
      <c r="F679" s="55">
        <v>75.8</v>
      </c>
      <c r="G679" s="55">
        <v>77.2</v>
      </c>
      <c r="H679" s="55">
        <v>78.900000000000006</v>
      </c>
      <c r="I679" s="14" t="s">
        <v>1188</v>
      </c>
      <c r="J679" s="45" t="s">
        <v>94</v>
      </c>
      <c r="K679" s="45" t="s">
        <v>189</v>
      </c>
      <c r="L679" s="45" t="s">
        <v>189</v>
      </c>
      <c r="M679" s="71" t="s">
        <v>189</v>
      </c>
    </row>
    <row r="680" spans="1:13" ht="25.5" x14ac:dyDescent="0.25">
      <c r="A680" s="12" t="s">
        <v>1206</v>
      </c>
      <c r="B680" s="13" t="s">
        <v>1207</v>
      </c>
      <c r="C680" s="14" t="s">
        <v>308</v>
      </c>
      <c r="D680" s="45" t="s">
        <v>557</v>
      </c>
      <c r="E680" s="45">
        <v>18.600000000000001</v>
      </c>
      <c r="F680" s="55">
        <v>18.600000000000001</v>
      </c>
      <c r="G680" s="55">
        <v>18.899999999999999</v>
      </c>
      <c r="H680" s="55">
        <v>19.3</v>
      </c>
      <c r="I680" s="14" t="s">
        <v>1188</v>
      </c>
      <c r="J680" s="45" t="s">
        <v>94</v>
      </c>
      <c r="K680" s="45" t="s">
        <v>189</v>
      </c>
      <c r="L680" s="45" t="s">
        <v>189</v>
      </c>
      <c r="M680" s="71" t="s">
        <v>189</v>
      </c>
    </row>
    <row r="681" spans="1:13" ht="25.5" x14ac:dyDescent="0.25">
      <c r="A681" s="12" t="s">
        <v>1208</v>
      </c>
      <c r="B681" s="13" t="s">
        <v>1209</v>
      </c>
      <c r="C681" s="14" t="s">
        <v>308</v>
      </c>
      <c r="D681" s="45" t="s">
        <v>557</v>
      </c>
      <c r="E681" s="45">
        <v>68.5</v>
      </c>
      <c r="F681" s="55">
        <v>72.400000000000006</v>
      </c>
      <c r="G681" s="55">
        <v>73.7</v>
      </c>
      <c r="H681" s="55">
        <v>75.3</v>
      </c>
      <c r="I681" s="14" t="s">
        <v>1188</v>
      </c>
      <c r="J681" s="45" t="s">
        <v>94</v>
      </c>
      <c r="K681" s="45" t="s">
        <v>189</v>
      </c>
      <c r="L681" s="45" t="s">
        <v>189</v>
      </c>
      <c r="M681" s="71" t="s">
        <v>189</v>
      </c>
    </row>
    <row r="682" spans="1:13" ht="25.5" x14ac:dyDescent="0.25">
      <c r="A682" s="12" t="s">
        <v>1210</v>
      </c>
      <c r="B682" s="13" t="s">
        <v>1211</v>
      </c>
      <c r="C682" s="14" t="s">
        <v>237</v>
      </c>
      <c r="D682" s="45" t="s">
        <v>557</v>
      </c>
      <c r="E682" s="45">
        <v>7.6</v>
      </c>
      <c r="F682" s="55">
        <v>7.6</v>
      </c>
      <c r="G682" s="55">
        <v>7.7</v>
      </c>
      <c r="H682" s="55">
        <v>7.9</v>
      </c>
      <c r="I682" s="14" t="s">
        <v>1188</v>
      </c>
      <c r="J682" s="45" t="s">
        <v>94</v>
      </c>
      <c r="K682" s="45" t="s">
        <v>189</v>
      </c>
      <c r="L682" s="45" t="s">
        <v>189</v>
      </c>
      <c r="M682" s="71" t="s">
        <v>189</v>
      </c>
    </row>
    <row r="683" spans="1:13" ht="25.5" x14ac:dyDescent="0.25">
      <c r="A683" s="12" t="s">
        <v>1212</v>
      </c>
      <c r="B683" s="13" t="s">
        <v>1213</v>
      </c>
      <c r="C683" s="14" t="s">
        <v>994</v>
      </c>
      <c r="D683" s="45" t="s">
        <v>557</v>
      </c>
      <c r="E683" s="45">
        <v>5.3</v>
      </c>
      <c r="F683" s="55">
        <v>5.3</v>
      </c>
      <c r="G683" s="55">
        <v>5.4</v>
      </c>
      <c r="H683" s="55">
        <v>5.5</v>
      </c>
      <c r="I683" s="14" t="s">
        <v>1188</v>
      </c>
      <c r="J683" s="45" t="s">
        <v>94</v>
      </c>
      <c r="K683" s="45" t="s">
        <v>189</v>
      </c>
      <c r="L683" s="45" t="s">
        <v>189</v>
      </c>
      <c r="M683" s="71" t="s">
        <v>189</v>
      </c>
    </row>
    <row r="684" spans="1:13" ht="26.25" thickBot="1" x14ac:dyDescent="0.3">
      <c r="A684" s="12" t="s">
        <v>1214</v>
      </c>
      <c r="B684" s="13" t="s">
        <v>1215</v>
      </c>
      <c r="C684" s="14" t="s">
        <v>1101</v>
      </c>
      <c r="D684" s="45" t="s">
        <v>557</v>
      </c>
      <c r="E684" s="45">
        <v>17.3</v>
      </c>
      <c r="F684" s="55">
        <v>18.7</v>
      </c>
      <c r="G684" s="55">
        <v>19</v>
      </c>
      <c r="H684" s="55">
        <v>19.399999999999999</v>
      </c>
      <c r="I684" s="14" t="s">
        <v>1188</v>
      </c>
      <c r="J684" s="45" t="s">
        <v>94</v>
      </c>
      <c r="K684" s="45" t="s">
        <v>189</v>
      </c>
      <c r="L684" s="45" t="s">
        <v>189</v>
      </c>
      <c r="M684" s="71" t="s">
        <v>189</v>
      </c>
    </row>
    <row r="685" spans="1:13" ht="26.25" hidden="1" thickBot="1" x14ac:dyDescent="0.3">
      <c r="A685" s="12" t="s">
        <v>1216</v>
      </c>
      <c r="B685" s="13" t="s">
        <v>1217</v>
      </c>
      <c r="C685" s="14" t="s">
        <v>1101</v>
      </c>
      <c r="D685" s="45"/>
      <c r="E685" s="45"/>
      <c r="F685" s="55"/>
      <c r="G685" s="55"/>
      <c r="H685" s="55"/>
      <c r="I685" s="14"/>
      <c r="J685" s="45"/>
      <c r="K685" s="45"/>
      <c r="L685" s="45"/>
      <c r="M685" s="71"/>
    </row>
    <row r="686" spans="1:13" ht="26.25" thickBot="1" x14ac:dyDescent="0.3">
      <c r="A686" s="12" t="s">
        <v>1218</v>
      </c>
      <c r="B686" s="13" t="s">
        <v>1219</v>
      </c>
      <c r="C686" s="14" t="s">
        <v>1101</v>
      </c>
      <c r="D686" s="45" t="s">
        <v>557</v>
      </c>
      <c r="E686" s="45">
        <v>48.7</v>
      </c>
      <c r="F686" s="55">
        <v>50.9</v>
      </c>
      <c r="G686" s="55">
        <v>51.8</v>
      </c>
      <c r="H686" s="55">
        <v>53</v>
      </c>
      <c r="I686" s="14" t="s">
        <v>1188</v>
      </c>
      <c r="J686" s="45" t="s">
        <v>94</v>
      </c>
      <c r="K686" s="45" t="s">
        <v>189</v>
      </c>
      <c r="L686" s="45" t="s">
        <v>189</v>
      </c>
      <c r="M686" s="71" t="s">
        <v>189</v>
      </c>
    </row>
    <row r="687" spans="1:13" ht="26.25" thickBot="1" x14ac:dyDescent="0.3">
      <c r="A687" s="12" t="s">
        <v>1220</v>
      </c>
      <c r="B687" s="13" t="s">
        <v>1221</v>
      </c>
      <c r="C687" s="14" t="s">
        <v>994</v>
      </c>
      <c r="D687" s="45" t="s">
        <v>557</v>
      </c>
      <c r="E687" s="45">
        <v>46.6</v>
      </c>
      <c r="F687" s="55">
        <v>51.8</v>
      </c>
      <c r="G687" s="55">
        <v>52.7</v>
      </c>
      <c r="H687" s="55">
        <v>53.9</v>
      </c>
      <c r="I687" s="14" t="s">
        <v>1188</v>
      </c>
      <c r="J687" s="45" t="s">
        <v>94</v>
      </c>
      <c r="K687" s="45" t="s">
        <v>189</v>
      </c>
      <c r="L687" s="45" t="s">
        <v>189</v>
      </c>
      <c r="M687" s="71" t="s">
        <v>189</v>
      </c>
    </row>
    <row r="688" spans="1:13" ht="39" thickBot="1" x14ac:dyDescent="0.3">
      <c r="A688" s="12" t="s">
        <v>1222</v>
      </c>
      <c r="B688" s="13" t="s">
        <v>1223</v>
      </c>
      <c r="C688" s="14" t="s">
        <v>1101</v>
      </c>
      <c r="D688" s="45" t="s">
        <v>557</v>
      </c>
      <c r="E688" s="45">
        <v>1.6</v>
      </c>
      <c r="F688" s="55">
        <v>1.6</v>
      </c>
      <c r="G688" s="55">
        <v>1.6</v>
      </c>
      <c r="H688" s="55">
        <v>1.6</v>
      </c>
      <c r="I688" s="14" t="s">
        <v>1188</v>
      </c>
      <c r="J688" s="45" t="s">
        <v>94</v>
      </c>
      <c r="K688" s="45" t="s">
        <v>189</v>
      </c>
      <c r="L688" s="45" t="s">
        <v>189</v>
      </c>
      <c r="M688" s="71" t="s">
        <v>189</v>
      </c>
    </row>
    <row r="689" spans="1:13" ht="25.5" x14ac:dyDescent="0.25">
      <c r="A689" s="150" t="s">
        <v>1224</v>
      </c>
      <c r="B689" s="135" t="s">
        <v>1225</v>
      </c>
      <c r="C689" s="135" t="s">
        <v>879</v>
      </c>
      <c r="D689" s="45" t="s">
        <v>557</v>
      </c>
      <c r="E689" s="45">
        <v>10.4</v>
      </c>
      <c r="F689" s="46">
        <f>SUM(F690:F690)+9.1</f>
        <v>9.1</v>
      </c>
      <c r="G689" s="46">
        <f>SUM(G690:G690)+9.3</f>
        <v>9.3000000000000007</v>
      </c>
      <c r="H689" s="46">
        <f>SUM(H690:H690)+9.5</f>
        <v>9.5</v>
      </c>
      <c r="I689" s="14" t="s">
        <v>1226</v>
      </c>
      <c r="J689" s="45" t="s">
        <v>21</v>
      </c>
      <c r="K689" s="45" t="s">
        <v>70</v>
      </c>
      <c r="L689" s="45" t="s">
        <v>70</v>
      </c>
      <c r="M689" s="71" t="s">
        <v>70</v>
      </c>
    </row>
    <row r="690" spans="1:13" ht="26.25" thickBot="1" x14ac:dyDescent="0.3">
      <c r="A690" s="152"/>
      <c r="B690" s="137"/>
      <c r="C690" s="137"/>
      <c r="D690" s="39"/>
      <c r="E690" s="39"/>
      <c r="F690" s="47"/>
      <c r="G690" s="47"/>
      <c r="H690" s="47"/>
      <c r="I690" s="17" t="s">
        <v>1227</v>
      </c>
      <c r="J690" s="39" t="s">
        <v>21</v>
      </c>
      <c r="K690" s="39" t="s">
        <v>123</v>
      </c>
      <c r="L690" s="39" t="s">
        <v>123</v>
      </c>
      <c r="M690" s="72" t="s">
        <v>123</v>
      </c>
    </row>
    <row r="691" spans="1:13" ht="26.25" thickBot="1" x14ac:dyDescent="0.3">
      <c r="A691" s="12" t="s">
        <v>1228</v>
      </c>
      <c r="B691" s="13" t="s">
        <v>1229</v>
      </c>
      <c r="C691" s="14" t="s">
        <v>1141</v>
      </c>
      <c r="D691" s="45" t="s">
        <v>557</v>
      </c>
      <c r="E691" s="45"/>
      <c r="F691" s="55">
        <v>20.9</v>
      </c>
      <c r="G691" s="55">
        <v>21.3</v>
      </c>
      <c r="H691" s="55">
        <v>21.8</v>
      </c>
      <c r="I691" s="14" t="s">
        <v>1188</v>
      </c>
      <c r="J691" s="45" t="s">
        <v>94</v>
      </c>
      <c r="K691" s="45" t="s">
        <v>189</v>
      </c>
      <c r="L691" s="45" t="s">
        <v>189</v>
      </c>
      <c r="M691" s="71" t="s">
        <v>189</v>
      </c>
    </row>
    <row r="692" spans="1:13" ht="26.25" thickBot="1" x14ac:dyDescent="0.3">
      <c r="A692" s="12" t="s">
        <v>1230</v>
      </c>
      <c r="B692" s="13" t="s">
        <v>1231</v>
      </c>
      <c r="C692" s="14" t="s">
        <v>1141</v>
      </c>
      <c r="D692" s="45" t="s">
        <v>557</v>
      </c>
      <c r="E692" s="45">
        <v>39.6</v>
      </c>
      <c r="F692" s="55">
        <v>39.6</v>
      </c>
      <c r="G692" s="55">
        <v>40.299999999999997</v>
      </c>
      <c r="H692" s="55">
        <v>41.2</v>
      </c>
      <c r="I692" s="14" t="s">
        <v>1232</v>
      </c>
      <c r="J692" s="45" t="s">
        <v>94</v>
      </c>
      <c r="K692" s="45" t="s">
        <v>189</v>
      </c>
      <c r="L692" s="45" t="s">
        <v>189</v>
      </c>
      <c r="M692" s="71" t="s">
        <v>189</v>
      </c>
    </row>
    <row r="693" spans="1:13" ht="39" thickBot="1" x14ac:dyDescent="0.3">
      <c r="A693" s="9" t="s">
        <v>1233</v>
      </c>
      <c r="B693" s="10" t="s">
        <v>1234</v>
      </c>
      <c r="C693" s="11"/>
      <c r="D693" s="60"/>
      <c r="E693" s="44">
        <f>E694+E695+E699+E700</f>
        <v>522.4</v>
      </c>
      <c r="F693" s="44">
        <f>F694+F695+F699+F700</f>
        <v>712.2</v>
      </c>
      <c r="G693" s="44"/>
      <c r="H693" s="44"/>
      <c r="I693" s="178"/>
      <c r="J693" s="179"/>
      <c r="K693" s="179"/>
      <c r="L693" s="179"/>
      <c r="M693" s="180"/>
    </row>
    <row r="694" spans="1:13" ht="39" thickBot="1" x14ac:dyDescent="0.3">
      <c r="A694" s="12" t="s">
        <v>1235</v>
      </c>
      <c r="B694" s="13" t="s">
        <v>1236</v>
      </c>
      <c r="C694" s="14" t="s">
        <v>1128</v>
      </c>
      <c r="D694" s="45"/>
      <c r="E694" s="45"/>
      <c r="F694" s="55"/>
      <c r="G694" s="55"/>
      <c r="H694" s="55"/>
      <c r="I694" s="14" t="s">
        <v>1237</v>
      </c>
      <c r="J694" s="45" t="s">
        <v>21</v>
      </c>
      <c r="K694" s="45" t="s">
        <v>70</v>
      </c>
      <c r="L694" s="45" t="s">
        <v>70</v>
      </c>
      <c r="M694" s="71" t="s">
        <v>70</v>
      </c>
    </row>
    <row r="695" spans="1:13" ht="38.25" customHeight="1" x14ac:dyDescent="0.25">
      <c r="A695" s="150" t="s">
        <v>1238</v>
      </c>
      <c r="B695" s="135" t="s">
        <v>1239</v>
      </c>
      <c r="C695" s="135" t="s">
        <v>184</v>
      </c>
      <c r="D695" s="45"/>
      <c r="E695" s="46">
        <f>SUM(E696:E698)</f>
        <v>440.2</v>
      </c>
      <c r="F695" s="46">
        <f>SUM(F696:F698)</f>
        <v>542.1</v>
      </c>
      <c r="G695" s="46"/>
      <c r="H695" s="46"/>
      <c r="I695" s="135" t="s">
        <v>1240</v>
      </c>
      <c r="J695" s="138" t="s">
        <v>21</v>
      </c>
      <c r="K695" s="138" t="s">
        <v>56</v>
      </c>
      <c r="L695" s="138"/>
      <c r="M695" s="141"/>
    </row>
    <row r="696" spans="1:13" x14ac:dyDescent="0.25">
      <c r="A696" s="151"/>
      <c r="B696" s="136"/>
      <c r="C696" s="136"/>
      <c r="D696" s="39" t="s">
        <v>148</v>
      </c>
      <c r="E696" s="39">
        <v>64.900000000000006</v>
      </c>
      <c r="F696" s="47">
        <v>89.5</v>
      </c>
      <c r="G696" s="47"/>
      <c r="H696" s="47"/>
      <c r="I696" s="136"/>
      <c r="J696" s="139"/>
      <c r="K696" s="139"/>
      <c r="L696" s="139"/>
      <c r="M696" s="142"/>
    </row>
    <row r="697" spans="1:13" x14ac:dyDescent="0.25">
      <c r="A697" s="151"/>
      <c r="B697" s="136"/>
      <c r="C697" s="136"/>
      <c r="D697" s="39" t="s">
        <v>190</v>
      </c>
      <c r="E697" s="39">
        <v>32.4</v>
      </c>
      <c r="F697" s="47"/>
      <c r="G697" s="47"/>
      <c r="H697" s="47"/>
      <c r="I697" s="136"/>
      <c r="J697" s="139"/>
      <c r="K697" s="139"/>
      <c r="L697" s="139"/>
      <c r="M697" s="142"/>
    </row>
    <row r="698" spans="1:13" ht="15.75" thickBot="1" x14ac:dyDescent="0.3">
      <c r="A698" s="152"/>
      <c r="B698" s="137"/>
      <c r="C698" s="137"/>
      <c r="D698" s="39" t="s">
        <v>216</v>
      </c>
      <c r="E698" s="39">
        <v>342.9</v>
      </c>
      <c r="F698" s="47">
        <v>452.6</v>
      </c>
      <c r="G698" s="47"/>
      <c r="H698" s="47"/>
      <c r="I698" s="137"/>
      <c r="J698" s="140"/>
      <c r="K698" s="140"/>
      <c r="L698" s="140"/>
      <c r="M698" s="143"/>
    </row>
    <row r="699" spans="1:13" ht="39" thickBot="1" x14ac:dyDescent="0.3">
      <c r="A699" s="12" t="s">
        <v>1241</v>
      </c>
      <c r="B699" s="13" t="s">
        <v>1242</v>
      </c>
      <c r="C699" s="14" t="s">
        <v>1243</v>
      </c>
      <c r="D699" s="45" t="s">
        <v>190</v>
      </c>
      <c r="E699" s="45">
        <v>63.1</v>
      </c>
      <c r="F699" s="55"/>
      <c r="G699" s="55"/>
      <c r="H699" s="55"/>
      <c r="I699" s="14"/>
      <c r="J699" s="45"/>
      <c r="K699" s="45"/>
      <c r="L699" s="45"/>
      <c r="M699" s="71"/>
    </row>
    <row r="700" spans="1:13" ht="38.25" customHeight="1" x14ac:dyDescent="0.25">
      <c r="A700" s="150" t="s">
        <v>1244</v>
      </c>
      <c r="B700" s="135" t="s">
        <v>1245</v>
      </c>
      <c r="C700" s="135" t="s">
        <v>184</v>
      </c>
      <c r="D700" s="45"/>
      <c r="E700" s="46">
        <f>SUM(E701:E702)</f>
        <v>19.100000000000001</v>
      </c>
      <c r="F700" s="46">
        <f>SUM(F701:F702)</f>
        <v>170.1</v>
      </c>
      <c r="G700" s="46"/>
      <c r="H700" s="46"/>
      <c r="I700" s="135" t="s">
        <v>396</v>
      </c>
      <c r="J700" s="138" t="s">
        <v>21</v>
      </c>
      <c r="K700" s="138" t="s">
        <v>572</v>
      </c>
      <c r="L700" s="138"/>
      <c r="M700" s="141"/>
    </row>
    <row r="701" spans="1:13" x14ac:dyDescent="0.25">
      <c r="A701" s="151"/>
      <c r="B701" s="136"/>
      <c r="C701" s="136"/>
      <c r="D701" s="39" t="s">
        <v>28</v>
      </c>
      <c r="E701" s="39">
        <v>19.100000000000001</v>
      </c>
      <c r="F701" s="47">
        <v>161.1</v>
      </c>
      <c r="G701" s="47"/>
      <c r="H701" s="47"/>
      <c r="I701" s="136"/>
      <c r="J701" s="139"/>
      <c r="K701" s="139"/>
      <c r="L701" s="139"/>
      <c r="M701" s="142"/>
    </row>
    <row r="702" spans="1:13" ht="15.75" thickBot="1" x14ac:dyDescent="0.3">
      <c r="A702" s="152"/>
      <c r="B702" s="137"/>
      <c r="C702" s="137"/>
      <c r="D702" s="39" t="s">
        <v>190</v>
      </c>
      <c r="E702" s="39"/>
      <c r="F702" s="47">
        <v>9</v>
      </c>
      <c r="G702" s="47"/>
      <c r="H702" s="47"/>
      <c r="I702" s="137"/>
      <c r="J702" s="140"/>
      <c r="K702" s="140"/>
      <c r="L702" s="140"/>
      <c r="M702" s="143"/>
    </row>
    <row r="703" spans="1:13" ht="15.75" thickBot="1" x14ac:dyDescent="0.3">
      <c r="A703" s="9" t="s">
        <v>1246</v>
      </c>
      <c r="B703" s="10" t="s">
        <v>1247</v>
      </c>
      <c r="C703" s="11"/>
      <c r="D703" s="60"/>
      <c r="E703" s="44">
        <f>E704+E706</f>
        <v>7497.7</v>
      </c>
      <c r="F703" s="44">
        <f>F704+F706</f>
        <v>6890.4</v>
      </c>
      <c r="G703" s="44">
        <f>G704+G706</f>
        <v>6970</v>
      </c>
      <c r="H703" s="44">
        <f>H704+H706</f>
        <v>5974.5</v>
      </c>
      <c r="I703" s="178"/>
      <c r="J703" s="179"/>
      <c r="K703" s="179"/>
      <c r="L703" s="179"/>
      <c r="M703" s="180"/>
    </row>
    <row r="704" spans="1:13" ht="38.25" customHeight="1" x14ac:dyDescent="0.25">
      <c r="A704" s="150" t="s">
        <v>1248</v>
      </c>
      <c r="B704" s="135" t="s">
        <v>1249</v>
      </c>
      <c r="C704" s="135" t="s">
        <v>1179</v>
      </c>
      <c r="D704" s="45" t="s">
        <v>28</v>
      </c>
      <c r="E704" s="45">
        <v>5997.7</v>
      </c>
      <c r="F704" s="46">
        <f>SUM(F705:F705)+4290.4</f>
        <v>4290.3999999999996</v>
      </c>
      <c r="G704" s="46">
        <f>SUM(G705:G705)+4323.2</f>
        <v>4323.2</v>
      </c>
      <c r="H704" s="46">
        <f>SUM(H705:H705)+3269.5</f>
        <v>3269.5</v>
      </c>
      <c r="I704" s="14" t="s">
        <v>1250</v>
      </c>
      <c r="J704" s="45" t="s">
        <v>315</v>
      </c>
      <c r="K704" s="45" t="s">
        <v>114</v>
      </c>
      <c r="L704" s="45" t="s">
        <v>114</v>
      </c>
      <c r="M704" s="71" t="s">
        <v>37</v>
      </c>
    </row>
    <row r="705" spans="1:13" ht="15.75" thickBot="1" x14ac:dyDescent="0.3">
      <c r="A705" s="152"/>
      <c r="B705" s="137"/>
      <c r="C705" s="137"/>
      <c r="D705" s="39"/>
      <c r="E705" s="39"/>
      <c r="F705" s="47"/>
      <c r="G705" s="47"/>
      <c r="H705" s="47"/>
      <c r="I705" s="17" t="s">
        <v>1251</v>
      </c>
      <c r="J705" s="39" t="s">
        <v>94</v>
      </c>
      <c r="K705" s="39" t="s">
        <v>189</v>
      </c>
      <c r="L705" s="39" t="s">
        <v>189</v>
      </c>
      <c r="M705" s="72" t="s">
        <v>189</v>
      </c>
    </row>
    <row r="706" spans="1:13" ht="25.5" customHeight="1" x14ac:dyDescent="0.25">
      <c r="A706" s="150" t="s">
        <v>1252</v>
      </c>
      <c r="B706" s="135" t="s">
        <v>1253</v>
      </c>
      <c r="C706" s="135" t="s">
        <v>451</v>
      </c>
      <c r="D706" s="45"/>
      <c r="E706" s="46">
        <f>SUM(E707:E708)</f>
        <v>1500</v>
      </c>
      <c r="F706" s="46">
        <f>SUM(F707:F708)</f>
        <v>2600</v>
      </c>
      <c r="G706" s="46">
        <f>SUM(G707:G708)</f>
        <v>2646.8</v>
      </c>
      <c r="H706" s="46">
        <f>SUM(H707:H708)</f>
        <v>2705</v>
      </c>
      <c r="I706" s="135" t="s">
        <v>1125</v>
      </c>
      <c r="J706" s="138" t="s">
        <v>94</v>
      </c>
      <c r="K706" s="138" t="s">
        <v>189</v>
      </c>
      <c r="L706" s="138" t="s">
        <v>189</v>
      </c>
      <c r="M706" s="141" t="s">
        <v>189</v>
      </c>
    </row>
    <row r="707" spans="1:13" x14ac:dyDescent="0.25">
      <c r="A707" s="151"/>
      <c r="B707" s="136"/>
      <c r="C707" s="136"/>
      <c r="D707" s="39" t="s">
        <v>190</v>
      </c>
      <c r="E707" s="39"/>
      <c r="F707" s="47">
        <v>1900</v>
      </c>
      <c r="G707" s="47"/>
      <c r="H707" s="47"/>
      <c r="I707" s="136"/>
      <c r="J707" s="139"/>
      <c r="K707" s="139"/>
      <c r="L707" s="139"/>
      <c r="M707" s="142"/>
    </row>
    <row r="708" spans="1:13" ht="15.75" thickBot="1" x14ac:dyDescent="0.3">
      <c r="A708" s="152"/>
      <c r="B708" s="137"/>
      <c r="C708" s="137"/>
      <c r="D708" s="39" t="s">
        <v>28</v>
      </c>
      <c r="E708" s="53">
        <v>1500</v>
      </c>
      <c r="F708" s="47">
        <v>700</v>
      </c>
      <c r="G708" s="47">
        <v>2646.8</v>
      </c>
      <c r="H708" s="47">
        <v>2705</v>
      </c>
      <c r="I708" s="137"/>
      <c r="J708" s="140"/>
      <c r="K708" s="140"/>
      <c r="L708" s="140"/>
      <c r="M708" s="143"/>
    </row>
    <row r="709" spans="1:13" ht="26.25" thickBot="1" x14ac:dyDescent="0.3">
      <c r="A709" s="9" t="s">
        <v>1254</v>
      </c>
      <c r="B709" s="10" t="s">
        <v>1255</v>
      </c>
      <c r="C709" s="11" t="s">
        <v>1128</v>
      </c>
      <c r="D709" s="60"/>
      <c r="E709" s="60"/>
      <c r="F709" s="44"/>
      <c r="G709" s="44"/>
      <c r="H709" s="44"/>
      <c r="I709" s="178"/>
      <c r="J709" s="179"/>
      <c r="K709" s="179"/>
      <c r="L709" s="179"/>
      <c r="M709" s="180"/>
    </row>
    <row r="710" spans="1:13" ht="39" thickBot="1" x14ac:dyDescent="0.3">
      <c r="A710" s="12" t="s">
        <v>1256</v>
      </c>
      <c r="B710" s="13" t="s">
        <v>1257</v>
      </c>
      <c r="C710" s="14" t="s">
        <v>1128</v>
      </c>
      <c r="D710" s="45"/>
      <c r="E710" s="45"/>
      <c r="F710" s="55"/>
      <c r="G710" s="55"/>
      <c r="H710" s="55"/>
      <c r="I710" s="14" t="s">
        <v>1258</v>
      </c>
      <c r="J710" s="45" t="s">
        <v>94</v>
      </c>
      <c r="K710" s="45" t="s">
        <v>189</v>
      </c>
      <c r="L710" s="45" t="s">
        <v>189</v>
      </c>
      <c r="M710" s="71" t="s">
        <v>189</v>
      </c>
    </row>
    <row r="711" spans="1:13" ht="38.25" x14ac:dyDescent="0.25">
      <c r="A711" s="12" t="s">
        <v>1259</v>
      </c>
      <c r="B711" s="13" t="s">
        <v>1260</v>
      </c>
      <c r="C711" s="14" t="s">
        <v>1128</v>
      </c>
      <c r="D711" s="45"/>
      <c r="E711" s="45"/>
      <c r="F711" s="55"/>
      <c r="G711" s="55"/>
      <c r="H711" s="55"/>
      <c r="I711" s="14" t="s">
        <v>1261</v>
      </c>
      <c r="J711" s="45" t="s">
        <v>21</v>
      </c>
      <c r="K711" s="45" t="s">
        <v>30</v>
      </c>
      <c r="L711" s="45" t="s">
        <v>56</v>
      </c>
      <c r="M711" s="71" t="s">
        <v>56</v>
      </c>
    </row>
    <row r="712" spans="1:13" ht="26.25" thickBot="1" x14ac:dyDescent="0.3">
      <c r="A712" s="12" t="s">
        <v>1262</v>
      </c>
      <c r="B712" s="13" t="s">
        <v>1263</v>
      </c>
      <c r="C712" s="14" t="s">
        <v>1128</v>
      </c>
      <c r="D712" s="45"/>
      <c r="E712" s="45"/>
      <c r="F712" s="55"/>
      <c r="G712" s="55"/>
      <c r="H712" s="55"/>
      <c r="I712" s="14" t="s">
        <v>1264</v>
      </c>
      <c r="J712" s="45" t="s">
        <v>21</v>
      </c>
      <c r="K712" s="45" t="s">
        <v>67</v>
      </c>
      <c r="L712" s="45" t="s">
        <v>67</v>
      </c>
      <c r="M712" s="71" t="s">
        <v>264</v>
      </c>
    </row>
    <row r="713" spans="1:13" ht="25.5" x14ac:dyDescent="0.25">
      <c r="A713" s="165" t="s">
        <v>1265</v>
      </c>
      <c r="B713" s="167" t="s">
        <v>1266</v>
      </c>
      <c r="C713" s="169"/>
      <c r="D713" s="169"/>
      <c r="E713" s="162">
        <f>SUM(E714:E715)</f>
        <v>389</v>
      </c>
      <c r="F713" s="162">
        <f>SUM(F714:F715)</f>
        <v>418.8</v>
      </c>
      <c r="G713" s="162">
        <f>SUM(G714:G715)</f>
        <v>365.2</v>
      </c>
      <c r="H713" s="162">
        <f>SUM(H714:H715)</f>
        <v>364.4</v>
      </c>
      <c r="I713" s="8" t="s">
        <v>1267</v>
      </c>
      <c r="J713" s="38" t="s">
        <v>94</v>
      </c>
      <c r="K713" s="38" t="s">
        <v>189</v>
      </c>
      <c r="L713" s="38" t="s">
        <v>189</v>
      </c>
      <c r="M713" s="74" t="s">
        <v>189</v>
      </c>
    </row>
    <row r="714" spans="1:13" ht="26.25" thickBot="1" x14ac:dyDescent="0.3">
      <c r="A714" s="166"/>
      <c r="B714" s="168"/>
      <c r="C714" s="170"/>
      <c r="D714" s="170"/>
      <c r="E714" s="164"/>
      <c r="F714" s="164"/>
      <c r="G714" s="164"/>
      <c r="H714" s="164"/>
      <c r="I714" s="40" t="s">
        <v>1268</v>
      </c>
      <c r="J714" s="69" t="s">
        <v>21</v>
      </c>
      <c r="K714" s="69" t="s">
        <v>242</v>
      </c>
      <c r="L714" s="69" t="s">
        <v>1269</v>
      </c>
      <c r="M714" s="78" t="s">
        <v>1269</v>
      </c>
    </row>
    <row r="715" spans="1:13" ht="39" thickBot="1" x14ac:dyDescent="0.3">
      <c r="A715" s="9" t="s">
        <v>1270</v>
      </c>
      <c r="B715" s="10" t="s">
        <v>1271</v>
      </c>
      <c r="C715" s="11"/>
      <c r="D715" s="60"/>
      <c r="E715" s="44">
        <f>E716+E717+E718+E719+E721+E724+E725+E728</f>
        <v>389</v>
      </c>
      <c r="F715" s="44">
        <f>F716+F717+F718+F719+F721+F724+F725+F728</f>
        <v>418.8</v>
      </c>
      <c r="G715" s="44">
        <f>G716+G717+G718+G719+G721+G724+G725+G728</f>
        <v>365.2</v>
      </c>
      <c r="H715" s="44">
        <f>H716+H717+H718+H719+H721+H724+H725+H728</f>
        <v>364.4</v>
      </c>
      <c r="I715" s="178"/>
      <c r="J715" s="179"/>
      <c r="K715" s="179"/>
      <c r="L715" s="179"/>
      <c r="M715" s="180"/>
    </row>
    <row r="716" spans="1:13" ht="25.5" customHeight="1" thickBot="1" x14ac:dyDescent="0.3">
      <c r="A716" s="12" t="s">
        <v>1272</v>
      </c>
      <c r="B716" s="13" t="s">
        <v>1273</v>
      </c>
      <c r="C716" s="14" t="s">
        <v>308</v>
      </c>
      <c r="D716" s="45" t="s">
        <v>28</v>
      </c>
      <c r="E716" s="54">
        <v>43</v>
      </c>
      <c r="F716" s="55">
        <v>43</v>
      </c>
      <c r="G716" s="55">
        <v>45</v>
      </c>
      <c r="H716" s="55">
        <v>45</v>
      </c>
      <c r="I716" s="14" t="s">
        <v>1274</v>
      </c>
      <c r="J716" s="45" t="s">
        <v>315</v>
      </c>
      <c r="K716" s="45" t="s">
        <v>114</v>
      </c>
      <c r="L716" s="45" t="s">
        <v>114</v>
      </c>
      <c r="M716" s="71" t="s">
        <v>114</v>
      </c>
    </row>
    <row r="717" spans="1:13" ht="39" hidden="1" thickBot="1" x14ac:dyDescent="0.3">
      <c r="A717" s="12" t="s">
        <v>1275</v>
      </c>
      <c r="B717" s="13" t="s">
        <v>1276</v>
      </c>
      <c r="C717" s="14" t="s">
        <v>308</v>
      </c>
      <c r="D717" s="45"/>
      <c r="E717" s="45"/>
      <c r="F717" s="55"/>
      <c r="G717" s="55"/>
      <c r="H717" s="55"/>
      <c r="I717" s="14"/>
      <c r="J717" s="45"/>
      <c r="K717" s="45"/>
      <c r="L717" s="45"/>
      <c r="M717" s="71"/>
    </row>
    <row r="718" spans="1:13" ht="39" thickBot="1" x14ac:dyDescent="0.3">
      <c r="A718" s="12" t="s">
        <v>1277</v>
      </c>
      <c r="B718" s="13" t="s">
        <v>1278</v>
      </c>
      <c r="C718" s="14" t="s">
        <v>1279</v>
      </c>
      <c r="D718" s="45" t="s">
        <v>157</v>
      </c>
      <c r="E718" s="45">
        <v>73.5</v>
      </c>
      <c r="F718" s="55">
        <v>73.5</v>
      </c>
      <c r="G718" s="55">
        <v>73.5</v>
      </c>
      <c r="H718" s="55">
        <v>72</v>
      </c>
      <c r="I718" s="14" t="s">
        <v>1280</v>
      </c>
      <c r="J718" s="45" t="s">
        <v>21</v>
      </c>
      <c r="K718" s="45" t="s">
        <v>70</v>
      </c>
      <c r="L718" s="45" t="s">
        <v>110</v>
      </c>
      <c r="M718" s="71" t="s">
        <v>70</v>
      </c>
    </row>
    <row r="719" spans="1:13" ht="38.25" customHeight="1" x14ac:dyDescent="0.25">
      <c r="A719" s="150" t="s">
        <v>1281</v>
      </c>
      <c r="B719" s="135" t="s">
        <v>1282</v>
      </c>
      <c r="C719" s="135" t="s">
        <v>1279</v>
      </c>
      <c r="D719" s="45" t="s">
        <v>28</v>
      </c>
      <c r="E719" s="45">
        <v>30.5</v>
      </c>
      <c r="F719" s="46">
        <f>SUM(F720:F720)+30.5</f>
        <v>30.5</v>
      </c>
      <c r="G719" s="46">
        <f>SUM(G720:G720)+31.2</f>
        <v>31.2</v>
      </c>
      <c r="H719" s="46">
        <f>SUM(H720:H720)+31.7</f>
        <v>31.7</v>
      </c>
      <c r="I719" s="14" t="s">
        <v>1280</v>
      </c>
      <c r="J719" s="45" t="s">
        <v>21</v>
      </c>
      <c r="K719" s="45" t="s">
        <v>70</v>
      </c>
      <c r="L719" s="45" t="s">
        <v>110</v>
      </c>
      <c r="M719" s="71" t="s">
        <v>125</v>
      </c>
    </row>
    <row r="720" spans="1:13" ht="15.75" thickBot="1" x14ac:dyDescent="0.3">
      <c r="A720" s="152"/>
      <c r="B720" s="137"/>
      <c r="C720" s="137"/>
      <c r="D720" s="39"/>
      <c r="E720" s="39"/>
      <c r="F720" s="47"/>
      <c r="G720" s="47"/>
      <c r="H720" s="47"/>
      <c r="I720" s="17" t="s">
        <v>1283</v>
      </c>
      <c r="J720" s="39" t="s">
        <v>21</v>
      </c>
      <c r="K720" s="39" t="s">
        <v>30</v>
      </c>
      <c r="L720" s="39"/>
      <c r="M720" s="72"/>
    </row>
    <row r="721" spans="1:13" ht="25.5" customHeight="1" x14ac:dyDescent="0.25">
      <c r="A721" s="150" t="s">
        <v>1284</v>
      </c>
      <c r="B721" s="135" t="s">
        <v>1285</v>
      </c>
      <c r="C721" s="135" t="s">
        <v>184</v>
      </c>
      <c r="D721" s="45"/>
      <c r="E721" s="46">
        <f>SUM(E722:E723)</f>
        <v>31.700000000000003</v>
      </c>
      <c r="F721" s="46">
        <f>SUM(F722:F723)</f>
        <v>56.5</v>
      </c>
      <c r="G721" s="46"/>
      <c r="H721" s="46"/>
      <c r="I721" s="135" t="s">
        <v>1286</v>
      </c>
      <c r="J721" s="138" t="s">
        <v>21</v>
      </c>
      <c r="K721" s="138" t="s">
        <v>322</v>
      </c>
      <c r="L721" s="138"/>
      <c r="M721" s="141"/>
    </row>
    <row r="722" spans="1:13" x14ac:dyDescent="0.25">
      <c r="A722" s="151"/>
      <c r="B722" s="136"/>
      <c r="C722" s="136"/>
      <c r="D722" s="39" t="s">
        <v>28</v>
      </c>
      <c r="E722" s="39">
        <v>16.8</v>
      </c>
      <c r="F722" s="47">
        <v>27.3</v>
      </c>
      <c r="G722" s="47"/>
      <c r="H722" s="47"/>
      <c r="I722" s="136"/>
      <c r="J722" s="139"/>
      <c r="K722" s="139"/>
      <c r="L722" s="139"/>
      <c r="M722" s="142"/>
    </row>
    <row r="723" spans="1:13" ht="15.75" thickBot="1" x14ac:dyDescent="0.3">
      <c r="A723" s="152"/>
      <c r="B723" s="137"/>
      <c r="C723" s="137"/>
      <c r="D723" s="39" t="s">
        <v>190</v>
      </c>
      <c r="E723" s="39">
        <v>14.9</v>
      </c>
      <c r="F723" s="47">
        <v>29.2</v>
      </c>
      <c r="G723" s="47"/>
      <c r="H723" s="47"/>
      <c r="I723" s="137"/>
      <c r="J723" s="140"/>
      <c r="K723" s="140"/>
      <c r="L723" s="140"/>
      <c r="M723" s="143"/>
    </row>
    <row r="724" spans="1:13" ht="51.75" thickBot="1" x14ac:dyDescent="0.3">
      <c r="A724" s="12" t="s">
        <v>1287</v>
      </c>
      <c r="B724" s="13" t="s">
        <v>1288</v>
      </c>
      <c r="C724" s="14" t="s">
        <v>1289</v>
      </c>
      <c r="D724" s="45" t="s">
        <v>28</v>
      </c>
      <c r="E724" s="54">
        <v>200</v>
      </c>
      <c r="F724" s="55">
        <v>200</v>
      </c>
      <c r="G724" s="55">
        <v>200</v>
      </c>
      <c r="H724" s="55">
        <v>200</v>
      </c>
      <c r="I724" s="14" t="s">
        <v>1280</v>
      </c>
      <c r="J724" s="45" t="s">
        <v>21</v>
      </c>
      <c r="K724" s="45" t="s">
        <v>56</v>
      </c>
      <c r="L724" s="45" t="s">
        <v>56</v>
      </c>
      <c r="M724" s="71" t="s">
        <v>56</v>
      </c>
    </row>
    <row r="725" spans="1:13" ht="38.25" customHeight="1" x14ac:dyDescent="0.25">
      <c r="A725" s="150" t="s">
        <v>1290</v>
      </c>
      <c r="B725" s="135" t="s">
        <v>1202</v>
      </c>
      <c r="C725" s="135" t="s">
        <v>1203</v>
      </c>
      <c r="D725" s="45" t="s">
        <v>28</v>
      </c>
      <c r="E725" s="45">
        <v>10.3</v>
      </c>
      <c r="F725" s="46">
        <f>SUM(F726:F727)+10.3</f>
        <v>10.3</v>
      </c>
      <c r="G725" s="46">
        <f>SUM(G726:G727)+10.5</f>
        <v>10.5</v>
      </c>
      <c r="H725" s="46">
        <f>SUM(H726:H727)+10.7</f>
        <v>10.7</v>
      </c>
      <c r="I725" s="14" t="s">
        <v>1280</v>
      </c>
      <c r="J725" s="45" t="s">
        <v>21</v>
      </c>
      <c r="K725" s="45" t="s">
        <v>322</v>
      </c>
      <c r="L725" s="45" t="s">
        <v>322</v>
      </c>
      <c r="M725" s="71" t="s">
        <v>322</v>
      </c>
    </row>
    <row r="726" spans="1:13" x14ac:dyDescent="0.25">
      <c r="A726" s="151"/>
      <c r="B726" s="136"/>
      <c r="C726" s="136"/>
      <c r="D726" s="39"/>
      <c r="E726" s="39"/>
      <c r="F726" s="47"/>
      <c r="G726" s="47"/>
      <c r="H726" s="47"/>
      <c r="I726" s="17" t="s">
        <v>1291</v>
      </c>
      <c r="J726" s="39" t="s">
        <v>315</v>
      </c>
      <c r="K726" s="39" t="s">
        <v>1292</v>
      </c>
      <c r="L726" s="39" t="s">
        <v>1292</v>
      </c>
      <c r="M726" s="72" t="s">
        <v>1292</v>
      </c>
    </row>
    <row r="727" spans="1:13" ht="39" thickBot="1" x14ac:dyDescent="0.3">
      <c r="A727" s="152"/>
      <c r="B727" s="137"/>
      <c r="C727" s="137"/>
      <c r="D727" s="39"/>
      <c r="E727" s="39"/>
      <c r="F727" s="47"/>
      <c r="G727" s="47"/>
      <c r="H727" s="47"/>
      <c r="I727" s="17" t="s">
        <v>1293</v>
      </c>
      <c r="J727" s="39" t="s">
        <v>94</v>
      </c>
      <c r="K727" s="39" t="s">
        <v>1294</v>
      </c>
      <c r="L727" s="39" t="s">
        <v>1294</v>
      </c>
      <c r="M727" s="72" t="s">
        <v>1294</v>
      </c>
    </row>
    <row r="728" spans="1:13" ht="63.75" customHeight="1" x14ac:dyDescent="0.25">
      <c r="A728" s="150" t="s">
        <v>1295</v>
      </c>
      <c r="B728" s="135" t="s">
        <v>1296</v>
      </c>
      <c r="C728" s="135" t="s">
        <v>994</v>
      </c>
      <c r="D728" s="45" t="s">
        <v>28</v>
      </c>
      <c r="E728" s="45"/>
      <c r="F728" s="46">
        <f>SUM(F729:F731)+5</f>
        <v>5</v>
      </c>
      <c r="G728" s="46">
        <f>SUM(G729:G731)+5</f>
        <v>5</v>
      </c>
      <c r="H728" s="46">
        <f>SUM(H729:H731)+5</f>
        <v>5</v>
      </c>
      <c r="I728" s="14" t="s">
        <v>1297</v>
      </c>
      <c r="J728" s="45" t="s">
        <v>21</v>
      </c>
      <c r="K728" s="45" t="s">
        <v>30</v>
      </c>
      <c r="L728" s="45"/>
      <c r="M728" s="71"/>
    </row>
    <row r="729" spans="1:13" ht="25.5" x14ac:dyDescent="0.25">
      <c r="A729" s="151"/>
      <c r="B729" s="136"/>
      <c r="C729" s="136"/>
      <c r="D729" s="39"/>
      <c r="E729" s="39"/>
      <c r="F729" s="47"/>
      <c r="G729" s="47"/>
      <c r="H729" s="47"/>
      <c r="I729" s="17" t="s">
        <v>1298</v>
      </c>
      <c r="J729" s="39" t="s">
        <v>21</v>
      </c>
      <c r="K729" s="39" t="s">
        <v>1154</v>
      </c>
      <c r="L729" s="39"/>
      <c r="M729" s="72"/>
    </row>
    <row r="730" spans="1:13" ht="51" x14ac:dyDescent="0.25">
      <c r="A730" s="151"/>
      <c r="B730" s="136"/>
      <c r="C730" s="136"/>
      <c r="D730" s="39"/>
      <c r="E730" s="39"/>
      <c r="F730" s="47"/>
      <c r="G730" s="47"/>
      <c r="H730" s="47"/>
      <c r="I730" s="17" t="s">
        <v>1299</v>
      </c>
      <c r="J730" s="39" t="s">
        <v>21</v>
      </c>
      <c r="K730" s="39" t="s">
        <v>30</v>
      </c>
      <c r="L730" s="39" t="s">
        <v>30</v>
      </c>
      <c r="M730" s="72" t="s">
        <v>30</v>
      </c>
    </row>
    <row r="731" spans="1:13" ht="15.75" thickBot="1" x14ac:dyDescent="0.3">
      <c r="A731" s="152"/>
      <c r="B731" s="137"/>
      <c r="C731" s="137"/>
      <c r="D731" s="61"/>
      <c r="E731" s="61"/>
      <c r="F731" s="62"/>
      <c r="G731" s="62"/>
      <c r="H731" s="62"/>
      <c r="I731" s="18" t="s">
        <v>1300</v>
      </c>
      <c r="J731" s="61" t="s">
        <v>21</v>
      </c>
      <c r="K731" s="61"/>
      <c r="L731" s="61"/>
      <c r="M731" s="79" t="s">
        <v>30</v>
      </c>
    </row>
    <row r="732" spans="1:13" s="1" customFormat="1" x14ac:dyDescent="0.25">
      <c r="A732" s="19"/>
      <c r="B732" s="19"/>
      <c r="C732" s="20"/>
      <c r="D732" s="63"/>
      <c r="E732" s="63"/>
      <c r="F732" s="64"/>
      <c r="G732" s="64"/>
      <c r="H732" s="64"/>
      <c r="I732" s="20"/>
      <c r="J732" s="63"/>
      <c r="K732" s="63"/>
      <c r="L732" s="63"/>
      <c r="M732" s="63"/>
    </row>
    <row r="733" spans="1:13" s="1" customFormat="1" x14ac:dyDescent="0.25">
      <c r="A733" s="19"/>
      <c r="B733" s="19"/>
      <c r="C733" s="20"/>
      <c r="D733" s="63"/>
      <c r="E733" s="63"/>
      <c r="F733" s="64"/>
      <c r="G733" s="64"/>
      <c r="H733" s="64"/>
      <c r="I733" s="20"/>
      <c r="J733" s="63"/>
      <c r="K733" s="63"/>
      <c r="L733" s="63"/>
      <c r="M733" s="63"/>
    </row>
    <row r="734" spans="1:13" s="1" customFormat="1" x14ac:dyDescent="0.25">
      <c r="A734" s="19"/>
      <c r="B734" s="19"/>
      <c r="C734" s="20"/>
      <c r="D734" s="63"/>
      <c r="E734" s="63"/>
      <c r="F734" s="64"/>
      <c r="G734" s="64"/>
      <c r="H734" s="64"/>
      <c r="I734" s="20"/>
      <c r="J734" s="63"/>
      <c r="K734" s="63"/>
      <c r="L734" s="63"/>
      <c r="M734" s="63"/>
    </row>
    <row r="735" spans="1:13" s="1" customFormat="1" x14ac:dyDescent="0.25">
      <c r="A735" s="19"/>
      <c r="B735" s="19"/>
      <c r="C735" s="20"/>
      <c r="D735" s="63"/>
      <c r="E735" s="63"/>
      <c r="F735" s="64"/>
      <c r="G735" s="64"/>
      <c r="H735" s="64"/>
      <c r="I735" s="20"/>
      <c r="J735" s="63"/>
      <c r="K735" s="63"/>
      <c r="L735" s="63"/>
      <c r="M735" s="63"/>
    </row>
    <row r="736" spans="1:13" s="1" customFormat="1" x14ac:dyDescent="0.25">
      <c r="A736" s="19"/>
      <c r="B736" s="19"/>
      <c r="C736" s="20"/>
      <c r="D736" s="63"/>
      <c r="E736" s="63"/>
      <c r="F736" s="64"/>
      <c r="G736" s="64"/>
      <c r="H736" s="64"/>
      <c r="I736" s="20"/>
      <c r="J736" s="63"/>
      <c r="K736" s="63"/>
      <c r="L736" s="63"/>
      <c r="M736" s="63"/>
    </row>
    <row r="737" spans="1:13" s="27" customFormat="1" ht="36" x14ac:dyDescent="0.25">
      <c r="A737" s="122" t="s">
        <v>1</v>
      </c>
      <c r="B737" s="122" t="s">
        <v>2</v>
      </c>
      <c r="C737" s="122" t="s">
        <v>5</v>
      </c>
      <c r="D737" s="122" t="s">
        <v>6</v>
      </c>
      <c r="E737" s="122" t="s">
        <v>7</v>
      </c>
      <c r="F737" s="123"/>
      <c r="G737" s="124"/>
      <c r="H737" s="124"/>
      <c r="I737" s="125"/>
      <c r="J737" s="124"/>
      <c r="K737" s="124"/>
      <c r="L737" s="124"/>
      <c r="M737" s="124"/>
    </row>
    <row r="738" spans="1:13" s="27" customFormat="1" ht="18" customHeight="1" x14ac:dyDescent="0.25">
      <c r="A738" s="126" t="s">
        <v>1301</v>
      </c>
      <c r="B738" s="126" t="s">
        <v>1302</v>
      </c>
      <c r="C738" s="25">
        <f>SUM(C739:C749)</f>
        <v>173615.80000000002</v>
      </c>
      <c r="D738" s="25">
        <f>SUM(D739:D749)</f>
        <v>172584.70000000004</v>
      </c>
      <c r="E738" s="25">
        <f>SUM(E739:E749)</f>
        <v>160233.29999999999</v>
      </c>
      <c r="F738" s="127"/>
      <c r="G738" s="124"/>
      <c r="H738" s="124"/>
      <c r="I738" s="125"/>
      <c r="J738" s="124"/>
      <c r="K738" s="124"/>
      <c r="L738" s="124"/>
      <c r="M738" s="124"/>
    </row>
    <row r="739" spans="1:13" x14ac:dyDescent="0.25">
      <c r="A739" s="16" t="s">
        <v>28</v>
      </c>
      <c r="B739" s="16" t="s">
        <v>1303</v>
      </c>
      <c r="C739" s="24">
        <v>86281</v>
      </c>
      <c r="D739" s="47">
        <v>102091.3</v>
      </c>
      <c r="E739" s="47">
        <v>97148.3</v>
      </c>
      <c r="F739" s="64"/>
    </row>
    <row r="740" spans="1:13" x14ac:dyDescent="0.25">
      <c r="A740" s="16" t="s">
        <v>375</v>
      </c>
      <c r="B740" s="16" t="s">
        <v>1304</v>
      </c>
      <c r="C740" s="24">
        <v>4160</v>
      </c>
      <c r="D740" s="47">
        <v>1653.6</v>
      </c>
      <c r="E740" s="47">
        <v>0</v>
      </c>
      <c r="F740" s="64"/>
    </row>
    <row r="741" spans="1:13" x14ac:dyDescent="0.25">
      <c r="A741" s="16" t="s">
        <v>735</v>
      </c>
      <c r="B741" s="16" t="s">
        <v>1305</v>
      </c>
      <c r="C741" s="24">
        <v>38895.199999999997</v>
      </c>
      <c r="D741" s="47">
        <v>39594.400000000001</v>
      </c>
      <c r="E741" s="47">
        <v>40465.199999999997</v>
      </c>
      <c r="F741" s="64"/>
    </row>
    <row r="742" spans="1:13" x14ac:dyDescent="0.25">
      <c r="A742" s="16" t="s">
        <v>557</v>
      </c>
      <c r="B742" s="16" t="s">
        <v>1306</v>
      </c>
      <c r="C742" s="24">
        <v>6057.9</v>
      </c>
      <c r="D742" s="47">
        <v>6140.1</v>
      </c>
      <c r="E742" s="47">
        <v>5671.6</v>
      </c>
      <c r="F742" s="64"/>
    </row>
    <row r="743" spans="1:13" x14ac:dyDescent="0.25">
      <c r="A743" s="16" t="s">
        <v>148</v>
      </c>
      <c r="B743" s="16" t="s">
        <v>1307</v>
      </c>
      <c r="C743" s="24">
        <v>7782.7</v>
      </c>
      <c r="D743" s="47">
        <v>7531</v>
      </c>
      <c r="E743" s="47">
        <v>6630.8</v>
      </c>
      <c r="F743" s="64"/>
    </row>
    <row r="744" spans="1:13" ht="25.5" x14ac:dyDescent="0.25">
      <c r="A744" s="16" t="s">
        <v>345</v>
      </c>
      <c r="B744" s="16" t="s">
        <v>1308</v>
      </c>
      <c r="C744" s="24">
        <v>5020.1000000000004</v>
      </c>
      <c r="D744" s="47">
        <v>5020</v>
      </c>
      <c r="E744" s="47">
        <v>5020</v>
      </c>
      <c r="F744" s="64"/>
    </row>
    <row r="745" spans="1:13" x14ac:dyDescent="0.25">
      <c r="A745" s="16" t="s">
        <v>832</v>
      </c>
      <c r="B745" s="16" t="s">
        <v>1309</v>
      </c>
      <c r="C745" s="24">
        <v>500</v>
      </c>
      <c r="D745" s="47">
        <v>415</v>
      </c>
      <c r="E745" s="47">
        <v>0</v>
      </c>
      <c r="F745" s="64"/>
    </row>
    <row r="746" spans="1:13" x14ac:dyDescent="0.25">
      <c r="A746" s="16" t="s">
        <v>216</v>
      </c>
      <c r="B746" s="16" t="s">
        <v>1310</v>
      </c>
      <c r="C746" s="24">
        <v>10635.4</v>
      </c>
      <c r="D746" s="47">
        <v>4893.1000000000004</v>
      </c>
      <c r="E746" s="47">
        <v>0</v>
      </c>
      <c r="F746" s="64"/>
    </row>
    <row r="747" spans="1:13" x14ac:dyDescent="0.25">
      <c r="A747" s="16" t="s">
        <v>139</v>
      </c>
      <c r="B747" s="16" t="s">
        <v>1311</v>
      </c>
      <c r="C747" s="24">
        <v>4868.7</v>
      </c>
      <c r="D747" s="47">
        <v>4925.2</v>
      </c>
      <c r="E747" s="47">
        <v>4968.3999999999996</v>
      </c>
      <c r="F747" s="64"/>
    </row>
    <row r="748" spans="1:13" ht="25.5" x14ac:dyDescent="0.25">
      <c r="A748" s="16" t="s">
        <v>190</v>
      </c>
      <c r="B748" s="16" t="s">
        <v>1312</v>
      </c>
      <c r="C748" s="24">
        <v>9099.7999999999993</v>
      </c>
      <c r="D748" s="47">
        <v>0</v>
      </c>
      <c r="E748" s="47">
        <v>0</v>
      </c>
      <c r="F748" s="64"/>
    </row>
    <row r="749" spans="1:13" ht="25.5" x14ac:dyDescent="0.25">
      <c r="A749" s="16" t="s">
        <v>252</v>
      </c>
      <c r="B749" s="16" t="s">
        <v>1313</v>
      </c>
      <c r="C749" s="24">
        <v>315</v>
      </c>
      <c r="D749" s="47">
        <v>321</v>
      </c>
      <c r="E749" s="47">
        <v>329</v>
      </c>
      <c r="F749" s="64"/>
    </row>
    <row r="750" spans="1:13" x14ac:dyDescent="0.25">
      <c r="A750" s="16" t="s">
        <v>1314</v>
      </c>
      <c r="B750" s="16" t="s">
        <v>1315</v>
      </c>
      <c r="C750" s="25">
        <f>SUM(C751:C753)</f>
        <v>30503.600000000002</v>
      </c>
      <c r="D750" s="65">
        <f>SUM(D751:D753)</f>
        <v>31475.7</v>
      </c>
      <c r="E750" s="65">
        <f>SUM(E751:E753)</f>
        <v>29046.9</v>
      </c>
      <c r="F750" s="66"/>
    </row>
    <row r="751" spans="1:13" x14ac:dyDescent="0.25">
      <c r="A751" s="16" t="s">
        <v>157</v>
      </c>
      <c r="B751" s="16" t="s">
        <v>1316</v>
      </c>
      <c r="C751" s="24">
        <v>28531.9</v>
      </c>
      <c r="D751" s="47">
        <v>30033.4</v>
      </c>
      <c r="E751" s="47">
        <v>27690.9</v>
      </c>
      <c r="F751" s="64"/>
    </row>
    <row r="752" spans="1:13" x14ac:dyDescent="0.25">
      <c r="A752" s="16" t="s">
        <v>162</v>
      </c>
      <c r="B752" s="16" t="s">
        <v>1317</v>
      </c>
      <c r="C752" s="24">
        <v>1126.5</v>
      </c>
      <c r="D752" s="47">
        <v>613.6</v>
      </c>
      <c r="E752" s="47">
        <v>516.4</v>
      </c>
      <c r="F752" s="64"/>
    </row>
    <row r="753" spans="1:6" x14ac:dyDescent="0.25">
      <c r="A753" s="16" t="s">
        <v>152</v>
      </c>
      <c r="B753" s="16" t="s">
        <v>1318</v>
      </c>
      <c r="C753" s="24">
        <v>845.2</v>
      </c>
      <c r="D753" s="47">
        <v>828.7</v>
      </c>
      <c r="E753" s="47">
        <v>839.6</v>
      </c>
      <c r="F753" s="64"/>
    </row>
    <row r="754" spans="1:6" x14ac:dyDescent="0.25">
      <c r="A754" s="22"/>
      <c r="B754" s="23" t="s">
        <v>1319</v>
      </c>
      <c r="C754" s="26">
        <f>C738+C750</f>
        <v>204119.40000000002</v>
      </c>
      <c r="D754" s="67">
        <f>D738+D750</f>
        <v>204060.40000000005</v>
      </c>
      <c r="E754" s="67">
        <f>E738+E750</f>
        <v>189280.19999999998</v>
      </c>
      <c r="F754" s="68"/>
    </row>
    <row r="755" spans="1:6" x14ac:dyDescent="0.25">
      <c r="A755" s="132"/>
      <c r="B755" s="133"/>
      <c r="C755" s="134"/>
      <c r="D755" s="68"/>
      <c r="E755" s="68"/>
      <c r="F755" s="68"/>
    </row>
    <row r="756" spans="1:6" x14ac:dyDescent="0.25">
      <c r="A756" s="132"/>
      <c r="B756" s="133"/>
      <c r="C756" s="134"/>
      <c r="D756" s="68"/>
      <c r="E756" s="68"/>
      <c r="F756" s="68"/>
    </row>
    <row r="758" spans="1:6" ht="36" x14ac:dyDescent="0.25">
      <c r="A758" s="128" t="s">
        <v>1</v>
      </c>
      <c r="B758" s="128" t="s">
        <v>1341</v>
      </c>
      <c r="C758" s="122" t="s">
        <v>1320</v>
      </c>
      <c r="D758" s="122" t="s">
        <v>6</v>
      </c>
      <c r="E758" s="122" t="s">
        <v>7</v>
      </c>
    </row>
    <row r="759" spans="1:6" x14ac:dyDescent="0.25">
      <c r="A759" s="129" t="s">
        <v>15</v>
      </c>
      <c r="B759" s="131" t="s">
        <v>16</v>
      </c>
      <c r="C759" s="129">
        <v>968.2</v>
      </c>
      <c r="D759" s="130">
        <v>779.1</v>
      </c>
      <c r="E759" s="130">
        <v>876.9</v>
      </c>
    </row>
    <row r="760" spans="1:6" x14ac:dyDescent="0.25">
      <c r="A760" s="129" t="s">
        <v>88</v>
      </c>
      <c r="B760" s="131" t="s">
        <v>89</v>
      </c>
      <c r="C760" s="129">
        <v>8106.6</v>
      </c>
      <c r="D760" s="130">
        <v>5528.2</v>
      </c>
      <c r="E760" s="130">
        <v>5456.6</v>
      </c>
    </row>
    <row r="761" spans="1:6" x14ac:dyDescent="0.25">
      <c r="A761" s="129" t="s">
        <v>235</v>
      </c>
      <c r="B761" s="131" t="s">
        <v>236</v>
      </c>
      <c r="C761" s="129">
        <v>5398.1</v>
      </c>
      <c r="D761" s="130">
        <v>4971.3</v>
      </c>
      <c r="E761" s="130">
        <v>4219</v>
      </c>
    </row>
    <row r="762" spans="1:6" ht="26.25" x14ac:dyDescent="0.25">
      <c r="A762" s="129" t="s">
        <v>333</v>
      </c>
      <c r="B762" s="131" t="s">
        <v>334</v>
      </c>
      <c r="C762" s="129">
        <v>26435.599999999999</v>
      </c>
      <c r="D762" s="130">
        <v>19448.2</v>
      </c>
      <c r="E762" s="130">
        <v>18028.8</v>
      </c>
    </row>
    <row r="763" spans="1:6" x14ac:dyDescent="0.25">
      <c r="A763" s="129" t="s">
        <v>449</v>
      </c>
      <c r="B763" s="131" t="s">
        <v>450</v>
      </c>
      <c r="C763" s="129">
        <v>3239.1</v>
      </c>
      <c r="D763" s="130">
        <v>6876.1</v>
      </c>
      <c r="E763" s="130">
        <v>439.7</v>
      </c>
    </row>
    <row r="764" spans="1:6" x14ac:dyDescent="0.25">
      <c r="A764" s="129" t="s">
        <v>506</v>
      </c>
      <c r="B764" s="131" t="s">
        <v>507</v>
      </c>
      <c r="C764" s="129">
        <v>1645</v>
      </c>
      <c r="D764" s="130">
        <v>583.5</v>
      </c>
      <c r="E764" s="130">
        <v>610</v>
      </c>
    </row>
    <row r="765" spans="1:6" x14ac:dyDescent="0.25">
      <c r="A765" s="129" t="s">
        <v>563</v>
      </c>
      <c r="B765" s="131" t="s">
        <v>564</v>
      </c>
      <c r="C765" s="129">
        <v>7576.8</v>
      </c>
      <c r="D765" s="130">
        <v>14233.4</v>
      </c>
      <c r="E765" s="130">
        <v>13095.2</v>
      </c>
    </row>
    <row r="766" spans="1:6" ht="26.25" x14ac:dyDescent="0.25">
      <c r="A766" s="129" t="s">
        <v>677</v>
      </c>
      <c r="B766" s="131" t="s">
        <v>678</v>
      </c>
      <c r="C766" s="129">
        <v>82754.100000000006</v>
      </c>
      <c r="D766" s="130">
        <v>83987.4</v>
      </c>
      <c r="E766" s="130">
        <v>81840.7</v>
      </c>
    </row>
    <row r="767" spans="1:6" x14ac:dyDescent="0.25">
      <c r="A767" s="129" t="s">
        <v>877</v>
      </c>
      <c r="B767" s="131" t="s">
        <v>878</v>
      </c>
      <c r="C767" s="129">
        <v>3042.5</v>
      </c>
      <c r="D767" s="130">
        <v>2484.1</v>
      </c>
      <c r="E767" s="130">
        <v>2291.1999999999998</v>
      </c>
    </row>
    <row r="768" spans="1:6" x14ac:dyDescent="0.25">
      <c r="A768" s="129" t="s">
        <v>978</v>
      </c>
      <c r="B768" s="131" t="s">
        <v>979</v>
      </c>
      <c r="C768" s="129">
        <v>46817.1</v>
      </c>
      <c r="D768" s="130">
        <v>47554.3</v>
      </c>
      <c r="E768" s="130">
        <v>45538.400000000001</v>
      </c>
    </row>
    <row r="769" spans="1:5" x14ac:dyDescent="0.25">
      <c r="A769" s="129" t="s">
        <v>1126</v>
      </c>
      <c r="B769" s="131" t="s">
        <v>1127</v>
      </c>
      <c r="C769" s="129">
        <v>18136.3</v>
      </c>
      <c r="D769" s="130">
        <v>17614.8</v>
      </c>
      <c r="E769" s="130">
        <v>16883.7</v>
      </c>
    </row>
    <row r="770" spans="1:5" x14ac:dyDescent="0.25">
      <c r="A770" s="22"/>
      <c r="B770" s="23" t="s">
        <v>1319</v>
      </c>
      <c r="C770" s="26">
        <f>SUM(C759:C769)</f>
        <v>204119.4</v>
      </c>
      <c r="D770" s="26">
        <f>SUM(D759:D769)</f>
        <v>204060.40000000002</v>
      </c>
      <c r="E770" s="26">
        <f>SUM(E759:E769)</f>
        <v>189280.2</v>
      </c>
    </row>
  </sheetData>
  <mergeCells count="850">
    <mergeCell ref="A242:A244"/>
    <mergeCell ref="B242:B244"/>
    <mergeCell ref="C242:C244"/>
    <mergeCell ref="A249:A251"/>
    <mergeCell ref="B249:B251"/>
    <mergeCell ref="C249:C251"/>
    <mergeCell ref="A165:A167"/>
    <mergeCell ref="B165:B167"/>
    <mergeCell ref="C165:C167"/>
    <mergeCell ref="C220:C225"/>
    <mergeCell ref="A226:A228"/>
    <mergeCell ref="B226:B228"/>
    <mergeCell ref="C226:C228"/>
    <mergeCell ref="A203:A208"/>
    <mergeCell ref="B203:B208"/>
    <mergeCell ref="C203:C208"/>
    <mergeCell ref="A209:A213"/>
    <mergeCell ref="B209:B213"/>
    <mergeCell ref="C209:C213"/>
    <mergeCell ref="A216:A219"/>
    <mergeCell ref="B216:B219"/>
    <mergeCell ref="C216:C219"/>
    <mergeCell ref="A191:A196"/>
    <mergeCell ref="B191:B196"/>
    <mergeCell ref="A84:A87"/>
    <mergeCell ref="B84:B87"/>
    <mergeCell ref="C84:C87"/>
    <mergeCell ref="A88:A90"/>
    <mergeCell ref="B88:B90"/>
    <mergeCell ref="C88:C90"/>
    <mergeCell ref="A91:A93"/>
    <mergeCell ref="B91:B93"/>
    <mergeCell ref="C91:C93"/>
    <mergeCell ref="A50:A56"/>
    <mergeCell ref="B50:B56"/>
    <mergeCell ref="C50:C56"/>
    <mergeCell ref="A58:A68"/>
    <mergeCell ref="B58:B68"/>
    <mergeCell ref="C58:C68"/>
    <mergeCell ref="A70:A73"/>
    <mergeCell ref="B70:B73"/>
    <mergeCell ref="C70:C73"/>
    <mergeCell ref="A725:A727"/>
    <mergeCell ref="B725:B727"/>
    <mergeCell ref="C725:C727"/>
    <mergeCell ref="A728:A731"/>
    <mergeCell ref="B728:B731"/>
    <mergeCell ref="C728:C731"/>
    <mergeCell ref="I703:M703"/>
    <mergeCell ref="I671:M671"/>
    <mergeCell ref="I715:M715"/>
    <mergeCell ref="A719:A720"/>
    <mergeCell ref="B719:B720"/>
    <mergeCell ref="C719:C720"/>
    <mergeCell ref="A721:A723"/>
    <mergeCell ref="B721:B723"/>
    <mergeCell ref="C721:C723"/>
    <mergeCell ref="I721:I723"/>
    <mergeCell ref="J721:J723"/>
    <mergeCell ref="K721:K723"/>
    <mergeCell ref="L721:L723"/>
    <mergeCell ref="M721:M723"/>
    <mergeCell ref="L706:L708"/>
    <mergeCell ref="M706:M708"/>
    <mergeCell ref="A713:A714"/>
    <mergeCell ref="B713:B714"/>
    <mergeCell ref="C713:C714"/>
    <mergeCell ref="D713:D714"/>
    <mergeCell ref="E713:E714"/>
    <mergeCell ref="F713:F714"/>
    <mergeCell ref="G713:G714"/>
    <mergeCell ref="H713:H714"/>
    <mergeCell ref="I709:M709"/>
    <mergeCell ref="A704:A705"/>
    <mergeCell ref="B704:B705"/>
    <mergeCell ref="C704:C705"/>
    <mergeCell ref="A706:A708"/>
    <mergeCell ref="B706:B708"/>
    <mergeCell ref="C706:C708"/>
    <mergeCell ref="I706:I708"/>
    <mergeCell ref="J706:J708"/>
    <mergeCell ref="K706:K708"/>
    <mergeCell ref="L695:L698"/>
    <mergeCell ref="M695:M698"/>
    <mergeCell ref="I693:M693"/>
    <mergeCell ref="A700:A702"/>
    <mergeCell ref="B700:B702"/>
    <mergeCell ref="C700:C702"/>
    <mergeCell ref="I700:I702"/>
    <mergeCell ref="J700:J702"/>
    <mergeCell ref="K700:K702"/>
    <mergeCell ref="L700:L702"/>
    <mergeCell ref="M700:M702"/>
    <mergeCell ref="A689:A690"/>
    <mergeCell ref="B689:B690"/>
    <mergeCell ref="C689:C690"/>
    <mergeCell ref="A695:A698"/>
    <mergeCell ref="B695:B698"/>
    <mergeCell ref="C695:C698"/>
    <mergeCell ref="I695:I698"/>
    <mergeCell ref="J695:J698"/>
    <mergeCell ref="K695:K698"/>
    <mergeCell ref="I648:M648"/>
    <mergeCell ref="A649:A659"/>
    <mergeCell ref="B649:B659"/>
    <mergeCell ref="C649:C659"/>
    <mergeCell ref="A660:A662"/>
    <mergeCell ref="B660:B662"/>
    <mergeCell ref="C660:C662"/>
    <mergeCell ref="A667:A670"/>
    <mergeCell ref="B667:B670"/>
    <mergeCell ref="C667:C670"/>
    <mergeCell ref="I628:M628"/>
    <mergeCell ref="A641:A643"/>
    <mergeCell ref="B641:B643"/>
    <mergeCell ref="C641:C643"/>
    <mergeCell ref="I641:I643"/>
    <mergeCell ref="J641:J643"/>
    <mergeCell ref="K641:K643"/>
    <mergeCell ref="L630:L632"/>
    <mergeCell ref="M630:M632"/>
    <mergeCell ref="A633:A634"/>
    <mergeCell ref="B633:B634"/>
    <mergeCell ref="C633:C634"/>
    <mergeCell ref="J630:J632"/>
    <mergeCell ref="K630:K632"/>
    <mergeCell ref="A635:A636"/>
    <mergeCell ref="B635:B636"/>
    <mergeCell ref="C635:C636"/>
    <mergeCell ref="A629:A632"/>
    <mergeCell ref="B629:B632"/>
    <mergeCell ref="C629:C632"/>
    <mergeCell ref="I630:I632"/>
    <mergeCell ref="I644:M644"/>
    <mergeCell ref="A645:A647"/>
    <mergeCell ref="B645:B647"/>
    <mergeCell ref="C645:C647"/>
    <mergeCell ref="D645:D647"/>
    <mergeCell ref="E645:E647"/>
    <mergeCell ref="F645:F647"/>
    <mergeCell ref="G645:G647"/>
    <mergeCell ref="H645:H647"/>
    <mergeCell ref="L641:L643"/>
    <mergeCell ref="M641:M643"/>
    <mergeCell ref="J624:J626"/>
    <mergeCell ref="K624:K626"/>
    <mergeCell ref="L624:L626"/>
    <mergeCell ref="M624:M626"/>
    <mergeCell ref="A602:A605"/>
    <mergeCell ref="B602:B605"/>
    <mergeCell ref="C602:C605"/>
    <mergeCell ref="A606:A609"/>
    <mergeCell ref="B606:B609"/>
    <mergeCell ref="C606:C609"/>
    <mergeCell ref="A617:A619"/>
    <mergeCell ref="B617:B619"/>
    <mergeCell ref="C617:C619"/>
    <mergeCell ref="I610:M610"/>
    <mergeCell ref="A620:A622"/>
    <mergeCell ref="B620:B622"/>
    <mergeCell ref="C620:C622"/>
    <mergeCell ref="A612:A614"/>
    <mergeCell ref="B612:B614"/>
    <mergeCell ref="C612:C614"/>
    <mergeCell ref="A623:A626"/>
    <mergeCell ref="B623:B626"/>
    <mergeCell ref="C623:C626"/>
    <mergeCell ref="I624:I626"/>
    <mergeCell ref="L595:L597"/>
    <mergeCell ref="M595:M597"/>
    <mergeCell ref="A598:A601"/>
    <mergeCell ref="B598:B601"/>
    <mergeCell ref="C598:C601"/>
    <mergeCell ref="I598:I601"/>
    <mergeCell ref="J598:J601"/>
    <mergeCell ref="K598:K601"/>
    <mergeCell ref="L598:L601"/>
    <mergeCell ref="M598:M601"/>
    <mergeCell ref="A592:A593"/>
    <mergeCell ref="B592:B593"/>
    <mergeCell ref="C592:C593"/>
    <mergeCell ref="A594:A597"/>
    <mergeCell ref="B594:B597"/>
    <mergeCell ref="C594:C597"/>
    <mergeCell ref="I595:I597"/>
    <mergeCell ref="J595:J597"/>
    <mergeCell ref="K595:K597"/>
    <mergeCell ref="A586:A588"/>
    <mergeCell ref="B586:B588"/>
    <mergeCell ref="C586:C588"/>
    <mergeCell ref="I587:I588"/>
    <mergeCell ref="J587:J588"/>
    <mergeCell ref="K587:K588"/>
    <mergeCell ref="L587:L588"/>
    <mergeCell ref="M587:M588"/>
    <mergeCell ref="A589:A591"/>
    <mergeCell ref="B589:B591"/>
    <mergeCell ref="C589:C591"/>
    <mergeCell ref="I570:I572"/>
    <mergeCell ref="J570:J572"/>
    <mergeCell ref="K570:K572"/>
    <mergeCell ref="L570:L572"/>
    <mergeCell ref="M570:M572"/>
    <mergeCell ref="A573:A581"/>
    <mergeCell ref="B573:B581"/>
    <mergeCell ref="C573:C581"/>
    <mergeCell ref="A582:A585"/>
    <mergeCell ref="B582:B585"/>
    <mergeCell ref="C582:C585"/>
    <mergeCell ref="I577:I578"/>
    <mergeCell ref="J577:J578"/>
    <mergeCell ref="K577:K578"/>
    <mergeCell ref="L577:L578"/>
    <mergeCell ref="M577:M578"/>
    <mergeCell ref="A560:A563"/>
    <mergeCell ref="B560:B563"/>
    <mergeCell ref="C560:C563"/>
    <mergeCell ref="A565:A567"/>
    <mergeCell ref="B565:B567"/>
    <mergeCell ref="C565:C567"/>
    <mergeCell ref="A568:A572"/>
    <mergeCell ref="B568:B572"/>
    <mergeCell ref="C568:C572"/>
    <mergeCell ref="A556:A558"/>
    <mergeCell ref="B556:B558"/>
    <mergeCell ref="C556:C558"/>
    <mergeCell ref="D556:D558"/>
    <mergeCell ref="E556:E558"/>
    <mergeCell ref="F556:F558"/>
    <mergeCell ref="G556:G558"/>
    <mergeCell ref="H556:H558"/>
    <mergeCell ref="I559:M559"/>
    <mergeCell ref="A551:A553"/>
    <mergeCell ref="B551:B553"/>
    <mergeCell ref="C551:C553"/>
    <mergeCell ref="I551:I553"/>
    <mergeCell ref="J551:J553"/>
    <mergeCell ref="K551:K553"/>
    <mergeCell ref="L551:L553"/>
    <mergeCell ref="M551:M553"/>
    <mergeCell ref="I555:M555"/>
    <mergeCell ref="A545:A547"/>
    <mergeCell ref="B545:B547"/>
    <mergeCell ref="C545:C547"/>
    <mergeCell ref="I545:I547"/>
    <mergeCell ref="J545:J547"/>
    <mergeCell ref="K545:K547"/>
    <mergeCell ref="L545:L547"/>
    <mergeCell ref="M545:M547"/>
    <mergeCell ref="A548:A549"/>
    <mergeCell ref="B548:B549"/>
    <mergeCell ref="C548:C549"/>
    <mergeCell ref="I534:M534"/>
    <mergeCell ref="A535:A538"/>
    <mergeCell ref="B535:B538"/>
    <mergeCell ref="C535:C538"/>
    <mergeCell ref="A540:A544"/>
    <mergeCell ref="B540:B544"/>
    <mergeCell ref="C540:C544"/>
    <mergeCell ref="I540:I544"/>
    <mergeCell ref="J540:J544"/>
    <mergeCell ref="K540:K544"/>
    <mergeCell ref="L540:L544"/>
    <mergeCell ref="M540:M544"/>
    <mergeCell ref="A523:A525"/>
    <mergeCell ref="B523:B525"/>
    <mergeCell ref="C523:C525"/>
    <mergeCell ref="A526:A530"/>
    <mergeCell ref="B526:B530"/>
    <mergeCell ref="C526:C530"/>
    <mergeCell ref="A531:A533"/>
    <mergeCell ref="B531:B533"/>
    <mergeCell ref="C531:C533"/>
    <mergeCell ref="A513:A517"/>
    <mergeCell ref="B513:B517"/>
    <mergeCell ref="C513:C517"/>
    <mergeCell ref="I513:I517"/>
    <mergeCell ref="J513:J517"/>
    <mergeCell ref="K513:K517"/>
    <mergeCell ref="L513:L517"/>
    <mergeCell ref="M513:M517"/>
    <mergeCell ref="A518:A522"/>
    <mergeCell ref="B518:B522"/>
    <mergeCell ref="C518:C522"/>
    <mergeCell ref="I518:I522"/>
    <mergeCell ref="J518:J522"/>
    <mergeCell ref="K518:K522"/>
    <mergeCell ref="L518:L522"/>
    <mergeCell ref="M518:M522"/>
    <mergeCell ref="A503:A506"/>
    <mergeCell ref="B503:B506"/>
    <mergeCell ref="C503:C506"/>
    <mergeCell ref="I504:I506"/>
    <mergeCell ref="J504:J506"/>
    <mergeCell ref="K504:K506"/>
    <mergeCell ref="L504:L506"/>
    <mergeCell ref="M504:M506"/>
    <mergeCell ref="I507:M507"/>
    <mergeCell ref="A508:A511"/>
    <mergeCell ref="B508:B511"/>
    <mergeCell ref="C508:C511"/>
    <mergeCell ref="I491:M491"/>
    <mergeCell ref="I493:M493"/>
    <mergeCell ref="A494:A496"/>
    <mergeCell ref="B494:B496"/>
    <mergeCell ref="C494:C496"/>
    <mergeCell ref="I495:I496"/>
    <mergeCell ref="J495:J496"/>
    <mergeCell ref="K495:K496"/>
    <mergeCell ref="L495:L496"/>
    <mergeCell ref="M495:M496"/>
    <mergeCell ref="A497:A499"/>
    <mergeCell ref="B497:B499"/>
    <mergeCell ref="C497:C499"/>
    <mergeCell ref="I498:I499"/>
    <mergeCell ref="J498:J499"/>
    <mergeCell ref="K498:K499"/>
    <mergeCell ref="L498:L499"/>
    <mergeCell ref="M498:M499"/>
    <mergeCell ref="A500:A502"/>
    <mergeCell ref="B500:B502"/>
    <mergeCell ref="C500:C502"/>
    <mergeCell ref="L485:L488"/>
    <mergeCell ref="M485:M488"/>
    <mergeCell ref="I446:M446"/>
    <mergeCell ref="I372:M372"/>
    <mergeCell ref="F370:F371"/>
    <mergeCell ref="G370:G371"/>
    <mergeCell ref="H370:H371"/>
    <mergeCell ref="A458:A460"/>
    <mergeCell ref="B458:B460"/>
    <mergeCell ref="C458:C460"/>
    <mergeCell ref="I458:I460"/>
    <mergeCell ref="J458:J460"/>
    <mergeCell ref="K458:K460"/>
    <mergeCell ref="L458:L460"/>
    <mergeCell ref="M458:M460"/>
    <mergeCell ref="A481:A484"/>
    <mergeCell ref="B481:B484"/>
    <mergeCell ref="C481:C484"/>
    <mergeCell ref="A485:A488"/>
    <mergeCell ref="B485:B488"/>
    <mergeCell ref="C485:C488"/>
    <mergeCell ref="I485:I488"/>
    <mergeCell ref="J485:J488"/>
    <mergeCell ref="K485:K488"/>
    <mergeCell ref="A473:A477"/>
    <mergeCell ref="B473:B477"/>
    <mergeCell ref="C473:C477"/>
    <mergeCell ref="I473:I477"/>
    <mergeCell ref="J473:J477"/>
    <mergeCell ref="K473:K477"/>
    <mergeCell ref="L473:L477"/>
    <mergeCell ref="M473:M477"/>
    <mergeCell ref="A478:A480"/>
    <mergeCell ref="B478:B480"/>
    <mergeCell ref="C478:C480"/>
    <mergeCell ref="I479:I480"/>
    <mergeCell ref="J479:J480"/>
    <mergeCell ref="K479:K480"/>
    <mergeCell ref="L479:L480"/>
    <mergeCell ref="M479:M480"/>
    <mergeCell ref="L453:L457"/>
    <mergeCell ref="M453:M457"/>
    <mergeCell ref="A461:A462"/>
    <mergeCell ref="B461:B462"/>
    <mergeCell ref="C461:C462"/>
    <mergeCell ref="A463:A467"/>
    <mergeCell ref="B463:B467"/>
    <mergeCell ref="C463:C467"/>
    <mergeCell ref="A469:A472"/>
    <mergeCell ref="B469:B472"/>
    <mergeCell ref="C469:C472"/>
    <mergeCell ref="I469:I472"/>
    <mergeCell ref="J469:J472"/>
    <mergeCell ref="K469:K472"/>
    <mergeCell ref="L469:L472"/>
    <mergeCell ref="M469:M472"/>
    <mergeCell ref="A449:A451"/>
    <mergeCell ref="B449:B451"/>
    <mergeCell ref="C449:C451"/>
    <mergeCell ref="A453:A457"/>
    <mergeCell ref="B453:B457"/>
    <mergeCell ref="C453:C457"/>
    <mergeCell ref="I453:I457"/>
    <mergeCell ref="J453:J457"/>
    <mergeCell ref="K453:K457"/>
    <mergeCell ref="L428:L430"/>
    <mergeCell ref="M428:M430"/>
    <mergeCell ref="A432:A439"/>
    <mergeCell ref="B432:B439"/>
    <mergeCell ref="C432:C439"/>
    <mergeCell ref="I433:I439"/>
    <mergeCell ref="J433:J439"/>
    <mergeCell ref="K433:K439"/>
    <mergeCell ref="L433:L439"/>
    <mergeCell ref="M433:M439"/>
    <mergeCell ref="A420:A427"/>
    <mergeCell ref="B420:B427"/>
    <mergeCell ref="C420:C427"/>
    <mergeCell ref="A428:A430"/>
    <mergeCell ref="B428:B430"/>
    <mergeCell ref="C428:C430"/>
    <mergeCell ref="I428:I430"/>
    <mergeCell ref="J428:J430"/>
    <mergeCell ref="K428:K430"/>
    <mergeCell ref="L414:L416"/>
    <mergeCell ref="M414:M416"/>
    <mergeCell ref="A417:A419"/>
    <mergeCell ref="B417:B419"/>
    <mergeCell ref="C417:C419"/>
    <mergeCell ref="I417:I419"/>
    <mergeCell ref="J417:J419"/>
    <mergeCell ref="K417:K419"/>
    <mergeCell ref="L417:L419"/>
    <mergeCell ref="M417:M419"/>
    <mergeCell ref="A410:A411"/>
    <mergeCell ref="B410:B411"/>
    <mergeCell ref="C410:C411"/>
    <mergeCell ref="A413:A416"/>
    <mergeCell ref="B413:B416"/>
    <mergeCell ref="C413:C416"/>
    <mergeCell ref="I414:I416"/>
    <mergeCell ref="J414:J416"/>
    <mergeCell ref="K414:K416"/>
    <mergeCell ref="L384:L387"/>
    <mergeCell ref="M384:M387"/>
    <mergeCell ref="A388:A397"/>
    <mergeCell ref="B388:B397"/>
    <mergeCell ref="C388:C397"/>
    <mergeCell ref="I399:M399"/>
    <mergeCell ref="A400:A409"/>
    <mergeCell ref="B400:B409"/>
    <mergeCell ref="C400:C409"/>
    <mergeCell ref="A381:A383"/>
    <mergeCell ref="B381:B383"/>
    <mergeCell ref="C381:C383"/>
    <mergeCell ref="A384:A387"/>
    <mergeCell ref="B384:B387"/>
    <mergeCell ref="C384:C387"/>
    <mergeCell ref="I384:I387"/>
    <mergeCell ref="J384:J387"/>
    <mergeCell ref="K384:K387"/>
    <mergeCell ref="I366:M366"/>
    <mergeCell ref="I369:M369"/>
    <mergeCell ref="A370:A371"/>
    <mergeCell ref="B370:B371"/>
    <mergeCell ref="C370:C371"/>
    <mergeCell ref="D370:D371"/>
    <mergeCell ref="E370:E371"/>
    <mergeCell ref="A373:A379"/>
    <mergeCell ref="B373:B379"/>
    <mergeCell ref="C373:C379"/>
    <mergeCell ref="A353:A356"/>
    <mergeCell ref="B353:B356"/>
    <mergeCell ref="C353:C356"/>
    <mergeCell ref="I354:I356"/>
    <mergeCell ref="J354:J356"/>
    <mergeCell ref="K354:K356"/>
    <mergeCell ref="L354:L356"/>
    <mergeCell ref="M354:M356"/>
    <mergeCell ref="A357:A359"/>
    <mergeCell ref="B357:B359"/>
    <mergeCell ref="C357:C359"/>
    <mergeCell ref="I357:I359"/>
    <mergeCell ref="J357:J359"/>
    <mergeCell ref="K357:K359"/>
    <mergeCell ref="L357:L359"/>
    <mergeCell ref="M357:M359"/>
    <mergeCell ref="A346:A351"/>
    <mergeCell ref="B346:B351"/>
    <mergeCell ref="C346:C351"/>
    <mergeCell ref="I348:I351"/>
    <mergeCell ref="J348:J351"/>
    <mergeCell ref="K348:K351"/>
    <mergeCell ref="L348:L351"/>
    <mergeCell ref="M348:M351"/>
    <mergeCell ref="I352:M352"/>
    <mergeCell ref="A337:A338"/>
    <mergeCell ref="B337:B338"/>
    <mergeCell ref="C337:C338"/>
    <mergeCell ref="A339:A341"/>
    <mergeCell ref="B339:B341"/>
    <mergeCell ref="C339:C341"/>
    <mergeCell ref="A342:A345"/>
    <mergeCell ref="B342:B345"/>
    <mergeCell ref="C342:C345"/>
    <mergeCell ref="G321:G322"/>
    <mergeCell ref="H321:H322"/>
    <mergeCell ref="A324:A331"/>
    <mergeCell ref="B324:B331"/>
    <mergeCell ref="C324:C331"/>
    <mergeCell ref="I320:M320"/>
    <mergeCell ref="I323:M323"/>
    <mergeCell ref="A332:A336"/>
    <mergeCell ref="B332:B336"/>
    <mergeCell ref="C332:C336"/>
    <mergeCell ref="A302:A304"/>
    <mergeCell ref="B302:B304"/>
    <mergeCell ref="C302:C304"/>
    <mergeCell ref="A321:A322"/>
    <mergeCell ref="B321:B322"/>
    <mergeCell ref="C321:C322"/>
    <mergeCell ref="D321:D322"/>
    <mergeCell ref="E321:E322"/>
    <mergeCell ref="F321:F322"/>
    <mergeCell ref="A306:A307"/>
    <mergeCell ref="B306:B307"/>
    <mergeCell ref="C306:C307"/>
    <mergeCell ref="I310:M310"/>
    <mergeCell ref="A312:A316"/>
    <mergeCell ref="B312:B316"/>
    <mergeCell ref="C312:C316"/>
    <mergeCell ref="I312:I316"/>
    <mergeCell ref="J312:J316"/>
    <mergeCell ref="K312:K316"/>
    <mergeCell ref="L312:L316"/>
    <mergeCell ref="M312:M316"/>
    <mergeCell ref="I288:I290"/>
    <mergeCell ref="J288:J290"/>
    <mergeCell ref="K288:K290"/>
    <mergeCell ref="L288:L290"/>
    <mergeCell ref="M288:M290"/>
    <mergeCell ref="A298:A299"/>
    <mergeCell ref="B298:B299"/>
    <mergeCell ref="C298:C299"/>
    <mergeCell ref="I291:M291"/>
    <mergeCell ref="I293:M293"/>
    <mergeCell ref="I297:M297"/>
    <mergeCell ref="A283:A287"/>
    <mergeCell ref="B283:B287"/>
    <mergeCell ref="C283:C287"/>
    <mergeCell ref="A288:A290"/>
    <mergeCell ref="B288:B290"/>
    <mergeCell ref="C288:C290"/>
    <mergeCell ref="A279:A281"/>
    <mergeCell ref="B279:B281"/>
    <mergeCell ref="C279:C281"/>
    <mergeCell ref="A265:A267"/>
    <mergeCell ref="B265:B267"/>
    <mergeCell ref="C265:C267"/>
    <mergeCell ref="A268:A269"/>
    <mergeCell ref="B268:B269"/>
    <mergeCell ref="C268:C269"/>
    <mergeCell ref="I270:M270"/>
    <mergeCell ref="A274:A278"/>
    <mergeCell ref="B274:B278"/>
    <mergeCell ref="C274:C278"/>
    <mergeCell ref="A271:A273"/>
    <mergeCell ref="B271:B273"/>
    <mergeCell ref="C271:C273"/>
    <mergeCell ref="I271:I273"/>
    <mergeCell ref="J271:J273"/>
    <mergeCell ref="K271:K273"/>
    <mergeCell ref="L271:L273"/>
    <mergeCell ref="M271:M273"/>
    <mergeCell ref="I277:I278"/>
    <mergeCell ref="J277:J278"/>
    <mergeCell ref="K277:K278"/>
    <mergeCell ref="L277:L278"/>
    <mergeCell ref="M277:M278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I263:M263"/>
    <mergeCell ref="I215:M215"/>
    <mergeCell ref="I252:M252"/>
    <mergeCell ref="I258:M258"/>
    <mergeCell ref="I110:M110"/>
    <mergeCell ref="I118:M118"/>
    <mergeCell ref="I141:M141"/>
    <mergeCell ref="I149:M149"/>
    <mergeCell ref="I151:M151"/>
    <mergeCell ref="J253:J256"/>
    <mergeCell ref="K253:K256"/>
    <mergeCell ref="L253:L256"/>
    <mergeCell ref="M253:M256"/>
    <mergeCell ref="K203:K208"/>
    <mergeCell ref="L203:L208"/>
    <mergeCell ref="M203:M208"/>
    <mergeCell ref="K185:K190"/>
    <mergeCell ref="L185:L190"/>
    <mergeCell ref="M185:M190"/>
    <mergeCell ref="I191:I196"/>
    <mergeCell ref="J191:J196"/>
    <mergeCell ref="K191:K196"/>
    <mergeCell ref="L191:L196"/>
    <mergeCell ref="M191:M196"/>
    <mergeCell ref="K174:K178"/>
    <mergeCell ref="I7:M7"/>
    <mergeCell ref="I9:M9"/>
    <mergeCell ref="I26:M26"/>
    <mergeCell ref="I35:M35"/>
    <mergeCell ref="I38:M38"/>
    <mergeCell ref="I41:M41"/>
    <mergeCell ref="I45:M45"/>
    <mergeCell ref="I57:M57"/>
    <mergeCell ref="I83:M83"/>
    <mergeCell ref="I70:I73"/>
    <mergeCell ref="J70:J73"/>
    <mergeCell ref="K70:K73"/>
    <mergeCell ref="L70:L73"/>
    <mergeCell ref="M70:M73"/>
    <mergeCell ref="I23:I25"/>
    <mergeCell ref="J23:J25"/>
    <mergeCell ref="K23:K25"/>
    <mergeCell ref="L23:L25"/>
    <mergeCell ref="M23:M25"/>
    <mergeCell ref="I20:I21"/>
    <mergeCell ref="J20:J21"/>
    <mergeCell ref="K20:K21"/>
    <mergeCell ref="L20:L21"/>
    <mergeCell ref="M20:M21"/>
    <mergeCell ref="I95:M95"/>
    <mergeCell ref="I98:M98"/>
    <mergeCell ref="I100:M100"/>
    <mergeCell ref="K229:K231"/>
    <mergeCell ref="L229:L231"/>
    <mergeCell ref="M229:M231"/>
    <mergeCell ref="I236:I241"/>
    <mergeCell ref="J236:J241"/>
    <mergeCell ref="K236:K241"/>
    <mergeCell ref="L236:L241"/>
    <mergeCell ref="M236:M241"/>
    <mergeCell ref="K221:K225"/>
    <mergeCell ref="L221:L225"/>
    <mergeCell ref="M221:M225"/>
    <mergeCell ref="I226:I228"/>
    <mergeCell ref="J226:J228"/>
    <mergeCell ref="K226:K228"/>
    <mergeCell ref="L226:L228"/>
    <mergeCell ref="M226:M228"/>
    <mergeCell ref="K198:K202"/>
    <mergeCell ref="L198:L202"/>
    <mergeCell ref="M198:M202"/>
    <mergeCell ref="I203:I208"/>
    <mergeCell ref="J203:J208"/>
    <mergeCell ref="L174:L178"/>
    <mergeCell ref="M174:M178"/>
    <mergeCell ref="I180:I184"/>
    <mergeCell ref="J180:J184"/>
    <mergeCell ref="K180:K184"/>
    <mergeCell ref="L180:L184"/>
    <mergeCell ref="M180:M184"/>
    <mergeCell ref="K153:K155"/>
    <mergeCell ref="L153:L155"/>
    <mergeCell ref="M153:M155"/>
    <mergeCell ref="I162:I164"/>
    <mergeCell ref="J162:J164"/>
    <mergeCell ref="K162:K164"/>
    <mergeCell ref="L162:L164"/>
    <mergeCell ref="M162:M164"/>
    <mergeCell ref="I157:M157"/>
    <mergeCell ref="I165:I167"/>
    <mergeCell ref="J165:J167"/>
    <mergeCell ref="K165:K167"/>
    <mergeCell ref="L165:L167"/>
    <mergeCell ref="M165:M167"/>
    <mergeCell ref="I168:M168"/>
    <mergeCell ref="A253:A256"/>
    <mergeCell ref="B253:B256"/>
    <mergeCell ref="C253:C256"/>
    <mergeCell ref="I153:I155"/>
    <mergeCell ref="J153:J155"/>
    <mergeCell ref="I174:I178"/>
    <mergeCell ref="J174:J178"/>
    <mergeCell ref="I185:I190"/>
    <mergeCell ref="J185:J190"/>
    <mergeCell ref="I198:I202"/>
    <mergeCell ref="J198:J202"/>
    <mergeCell ref="I221:I225"/>
    <mergeCell ref="J221:J225"/>
    <mergeCell ref="I229:I231"/>
    <mergeCell ref="J229:J231"/>
    <mergeCell ref="I253:I256"/>
    <mergeCell ref="A229:A231"/>
    <mergeCell ref="B229:B231"/>
    <mergeCell ref="C229:C231"/>
    <mergeCell ref="A235:A241"/>
    <mergeCell ref="B235:B241"/>
    <mergeCell ref="C235:C241"/>
    <mergeCell ref="A220:A225"/>
    <mergeCell ref="B220:B225"/>
    <mergeCell ref="C191:C196"/>
    <mergeCell ref="A197:A202"/>
    <mergeCell ref="B197:B202"/>
    <mergeCell ref="C197:C202"/>
    <mergeCell ref="B179:B184"/>
    <mergeCell ref="C179:C184"/>
    <mergeCell ref="A185:A190"/>
    <mergeCell ref="B185:B190"/>
    <mergeCell ref="C185:C190"/>
    <mergeCell ref="A152:A155"/>
    <mergeCell ref="B152:B155"/>
    <mergeCell ref="C152:C155"/>
    <mergeCell ref="A158:A160"/>
    <mergeCell ref="B158:B160"/>
    <mergeCell ref="C158:C160"/>
    <mergeCell ref="A161:A164"/>
    <mergeCell ref="B161:B164"/>
    <mergeCell ref="C161:C164"/>
    <mergeCell ref="A173:A178"/>
    <mergeCell ref="B173:B178"/>
    <mergeCell ref="C173:C178"/>
    <mergeCell ref="A179:A184"/>
    <mergeCell ref="A104:A106"/>
    <mergeCell ref="B104:B106"/>
    <mergeCell ref="C104:C106"/>
    <mergeCell ref="A102:A103"/>
    <mergeCell ref="B102:B103"/>
    <mergeCell ref="C102:C103"/>
    <mergeCell ref="A111:A112"/>
    <mergeCell ref="B111:B112"/>
    <mergeCell ref="C111:C112"/>
    <mergeCell ref="A107:A109"/>
    <mergeCell ref="B107:B109"/>
    <mergeCell ref="C107:C109"/>
    <mergeCell ref="A119:A121"/>
    <mergeCell ref="B119:B121"/>
    <mergeCell ref="C119:C121"/>
    <mergeCell ref="A113:A117"/>
    <mergeCell ref="B113:B117"/>
    <mergeCell ref="C113:C117"/>
    <mergeCell ref="A131:A133"/>
    <mergeCell ref="B131:B133"/>
    <mergeCell ref="C131:C133"/>
    <mergeCell ref="A126:A130"/>
    <mergeCell ref="B126:B130"/>
    <mergeCell ref="C126:C130"/>
    <mergeCell ref="A143:A146"/>
    <mergeCell ref="B143:B146"/>
    <mergeCell ref="C143:C146"/>
    <mergeCell ref="A134:A137"/>
    <mergeCell ref="B134:B137"/>
    <mergeCell ref="C134:C137"/>
    <mergeCell ref="I135:I137"/>
    <mergeCell ref="J135:J137"/>
    <mergeCell ref="K135:K137"/>
    <mergeCell ref="L135:L137"/>
    <mergeCell ref="M135:M137"/>
    <mergeCell ref="I131:I133"/>
    <mergeCell ref="J131:J133"/>
    <mergeCell ref="K131:K133"/>
    <mergeCell ref="L131:L133"/>
    <mergeCell ref="M131:M133"/>
    <mergeCell ref="I127:I130"/>
    <mergeCell ref="J127:J130"/>
    <mergeCell ref="K127:K130"/>
    <mergeCell ref="L127:L130"/>
    <mergeCell ref="M127:M130"/>
    <mergeCell ref="I119:I121"/>
    <mergeCell ref="J119:J121"/>
    <mergeCell ref="K119:K121"/>
    <mergeCell ref="L119:L121"/>
    <mergeCell ref="M119:M121"/>
    <mergeCell ref="I115:I117"/>
    <mergeCell ref="J115:J117"/>
    <mergeCell ref="K115:K117"/>
    <mergeCell ref="L115:L117"/>
    <mergeCell ref="M115:M117"/>
    <mergeCell ref="I105:I106"/>
    <mergeCell ref="J105:J106"/>
    <mergeCell ref="K105:K106"/>
    <mergeCell ref="L105:L106"/>
    <mergeCell ref="M105:M106"/>
    <mergeCell ref="I91:I93"/>
    <mergeCell ref="J91:J93"/>
    <mergeCell ref="K91:K93"/>
    <mergeCell ref="L91:L93"/>
    <mergeCell ref="M91:M93"/>
    <mergeCell ref="I88:I90"/>
    <mergeCell ref="J88:J90"/>
    <mergeCell ref="K88:K90"/>
    <mergeCell ref="L88:L90"/>
    <mergeCell ref="M88:M90"/>
    <mergeCell ref="I84:I87"/>
    <mergeCell ref="J84:J87"/>
    <mergeCell ref="K84:K87"/>
    <mergeCell ref="L84:L87"/>
    <mergeCell ref="M84:M87"/>
    <mergeCell ref="F42:F44"/>
    <mergeCell ref="G42:G44"/>
    <mergeCell ref="H42:H44"/>
    <mergeCell ref="A81:A82"/>
    <mergeCell ref="B81:B82"/>
    <mergeCell ref="C81:C82"/>
    <mergeCell ref="D81:D82"/>
    <mergeCell ref="E81:E82"/>
    <mergeCell ref="F81:F82"/>
    <mergeCell ref="G81:G82"/>
    <mergeCell ref="H81:H82"/>
    <mergeCell ref="A42:A44"/>
    <mergeCell ref="B42:B44"/>
    <mergeCell ref="C42:C44"/>
    <mergeCell ref="D42:D44"/>
    <mergeCell ref="E42:E44"/>
    <mergeCell ref="A48:A49"/>
    <mergeCell ref="B48:B49"/>
    <mergeCell ref="C48:C49"/>
    <mergeCell ref="A1:M1"/>
    <mergeCell ref="A4:A6"/>
    <mergeCell ref="B4:B6"/>
    <mergeCell ref="C4:C6"/>
    <mergeCell ref="D4:D6"/>
    <mergeCell ref="F4:F6"/>
    <mergeCell ref="G4:G6"/>
    <mergeCell ref="H4:H6"/>
    <mergeCell ref="I4:M4"/>
    <mergeCell ref="I5:I6"/>
    <mergeCell ref="J5:J6"/>
    <mergeCell ref="K5:M5"/>
    <mergeCell ref="E4:E6"/>
    <mergeCell ref="A10:A13"/>
    <mergeCell ref="B10:B13"/>
    <mergeCell ref="C10:C13"/>
    <mergeCell ref="A14:A19"/>
    <mergeCell ref="B14:B19"/>
    <mergeCell ref="C14:C19"/>
    <mergeCell ref="A32:A34"/>
    <mergeCell ref="B32:B34"/>
    <mergeCell ref="C32:C34"/>
    <mergeCell ref="A20:A22"/>
    <mergeCell ref="B20:B22"/>
    <mergeCell ref="C20:C22"/>
    <mergeCell ref="A27:A30"/>
    <mergeCell ref="B27:B30"/>
    <mergeCell ref="C27:C30"/>
    <mergeCell ref="A23:A25"/>
    <mergeCell ref="B23:B25"/>
    <mergeCell ref="C23:C25"/>
    <mergeCell ref="I249:I251"/>
    <mergeCell ref="J249:J251"/>
    <mergeCell ref="K249:K251"/>
    <mergeCell ref="L249:L251"/>
    <mergeCell ref="M249:M251"/>
    <mergeCell ref="I217:I218"/>
    <mergeCell ref="J217:J218"/>
    <mergeCell ref="K217:K218"/>
    <mergeCell ref="L217:L218"/>
    <mergeCell ref="M217:M218"/>
    <mergeCell ref="I242:I244"/>
    <mergeCell ref="J242:J244"/>
    <mergeCell ref="K242:K244"/>
    <mergeCell ref="L242:L244"/>
    <mergeCell ref="M242:M244"/>
  </mergeCells>
  <pageMargins left="0.4" right="0.4" top="0.4" bottom="0.4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mindaugas jozonis</dc:creator>
  <dc:description/>
  <cp:lastModifiedBy>mindaugas jozonis</cp:lastModifiedBy>
  <cp:revision>0</cp:revision>
  <dcterms:created xsi:type="dcterms:W3CDTF">2021-12-20T10:51:12Z</dcterms:created>
  <dcterms:modified xsi:type="dcterms:W3CDTF">2021-12-22T06:56:19Z</dcterms:modified>
  <dc:language>lt-LT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  <property fmtid="{D5CDD505-2E9C-101B-9397-08002B2CF9AE}" pid="3" name="ScaleCrop">
    <vt:bool>false</vt:bool>
  </property>
</Properties>
</file>