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da.kalaseviciene\Documents\Vaida\biudžetas\2023\galutinis\"/>
    </mc:Choice>
  </mc:AlternateContent>
  <xr:revisionPtr revIDLastSave="0" documentId="13_ncr:1_{65B92DD1-7EFC-4CC4-A9BB-6611E63456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as" sheetId="2" r:id="rId1"/>
  </sheets>
  <calcPr calcId="181029" iterateDelta="1E-4"/>
</workbook>
</file>

<file path=xl/calcChain.xml><?xml version="1.0" encoding="utf-8"?>
<calcChain xmlns="http://schemas.openxmlformats.org/spreadsheetml/2006/main">
  <c r="C712" i="2" l="1"/>
  <c r="G239" i="2"/>
  <c r="F9" i="2"/>
  <c r="G9" i="2"/>
  <c r="H9" i="2"/>
  <c r="F11" i="2"/>
  <c r="G11" i="2"/>
  <c r="H11" i="2"/>
  <c r="F20" i="2"/>
  <c r="G20" i="2"/>
  <c r="H20" i="2"/>
  <c r="F22" i="2"/>
  <c r="G22" i="2"/>
  <c r="H22" i="2"/>
  <c r="F26" i="2"/>
  <c r="G26" i="2"/>
  <c r="H26" i="2"/>
  <c r="F33" i="2"/>
  <c r="G33" i="2"/>
  <c r="H33" i="2"/>
  <c r="F37" i="2"/>
  <c r="F36" i="2" s="1"/>
  <c r="G37" i="2"/>
  <c r="G36" i="2" s="1"/>
  <c r="H37" i="2"/>
  <c r="H36" i="2" s="1"/>
  <c r="F42" i="2"/>
  <c r="G42" i="2"/>
  <c r="H42" i="2"/>
  <c r="F53" i="2"/>
  <c r="F49" i="2" s="1"/>
  <c r="G53" i="2"/>
  <c r="G49" i="2" s="1"/>
  <c r="H53" i="2"/>
  <c r="H49" i="2" s="1"/>
  <c r="F57" i="2"/>
  <c r="G57" i="2"/>
  <c r="H57" i="2"/>
  <c r="F67" i="2"/>
  <c r="G67" i="2"/>
  <c r="H67" i="2"/>
  <c r="F69" i="2"/>
  <c r="G69" i="2"/>
  <c r="H69" i="2"/>
  <c r="F72" i="2"/>
  <c r="G72" i="2"/>
  <c r="H72" i="2"/>
  <c r="F76" i="2"/>
  <c r="G76" i="2"/>
  <c r="H76" i="2"/>
  <c r="F79" i="2"/>
  <c r="G79" i="2"/>
  <c r="H79" i="2"/>
  <c r="F88" i="2"/>
  <c r="G88" i="2"/>
  <c r="H88" i="2"/>
  <c r="F91" i="2"/>
  <c r="G91" i="2"/>
  <c r="H91" i="2"/>
  <c r="F93" i="2"/>
  <c r="G93" i="2"/>
  <c r="H93" i="2"/>
  <c r="F96" i="2"/>
  <c r="G96" i="2"/>
  <c r="H96" i="2"/>
  <c r="F103" i="2"/>
  <c r="G103" i="2"/>
  <c r="H103" i="2"/>
  <c r="F106" i="2"/>
  <c r="G106" i="2"/>
  <c r="H106" i="2"/>
  <c r="F108" i="2"/>
  <c r="G108" i="2"/>
  <c r="H108" i="2"/>
  <c r="F112" i="2"/>
  <c r="G112" i="2"/>
  <c r="H112" i="2"/>
  <c r="F114" i="2"/>
  <c r="G114" i="2"/>
  <c r="H114" i="2"/>
  <c r="F119" i="2"/>
  <c r="G119" i="2"/>
  <c r="H119" i="2"/>
  <c r="F122" i="2"/>
  <c r="G122" i="2"/>
  <c r="H122" i="2"/>
  <c r="F125" i="2"/>
  <c r="G125" i="2"/>
  <c r="H125" i="2"/>
  <c r="F129" i="2"/>
  <c r="G129" i="2"/>
  <c r="H129" i="2"/>
  <c r="F132" i="2"/>
  <c r="G132" i="2"/>
  <c r="H132" i="2"/>
  <c r="F140" i="2"/>
  <c r="F138" i="2" s="1"/>
  <c r="G140" i="2"/>
  <c r="G138" i="2" s="1"/>
  <c r="H140" i="2"/>
  <c r="H138" i="2" s="1"/>
  <c r="F144" i="2"/>
  <c r="G144" i="2"/>
  <c r="H144" i="2"/>
  <c r="F146" i="2"/>
  <c r="G146" i="2"/>
  <c r="H146" i="2"/>
  <c r="F153" i="2"/>
  <c r="G153" i="2"/>
  <c r="H153" i="2"/>
  <c r="F158" i="2"/>
  <c r="G158" i="2"/>
  <c r="H158" i="2"/>
  <c r="F161" i="2"/>
  <c r="G161" i="2"/>
  <c r="H161" i="2"/>
  <c r="F164" i="2"/>
  <c r="G164" i="2"/>
  <c r="H164" i="2"/>
  <c r="F167" i="2"/>
  <c r="G167" i="2"/>
  <c r="H167" i="2"/>
  <c r="F171" i="2"/>
  <c r="G171" i="2"/>
  <c r="H171" i="2"/>
  <c r="F175" i="2"/>
  <c r="G175" i="2"/>
  <c r="H175" i="2"/>
  <c r="F179" i="2"/>
  <c r="G179" i="2"/>
  <c r="H179" i="2"/>
  <c r="F183" i="2"/>
  <c r="G183" i="2"/>
  <c r="H183" i="2"/>
  <c r="F187" i="2"/>
  <c r="G187" i="2"/>
  <c r="H187" i="2"/>
  <c r="F192" i="2"/>
  <c r="G192" i="2"/>
  <c r="H192" i="2"/>
  <c r="F195" i="2"/>
  <c r="G195" i="2"/>
  <c r="H195" i="2"/>
  <c r="F201" i="2"/>
  <c r="G201" i="2"/>
  <c r="H201" i="2"/>
  <c r="F205" i="2"/>
  <c r="G205" i="2"/>
  <c r="H205" i="2"/>
  <c r="F210" i="2"/>
  <c r="G210" i="2"/>
  <c r="H210" i="2"/>
  <c r="F216" i="2"/>
  <c r="G216" i="2"/>
  <c r="H216" i="2"/>
  <c r="F220" i="2"/>
  <c r="G220" i="2"/>
  <c r="H220" i="2"/>
  <c r="F230" i="2"/>
  <c r="G230" i="2"/>
  <c r="H230" i="2"/>
  <c r="F233" i="2"/>
  <c r="G233" i="2"/>
  <c r="H233" i="2"/>
  <c r="F236" i="2"/>
  <c r="G236" i="2"/>
  <c r="H236" i="2"/>
  <c r="F239" i="2"/>
  <c r="H239" i="2"/>
  <c r="F244" i="2"/>
  <c r="G244" i="2"/>
  <c r="H244" i="2"/>
  <c r="F246" i="2"/>
  <c r="G246" i="2"/>
  <c r="H246" i="2"/>
  <c r="F250" i="2"/>
  <c r="G250" i="2"/>
  <c r="H250" i="2"/>
  <c r="F259" i="2"/>
  <c r="G259" i="2"/>
  <c r="H259" i="2"/>
  <c r="F264" i="2"/>
  <c r="F263" i="2" s="1"/>
  <c r="G264" i="2"/>
  <c r="G263" i="2" s="1"/>
  <c r="H264" i="2"/>
  <c r="H263" i="2" s="1"/>
  <c r="F269" i="2"/>
  <c r="G269" i="2"/>
  <c r="H269" i="2"/>
  <c r="F273" i="2"/>
  <c r="G273" i="2"/>
  <c r="H273" i="2"/>
  <c r="F279" i="2"/>
  <c r="F277" i="2" s="1"/>
  <c r="G279" i="2"/>
  <c r="G277" i="2" s="1"/>
  <c r="H279" i="2"/>
  <c r="H277" i="2" s="1"/>
  <c r="F290" i="2"/>
  <c r="G290" i="2"/>
  <c r="H290" i="2"/>
  <c r="F298" i="2"/>
  <c r="G298" i="2"/>
  <c r="H298" i="2"/>
  <c r="F303" i="2"/>
  <c r="G303" i="2"/>
  <c r="H303" i="2"/>
  <c r="F305" i="2"/>
  <c r="G305" i="2"/>
  <c r="H305" i="2"/>
  <c r="F308" i="2"/>
  <c r="G308" i="2"/>
  <c r="H308" i="2"/>
  <c r="F312" i="2"/>
  <c r="G312" i="2"/>
  <c r="H312" i="2"/>
  <c r="F321" i="2"/>
  <c r="G321" i="2"/>
  <c r="H321" i="2"/>
  <c r="F325" i="2"/>
  <c r="G325" i="2"/>
  <c r="H325" i="2"/>
  <c r="F328" i="2"/>
  <c r="G328" i="2"/>
  <c r="H328" i="2"/>
  <c r="F330" i="2"/>
  <c r="G330" i="2"/>
  <c r="H330" i="2"/>
  <c r="F335" i="2"/>
  <c r="F334" i="2" s="1"/>
  <c r="G335" i="2"/>
  <c r="G334" i="2" s="1"/>
  <c r="H335" i="2"/>
  <c r="H334" i="2" s="1"/>
  <c r="F342" i="2"/>
  <c r="G342" i="2"/>
  <c r="H342" i="2"/>
  <c r="F349" i="2"/>
  <c r="G349" i="2"/>
  <c r="H349" i="2"/>
  <c r="F351" i="2"/>
  <c r="G351" i="2"/>
  <c r="H351" i="2"/>
  <c r="F357" i="2"/>
  <c r="G357" i="2"/>
  <c r="H357" i="2"/>
  <c r="F371" i="2"/>
  <c r="G371" i="2"/>
  <c r="H371" i="2"/>
  <c r="F381" i="2"/>
  <c r="G381" i="2"/>
  <c r="H381" i="2"/>
  <c r="F384" i="2"/>
  <c r="G384" i="2"/>
  <c r="H384" i="2"/>
  <c r="F387" i="2"/>
  <c r="G387" i="2"/>
  <c r="H387" i="2"/>
  <c r="F390" i="2"/>
  <c r="G390" i="2"/>
  <c r="H390" i="2"/>
  <c r="F398" i="2"/>
  <c r="G398" i="2"/>
  <c r="H398" i="2"/>
  <c r="F401" i="2"/>
  <c r="G401" i="2"/>
  <c r="H401" i="2"/>
  <c r="F412" i="2"/>
  <c r="G412" i="2"/>
  <c r="H412" i="2"/>
  <c r="F416" i="2"/>
  <c r="G416" i="2"/>
  <c r="H416" i="2"/>
  <c r="F421" i="2"/>
  <c r="G421" i="2"/>
  <c r="H421" i="2"/>
  <c r="F424" i="2"/>
  <c r="G424" i="2"/>
  <c r="H424" i="2"/>
  <c r="F429" i="2"/>
  <c r="G429" i="2"/>
  <c r="H429" i="2"/>
  <c r="F433" i="2"/>
  <c r="G433" i="2"/>
  <c r="H433" i="2"/>
  <c r="F435" i="2"/>
  <c r="G435" i="2"/>
  <c r="H435" i="2"/>
  <c r="F440" i="2"/>
  <c r="G440" i="2"/>
  <c r="H440" i="2"/>
  <c r="F443" i="2"/>
  <c r="G443" i="2"/>
  <c r="H443" i="2"/>
  <c r="F447" i="2"/>
  <c r="G447" i="2"/>
  <c r="H447" i="2"/>
  <c r="F452" i="2"/>
  <c r="G452" i="2"/>
  <c r="H452" i="2"/>
  <c r="F456" i="2"/>
  <c r="G456" i="2"/>
  <c r="H456" i="2"/>
  <c r="F463" i="2"/>
  <c r="G463" i="2"/>
  <c r="H463" i="2"/>
  <c r="F465" i="2"/>
  <c r="G465" i="2"/>
  <c r="H465" i="2"/>
  <c r="F469" i="2"/>
  <c r="G469" i="2"/>
  <c r="H469" i="2"/>
  <c r="F477" i="2"/>
  <c r="G477" i="2"/>
  <c r="H477" i="2"/>
  <c r="F482" i="2"/>
  <c r="G482" i="2"/>
  <c r="H482" i="2"/>
  <c r="F485" i="2"/>
  <c r="G485" i="2"/>
  <c r="H485" i="2"/>
  <c r="F491" i="2"/>
  <c r="G491" i="2"/>
  <c r="H491" i="2"/>
  <c r="F496" i="2"/>
  <c r="G496" i="2"/>
  <c r="H496" i="2"/>
  <c r="F501" i="2"/>
  <c r="G501" i="2"/>
  <c r="H501" i="2"/>
  <c r="F505" i="2"/>
  <c r="G505" i="2"/>
  <c r="H505" i="2"/>
  <c r="F509" i="2"/>
  <c r="G509" i="2"/>
  <c r="H509" i="2"/>
  <c r="F512" i="2"/>
  <c r="G512" i="2"/>
  <c r="H512" i="2"/>
  <c r="F515" i="2"/>
  <c r="G515" i="2"/>
  <c r="H515" i="2"/>
  <c r="F524" i="2"/>
  <c r="G524" i="2"/>
  <c r="H524" i="2"/>
  <c r="F528" i="2"/>
  <c r="G528" i="2"/>
  <c r="H528" i="2"/>
  <c r="F530" i="2"/>
  <c r="G530" i="2"/>
  <c r="H530" i="2"/>
  <c r="F534" i="2"/>
  <c r="G534" i="2"/>
  <c r="H534" i="2"/>
  <c r="F540" i="2"/>
  <c r="G540" i="2"/>
  <c r="H540" i="2"/>
  <c r="F549" i="2"/>
  <c r="G549" i="2"/>
  <c r="H549" i="2"/>
  <c r="F552" i="2"/>
  <c r="G552" i="2"/>
  <c r="H552" i="2"/>
  <c r="F555" i="2"/>
  <c r="G555" i="2"/>
  <c r="H555" i="2"/>
  <c r="F558" i="2"/>
  <c r="G558" i="2"/>
  <c r="H558" i="2"/>
  <c r="F561" i="2"/>
  <c r="G561" i="2"/>
  <c r="H561" i="2"/>
  <c r="F565" i="2"/>
  <c r="G565" i="2"/>
  <c r="H565" i="2"/>
  <c r="F568" i="2"/>
  <c r="G568" i="2"/>
  <c r="H568" i="2"/>
  <c r="F574" i="2"/>
  <c r="G574" i="2"/>
  <c r="H574" i="2"/>
  <c r="F579" i="2"/>
  <c r="G579" i="2"/>
  <c r="H579" i="2"/>
  <c r="F583" i="2"/>
  <c r="G583" i="2"/>
  <c r="H583" i="2"/>
  <c r="F586" i="2"/>
  <c r="G586" i="2"/>
  <c r="H586" i="2"/>
  <c r="F590" i="2"/>
  <c r="G590" i="2"/>
  <c r="H590" i="2"/>
  <c r="F595" i="2"/>
  <c r="G595" i="2"/>
  <c r="H595" i="2"/>
  <c r="F597" i="2"/>
  <c r="G597" i="2"/>
  <c r="H597" i="2"/>
  <c r="F600" i="2"/>
  <c r="G600" i="2"/>
  <c r="H600" i="2"/>
  <c r="F603" i="2"/>
  <c r="G603" i="2"/>
  <c r="H603" i="2"/>
  <c r="F606" i="2"/>
  <c r="G606" i="2"/>
  <c r="H606" i="2"/>
  <c r="F613" i="2"/>
  <c r="G613" i="2"/>
  <c r="H613" i="2"/>
  <c r="F624" i="2"/>
  <c r="G624" i="2"/>
  <c r="H624" i="2"/>
  <c r="F628" i="2"/>
  <c r="G628" i="2"/>
  <c r="H628" i="2"/>
  <c r="F631" i="2"/>
  <c r="G631" i="2"/>
  <c r="H631" i="2"/>
  <c r="F633" i="2"/>
  <c r="G633" i="2"/>
  <c r="H633" i="2"/>
  <c r="F636" i="2"/>
  <c r="G636" i="2"/>
  <c r="H636" i="2"/>
  <c r="F657" i="2"/>
  <c r="F640" i="2" s="1"/>
  <c r="G657" i="2"/>
  <c r="G640" i="2" s="1"/>
  <c r="H657" i="2"/>
  <c r="H640" i="2" s="1"/>
  <c r="F663" i="2"/>
  <c r="G663" i="2"/>
  <c r="H663" i="2"/>
  <c r="F668" i="2"/>
  <c r="G668" i="2"/>
  <c r="H668" i="2"/>
  <c r="F671" i="2"/>
  <c r="G671" i="2"/>
  <c r="H671" i="2"/>
  <c r="F673" i="2"/>
  <c r="G673" i="2"/>
  <c r="H673" i="2"/>
  <c r="F677" i="2"/>
  <c r="G677" i="2"/>
  <c r="H677" i="2"/>
  <c r="F682" i="2"/>
  <c r="F679" i="2" s="1"/>
  <c r="G682" i="2"/>
  <c r="G679" i="2" s="1"/>
  <c r="H682" i="2"/>
  <c r="H679" i="2" s="1"/>
  <c r="F688" i="2"/>
  <c r="G688" i="2"/>
  <c r="H688" i="2"/>
  <c r="F692" i="2"/>
  <c r="G692" i="2"/>
  <c r="H692" i="2"/>
  <c r="F694" i="2"/>
  <c r="G694" i="2"/>
  <c r="H694" i="2"/>
  <c r="F696" i="2"/>
  <c r="G696" i="2"/>
  <c r="H696" i="2"/>
  <c r="F699" i="2"/>
  <c r="G699" i="2"/>
  <c r="H699" i="2"/>
  <c r="F702" i="2"/>
  <c r="G702" i="2"/>
  <c r="H702" i="2"/>
  <c r="D712" i="2"/>
  <c r="E712" i="2"/>
  <c r="C725" i="2"/>
  <c r="D725" i="2"/>
  <c r="E725" i="2"/>
  <c r="F235" i="2" l="1"/>
  <c r="G235" i="2"/>
  <c r="G670" i="2"/>
  <c r="H489" i="2"/>
  <c r="H215" i="2"/>
  <c r="H143" i="2"/>
  <c r="E729" i="2"/>
  <c r="C729" i="2"/>
  <c r="G25" i="2"/>
  <c r="H101" i="2"/>
  <c r="H661" i="2"/>
  <c r="F612" i="2"/>
  <c r="F504" i="2"/>
  <c r="F228" i="2"/>
  <c r="F152" i="2"/>
  <c r="G489" i="2"/>
  <c r="F572" i="2"/>
  <c r="G268" i="2"/>
  <c r="G262" i="2" s="1"/>
  <c r="G261" i="2" s="1"/>
  <c r="G215" i="2"/>
  <c r="G143" i="2"/>
  <c r="G101" i="2"/>
  <c r="D729" i="2"/>
  <c r="F661" i="2"/>
  <c r="G370" i="2"/>
  <c r="G420" i="2"/>
  <c r="G419" i="2" s="1"/>
  <c r="F289" i="2"/>
  <c r="F200" i="2"/>
  <c r="F170" i="2"/>
  <c r="G118" i="2"/>
  <c r="G661" i="2"/>
  <c r="H612" i="2"/>
  <c r="H572" i="2"/>
  <c r="H504" i="2"/>
  <c r="F475" i="2"/>
  <c r="F341" i="2"/>
  <c r="H289" i="2"/>
  <c r="H228" i="2"/>
  <c r="H200" i="2"/>
  <c r="H170" i="2"/>
  <c r="H152" i="2"/>
  <c r="F111" i="2"/>
  <c r="F87" i="2"/>
  <c r="F85" i="2" s="1"/>
  <c r="F56" i="2"/>
  <c r="F46" i="2" s="1"/>
  <c r="F25" i="2"/>
  <c r="F670" i="2"/>
  <c r="G612" i="2"/>
  <c r="G572" i="2"/>
  <c r="G504" i="2"/>
  <c r="H475" i="2"/>
  <c r="H341" i="2"/>
  <c r="G289" i="2"/>
  <c r="F268" i="2"/>
  <c r="F262" i="2" s="1"/>
  <c r="F261" i="2" s="1"/>
  <c r="G228" i="2"/>
  <c r="G200" i="2"/>
  <c r="G170" i="2"/>
  <c r="G152" i="2"/>
  <c r="H111" i="2"/>
  <c r="H87" i="2"/>
  <c r="H85" i="2" s="1"/>
  <c r="H56" i="2"/>
  <c r="H46" i="2" s="1"/>
  <c r="H25" i="2"/>
  <c r="H8" i="2"/>
  <c r="F686" i="2"/>
  <c r="F684" i="2" s="1"/>
  <c r="H670" i="2"/>
  <c r="F589" i="2"/>
  <c r="F523" i="2"/>
  <c r="F489" i="2"/>
  <c r="G475" i="2"/>
  <c r="G341" i="2"/>
  <c r="F320" i="2"/>
  <c r="H268" i="2"/>
  <c r="H262" i="2" s="1"/>
  <c r="H261" i="2" s="1"/>
  <c r="F215" i="2"/>
  <c r="F160" i="2"/>
  <c r="F143" i="2"/>
  <c r="G111" i="2"/>
  <c r="G87" i="2"/>
  <c r="G85" i="2" s="1"/>
  <c r="G56" i="2"/>
  <c r="G46" i="2" s="1"/>
  <c r="G8" i="2"/>
  <c r="H686" i="2"/>
  <c r="H684" i="2" s="1"/>
  <c r="H589" i="2"/>
  <c r="H523" i="2"/>
  <c r="F420" i="2"/>
  <c r="F419" i="2" s="1"/>
  <c r="F370" i="2"/>
  <c r="H320" i="2"/>
  <c r="H235" i="2"/>
  <c r="H160" i="2"/>
  <c r="F118" i="2"/>
  <c r="F101" i="2"/>
  <c r="F8" i="2"/>
  <c r="G686" i="2"/>
  <c r="G684" i="2" s="1"/>
  <c r="G589" i="2"/>
  <c r="G523" i="2"/>
  <c r="H420" i="2"/>
  <c r="H419" i="2" s="1"/>
  <c r="H370" i="2"/>
  <c r="G320" i="2"/>
  <c r="G160" i="2"/>
  <c r="H118" i="2"/>
  <c r="G287" i="2" l="1"/>
  <c r="G286" i="2" s="1"/>
  <c r="F224" i="2"/>
  <c r="F223" i="2" s="1"/>
  <c r="H45" i="2"/>
  <c r="F45" i="2"/>
  <c r="G609" i="2"/>
  <c r="G608" i="2" s="1"/>
  <c r="G45" i="2"/>
  <c r="F520" i="2"/>
  <c r="F519" i="2" s="1"/>
  <c r="H7" i="2"/>
  <c r="H6" i="2" s="1"/>
  <c r="H100" i="2"/>
  <c r="H99" i="2" s="1"/>
  <c r="H199" i="2"/>
  <c r="F151" i="2"/>
  <c r="G199" i="2"/>
  <c r="F609" i="2"/>
  <c r="F608" i="2" s="1"/>
  <c r="G520" i="2"/>
  <c r="G519" i="2" s="1"/>
  <c r="G339" i="2"/>
  <c r="G338" i="2" s="1"/>
  <c r="H339" i="2"/>
  <c r="H338" i="2" s="1"/>
  <c r="G100" i="2"/>
  <c r="G99" i="2" s="1"/>
  <c r="G7" i="2"/>
  <c r="G6" i="2" s="1"/>
  <c r="H609" i="2"/>
  <c r="H608" i="2" s="1"/>
  <c r="F287" i="2"/>
  <c r="F286" i="2" s="1"/>
  <c r="G474" i="2"/>
  <c r="G473" i="2" s="1"/>
  <c r="G151" i="2"/>
  <c r="H224" i="2"/>
  <c r="H223" i="2" s="1"/>
  <c r="F7" i="2"/>
  <c r="F6" i="2" s="1"/>
  <c r="G224" i="2"/>
  <c r="G223" i="2" s="1"/>
  <c r="H474" i="2"/>
  <c r="H473" i="2" s="1"/>
  <c r="F100" i="2"/>
  <c r="F99" i="2" s="1"/>
  <c r="H151" i="2"/>
  <c r="H520" i="2"/>
  <c r="H519" i="2" s="1"/>
  <c r="F474" i="2"/>
  <c r="F473" i="2" s="1"/>
  <c r="F339" i="2"/>
  <c r="F338" i="2" s="1"/>
  <c r="F199" i="2"/>
  <c r="H287" i="2"/>
  <c r="H286" i="2" s="1"/>
  <c r="H150" i="2" l="1"/>
  <c r="G150" i="2"/>
  <c r="F150" i="2"/>
</calcChain>
</file>

<file path=xl/sharedStrings.xml><?xml version="1.0" encoding="utf-8"?>
<sst xmlns="http://schemas.openxmlformats.org/spreadsheetml/2006/main" count="2247" uniqueCount="1165">
  <si>
    <t>ŠIAULIŲ MIESTO SAVIVALDYBĖS 2023–2025 METŲ STRATEGINIO VEIKLOS PLANO TIKSLŲ, UŽDAVINIŲ, PRIEMONIŲ, PRIEMONIŲ IŠLAIDŲ IR PRODUKTO KRITERIJŲ SUVESTINĖ</t>
  </si>
  <si>
    <t>Kodas</t>
  </si>
  <si>
    <t>Pavadinimas</t>
  </si>
  <si>
    <t>Vykdytojas</t>
  </si>
  <si>
    <t>SP lėšos</t>
  </si>
  <si>
    <t>Papildomas (-i) požymis (-iai)</t>
  </si>
  <si>
    <t>2023 metų lėšų projektas</t>
  </si>
  <si>
    <t>2024 metų lėšų projektas</t>
  </si>
  <si>
    <t>2025 metų lėšų projektas</t>
  </si>
  <si>
    <t>Efekto /Rezultato /Produkto /Indėlio</t>
  </si>
  <si>
    <t>Rodiklis</t>
  </si>
  <si>
    <t>Mato vnt.</t>
  </si>
  <si>
    <t>Planas</t>
  </si>
  <si>
    <t>2023</t>
  </si>
  <si>
    <t>2024</t>
  </si>
  <si>
    <t>2025</t>
  </si>
  <si>
    <t>01.</t>
  </si>
  <si>
    <t>Miesto urbanistinės plėtros programa</t>
  </si>
  <si>
    <t>Architektūros, urbanistikos ir paveldosaugos skyrius</t>
  </si>
  <si>
    <t>proc.</t>
  </si>
  <si>
    <t>01.01.</t>
  </si>
  <si>
    <t>Užtikrinti kompleksišką ir darnų miesto planavimą</t>
  </si>
  <si>
    <t>Parengtų teritorijų planavimo, žemėtvarkos planavimo, žemės sklypų kadastrinių matavimų dokumentų</t>
  </si>
  <si>
    <t>vnt.</t>
  </si>
  <si>
    <t>01.01.01.</t>
  </si>
  <si>
    <t>Rengti teritorijų planavimo dokumentus, padedančius užtikrinti darniąją miesto plėtrą</t>
  </si>
  <si>
    <t>01.01.01.01</t>
  </si>
  <si>
    <t>Koreguoti Šiaulių miesto savivaldybės teritorijos bendrąjį planą</t>
  </si>
  <si>
    <t>Atliktas Bendrojo plano pakeitimas</t>
  </si>
  <si>
    <t>1.01.</t>
  </si>
  <si>
    <t>Parengtas Šiaulių miesto bendrojo plano koregavimas teritorijose tarp Trumpiškių, Bačiūnų, Pramonės g. ir želdynų ploto bei Šiaulių miesto administracinės ribos, Lingailių g., sklypo, kurio kadastro Nr. 2901/8001:0007, ir Bačiūnų g.</t>
  </si>
  <si>
    <t>01.01.01.02</t>
  </si>
  <si>
    <t>Organizuoti detaliųjų ir specialiųjų planų parengimą</t>
  </si>
  <si>
    <t>Parengtų detaliųjų ir specialiųjų planų</t>
  </si>
  <si>
    <t>Parengtas Teritorijos tarp Gegužių, Architektų, Gardino ir Aido gatvių Šiauliuose detalusis planas</t>
  </si>
  <si>
    <t>1.10.</t>
  </si>
  <si>
    <t>Parengtas Teritorijos tarp Aušros al., Žemaitės, Dobilo ir Vaisių g. (Centrinio parko) Šiaulių mieste detaliojo plano keitimas</t>
  </si>
  <si>
    <t>Parengtas Prisikėlimo aikštės su prieigomis detaliojo plano keitimas</t>
  </si>
  <si>
    <t>Atliktas Zoknių gyvenamojo rajono Šiauliuose detaliojo plano koregavimas</t>
  </si>
  <si>
    <t>Atliktas supaprastinta tvarka parengto detaliojo plano sklypo Marijampolės g.22 keitimas</t>
  </si>
  <si>
    <t>Atliktas žemės sklypo J. Žemaičio g. 3, Šiauliuose detaliojo plano keitimas</t>
  </si>
  <si>
    <t>Atliktas supaprastinta tvarka parengto žemės sklypo Pramonės g. 15, Šiauliuose detaliojo plano koregavimas</t>
  </si>
  <si>
    <t>Atliktas supaprastinta tvarka parengto detalaus plano teritorijos Architektų g.1, Šiauliuose  koregavimas</t>
  </si>
  <si>
    <t>01.01.01.03</t>
  </si>
  <si>
    <t>Įgyvendinti  žemės paėmimo visuomenės poreikiams procedūrą</t>
  </si>
  <si>
    <t>Įgyvendinta žemės paėmimo visuomenės poreikiams procedūra, paimtas žemės sklypas visuomenės poreikiams</t>
  </si>
  <si>
    <t>Parengta sąnaudų naudos analizė</t>
  </si>
  <si>
    <t>01.01.01.04</t>
  </si>
  <si>
    <t>Rengti žemėtvarkos planavimo dokumentus, žemės sklypų kadastrinius matavimus</t>
  </si>
  <si>
    <t>Parengta kadastrinių matavimų bylų, žemės sklypų pertvarkymo projektų</t>
  </si>
  <si>
    <t>01.01.02.</t>
  </si>
  <si>
    <t>Pagerinti miesto teigiamo architektūrinio ir vizualinio įvaizdžio kokybę</t>
  </si>
  <si>
    <t>01.01.02.01</t>
  </si>
  <si>
    <t>Formuoti miesto teigiamą architektūrinį ir vizualųjį įvaizdį</t>
  </si>
  <si>
    <t>Įgyvendintas paminklo "Tautos laisvė" projektas</t>
  </si>
  <si>
    <t>Parengtas paminklo "Tautos laisvė" techninis projektas</t>
  </si>
  <si>
    <t>Parengti tipinio dizaino kioskų ir paviljonų projektavimo reikalavimai</t>
  </si>
  <si>
    <t>Atlikti Prof. Aloyzo Toleikio skulptūros „Dubysa“ restauravimo, remonto ir perkėlimo darbai</t>
  </si>
  <si>
    <t>Įgyvendintas Mozaikos „Šiauliai“, esančios adresu Tilžės g. 198, Šiauliuose, konservavimo, restauravimo ir atkūrimo darbų aprašymo programos – projekto parengimas ir darbų pagal programą – projektą vykdymas.</t>
  </si>
  <si>
    <t>Parengtų, įgyvendintų projektinių pasiūlymų, idėjos konkursų</t>
  </si>
  <si>
    <t>01.01.02.02</t>
  </si>
  <si>
    <t>Organizuoti architektūriniu, urbanistiniu, valstybiniu ar viešojo intereso požiūriu reikšmingų objektų planavimo ar projektavimo architektūrinius konkursus</t>
  </si>
  <si>
    <t>Suorganizuota architektūrinių konkursų</t>
  </si>
  <si>
    <t>01.01.02.03</t>
  </si>
  <si>
    <t>Organizuoti projektinių darbų finansavimą</t>
  </si>
  <si>
    <t>Architektūros, urbanistikos ir paveldosaugos skyrius; Statybos ir renovacijos skyrius; Miesto ūkio ir aplinkos skyrius</t>
  </si>
  <si>
    <t>Architektūros, urbanistikos ir paveldosaugos skyriaus parengtų techninių projektų</t>
  </si>
  <si>
    <t>Statybos ir renovacijos skyriaus parengtų techninių projektų</t>
  </si>
  <si>
    <t>Miesto ūkio ir aplinkos skyriaus parengtų techninių projektų</t>
  </si>
  <si>
    <t>01.01.03.</t>
  </si>
  <si>
    <t>Organizuoti kultūros paveldo apsaugą</t>
  </si>
  <si>
    <t>01.01.03.01</t>
  </si>
  <si>
    <t>Organizuoti kultūros paveldo tvarkybą</t>
  </si>
  <si>
    <t>Sutvarkyta kultūros paveldo objektų</t>
  </si>
  <si>
    <t>Įgyvendintas informacinių stovų (stendų) suprojektavimas, jų pagaminimas ir sumontavimas prie Šiaulių m. memorialinių objektų – neveikiančių kapinių</t>
  </si>
  <si>
    <t>Atlikti kitos paskirties inžinerinių statinių (atraminių sienelių) žemės sklype (kad. Nr. 2901/0015:143) Šiaulių mieste tvarkomieji statybos darbai</t>
  </si>
  <si>
    <t>Atlikti kapavietės Aviacijos g., Šiauliuose sutvarkymo darbai</t>
  </si>
  <si>
    <t>01.01.03.02</t>
  </si>
  <si>
    <t>Plėtoti kultūros paveldo apskaitą</t>
  </si>
  <si>
    <t>Įgyvendinta kultūros paveldo apskaitos priemonių</t>
  </si>
  <si>
    <t>01.01.04.</t>
  </si>
  <si>
    <t>Kokybiškai administruoti Šiaulių m. erdvinių duomenų bazę</t>
  </si>
  <si>
    <t>01.01.04.01</t>
  </si>
  <si>
    <t>Organizuoti miesto erdvinių duomenų bazės techninę priežiūrą, programinės įrangos atnaujinimą</t>
  </si>
  <si>
    <t>Atnaujinta programinė įranga</t>
  </si>
  <si>
    <t>01.01.04.02</t>
  </si>
  <si>
    <t>Organizuoti Šiaulių miesto savivaldybės geodezijos ir kartografijos darbus</t>
  </si>
  <si>
    <t>Parengta topografinių planų</t>
  </si>
  <si>
    <t>02.</t>
  </si>
  <si>
    <t>Kultūros plėtros programa</t>
  </si>
  <si>
    <t>Kultūros skyrius</t>
  </si>
  <si>
    <t>02.01.</t>
  </si>
  <si>
    <t>Skatinti įvairių visuomenės grupių dalyvavimą kultūroje puoselėjant kultūros tradicijas ir  kultūrinės raiškos įvairovę bei gerinti kultūrinių paslaugų prieinamumą ir kokybę</t>
  </si>
  <si>
    <t>Gyventojų įsitraukimo į miesto kultūrinį gyvenimą augimas</t>
  </si>
  <si>
    <t>Kultūros paslaugų vartotojų skaičiaus augimas</t>
  </si>
  <si>
    <t>Atnaujintų kultūros įstaigų/objektų</t>
  </si>
  <si>
    <t>02.01.01.</t>
  </si>
  <si>
    <t>Užtikrinti miesto kultūrinio gyvenimo gyvybingumą, ugdyti ir skatinti miesto gyventojų ir jaunimo pilietinį aktyvumą bei tautinį sąmoningumą</t>
  </si>
  <si>
    <t>02.01.01.01</t>
  </si>
  <si>
    <t>Skatinti Šiaulių miesto kultūros ir meno įvairovę, sklaidą, prieinamumą</t>
  </si>
  <si>
    <t>Finansuotų kultūros projektų</t>
  </si>
  <si>
    <t>02.01.01.02</t>
  </si>
  <si>
    <t>Skatinti meno kūrėjus</t>
  </si>
  <si>
    <t>Įteiktų premijų ir stipendijų</t>
  </si>
  <si>
    <t>02.01.01.10</t>
  </si>
  <si>
    <t>Užtikrinti reprezentacinių Šiaulių miesto festivalių tęstinumą, jų ilgalaikiškumą, dalinį finansavimą, skatinti naujų idėjų, raiškos formų atsiradimą ir raidą</t>
  </si>
  <si>
    <t>Finansuotų festivalių</t>
  </si>
  <si>
    <t>02.01.01.11</t>
  </si>
  <si>
    <t>Koordinuoti valstybinių švenčių, atmintinų dienų paminėjimą, svarbių renginių, plenerų organizavimą, puoselėti tautines tradicijas</t>
  </si>
  <si>
    <t>Surengtų miesto, valstybinių, kalendorinių ir atmintinų dienų švenčių</t>
  </si>
  <si>
    <t>Įgyvendintų Tolygios kultūrinės raidos programos projektų, papildomų kultūros priemonių</t>
  </si>
  <si>
    <t>Atminimo ženklų sukūrimo ir gamybos paslaugų</t>
  </si>
  <si>
    <t>02.01.04.</t>
  </si>
  <si>
    <t>Užtikrinti kultūros paslaugų sklaidą ir prieinamumą gyventojams</t>
  </si>
  <si>
    <t>02.01.04.01</t>
  </si>
  <si>
    <t>Užtikrinti kultūros įstaigų veiklą</t>
  </si>
  <si>
    <t>Surengtų parodų</t>
  </si>
  <si>
    <t>Surengtų renginių</t>
  </si>
  <si>
    <t>2.02.</t>
  </si>
  <si>
    <t>Įgyvendintų projektų</t>
  </si>
  <si>
    <t>2.03.</t>
  </si>
  <si>
    <t>Surengtų edukacijų</t>
  </si>
  <si>
    <t>1.09.</t>
  </si>
  <si>
    <t>Surengtų ekskursijų</t>
  </si>
  <si>
    <t>2.01.</t>
  </si>
  <si>
    <t>Lankytojų (renginių, parodų, projektų ir kt. lankytojų, žiūrovų, klausytojų, skaitytojų, paslaugų vartotojų ir pan.)</t>
  </si>
  <si>
    <t>Dalyvių (renginyje / parodoje / koncerte / projekte / festivalyje ir pan. dalyvavusių kūrėjų, atlikėjų, organizatorių, savanorių ir kt.)</t>
  </si>
  <si>
    <t>1.05.</t>
  </si>
  <si>
    <t>Edukacijų dalyvių</t>
  </si>
  <si>
    <t>Ekskursijų dalyvių</t>
  </si>
  <si>
    <t>Šiaulių turizmo informacijos centro ir „Baltų kelio“ centro lankytojų</t>
  </si>
  <si>
    <t>02.01.04.08</t>
  </si>
  <si>
    <t>Aktualizuoti Šiaulių kultūros centrą (Aušros al. 31)</t>
  </si>
  <si>
    <t>Projektų valdymo skyrius</t>
  </si>
  <si>
    <t>Patvirtintas galutinis mokėjimo prašymas</t>
  </si>
  <si>
    <t>1.08.</t>
  </si>
  <si>
    <t>02.01.04.09</t>
  </si>
  <si>
    <t>Atnaujinti (modernizuoti) Šiaulių miesto koncertinę įstaigą „Saulė" (Tilžės g. 140), rekonstruoti pastatą ir pastatyti priestatą</t>
  </si>
  <si>
    <t>Šiaulių miesto koncertinė įstaiga „Saulė“; Kultūros skyrius</t>
  </si>
  <si>
    <t>Atlikta planuotų darbų</t>
  </si>
  <si>
    <t>02.01.04.10</t>
  </si>
  <si>
    <t>Atlikti Šiaulių miesto kultūros centro „Laiptų galerija" senojo pastato (P. Bugailiškio namas, Žemaitės g. 83) tvarkomuosius statybos darbus</t>
  </si>
  <si>
    <t>Kultūros skyrius; Statybos ir renovacijos skyrius; Projektų valdymo skyrius</t>
  </si>
  <si>
    <t>1.02.</t>
  </si>
  <si>
    <t>02.01.04.11</t>
  </si>
  <si>
    <t>Atnaujinti (modernizuoti) Šiaulių dailės galerijos pastatą (Vilniaus g. 245)</t>
  </si>
  <si>
    <t>Statybos ir renovacijos skyrius; Kultūros skyrius; Šiaulių dailės galerija</t>
  </si>
  <si>
    <t>PP, 4</t>
  </si>
  <si>
    <t>02.01.04.12</t>
  </si>
  <si>
    <t>Atlikti Šiaulių kultūros centro Rėkyvos kultūros namų fasado ir vidaus patalpų remontą</t>
  </si>
  <si>
    <t>Statybos ir renovacijos skyrius; Kultūros skyrius; Projektų valdymo skyrius</t>
  </si>
  <si>
    <t>02.01.04.13</t>
  </si>
  <si>
    <t>Pritaikyti patalpas Vilniaus g. 213 turizmo paslaugų plėtrai</t>
  </si>
  <si>
    <t>Šiaulių turizmo informacijos centras; Statybos ir renovacijos skyrius; Kultūros skyrius</t>
  </si>
  <si>
    <t>02.01.04.15</t>
  </si>
  <si>
    <t>Atnaujinti Šiaulių miesto savivaldybės viešosios bibliotekos patalpas</t>
  </si>
  <si>
    <t>Kultūros skyrius; Šiaulių miesto savivaldybės viešoji biblioteka</t>
  </si>
  <si>
    <t>02.02.</t>
  </si>
  <si>
    <t>Stiprinti miesto įvaizdį plėtojant turizmo sektorių</t>
  </si>
  <si>
    <t>Turistų ir lankytojų skaičiaus Šiaulių mieste augimas</t>
  </si>
  <si>
    <t>Įvykdyta miesto įvaizdžio rinkodaros strategijos gairių priemonių</t>
  </si>
  <si>
    <t>02.02.02.</t>
  </si>
  <si>
    <t>Vystyti Šiaulių miesto turizmo sektorių</t>
  </si>
  <si>
    <t>02.02.02.01</t>
  </si>
  <si>
    <t>Įgyvendinti projektą „Savivaldybes jungiančios turizmo informacinės infrastruktūros plėtra Šiaulių regione“</t>
  </si>
  <si>
    <t>Architektūros, urbanistikos ir paveldosaugos skyrius; Kultūros skyrius; Šiaulių turizmo informacijos centras; Projektų valdymo skyrius</t>
  </si>
  <si>
    <t>Baigta tvarkyti projekto dokumentacija ir finansiniai srautai</t>
  </si>
  <si>
    <t>02.02.02.02</t>
  </si>
  <si>
    <t>Įgyvendinti projektą „Baltų kultūros pažinimo skatinimas ir žinomumo apie tarptautinį kultūros kelią „Baltų kelias“ didinimas“</t>
  </si>
  <si>
    <t>Šiaulių turizmo informacijos centras; Kultūros skyrius</t>
  </si>
  <si>
    <t>Įgyvendinta projekto veiklų</t>
  </si>
  <si>
    <t>02.02.02.03</t>
  </si>
  <si>
    <t>Įgyvendinti projektą „Saulės kelias“</t>
  </si>
  <si>
    <t>02.02.02.04</t>
  </si>
  <si>
    <t>Įgyvendinti miesto įvaizdžio rinkodaros strategijos gairių priemonių planą</t>
  </si>
  <si>
    <t>Šiaulių turizmo informacijos centras; Kultūros skyrius; Šiaulių dailės galerija; Šiaulių kultūros centras</t>
  </si>
  <si>
    <t>Įgyvendinta strategijos veiklų</t>
  </si>
  <si>
    <t>02.02.04.</t>
  </si>
  <si>
    <t>Vykdyti nekilnojamojo kultūros paveldo pažinimo sklaidą ir atgaivinimą</t>
  </si>
  <si>
    <t>02.02.04.02</t>
  </si>
  <si>
    <t>Organizuoti Europos paveldo dienų renginius</t>
  </si>
  <si>
    <t>Suorganizuotų Europos paveldo dienų renginių ciklų</t>
  </si>
  <si>
    <t>02.02.04.03</t>
  </si>
  <si>
    <t>Didinti religinio turizmo prieinamumą</t>
  </si>
  <si>
    <t>Įvykdytų religinio turizmo skatinimo veiklų</t>
  </si>
  <si>
    <t>03.</t>
  </si>
  <si>
    <t>Aplinkos apsaugos programa</t>
  </si>
  <si>
    <t>Miesto ūkio ir aplinkos skyrius</t>
  </si>
  <si>
    <t>03.01.</t>
  </si>
  <si>
    <t>Pagerinti aplinkos kokybę mieste, kurti darnaus vystymosi principais pagrįstą sveiką ir švarią gyvenamąją aplinką mieste</t>
  </si>
  <si>
    <t>Sutvarkytas komunalinių atliekų kiekis</t>
  </si>
  <si>
    <t>t</t>
  </si>
  <si>
    <t>03.01.01.</t>
  </si>
  <si>
    <t>Plėtoti ir tobulinti miesto komunalinių atliekų tvarkymo sistemą</t>
  </si>
  <si>
    <t>03.01.01.01</t>
  </si>
  <si>
    <t>Įgyvendinti komunalinių atliekų tvarkymą</t>
  </si>
  <si>
    <t>VŠĮ Šiaulių regiono atliekų tvarkymo centras; Miesto ūkio ir aplinkos skyrius</t>
  </si>
  <si>
    <t>PP, 6</t>
  </si>
  <si>
    <t>Sutvarkyta komunalinių atliekų</t>
  </si>
  <si>
    <t>03.01.01.02</t>
  </si>
  <si>
    <t>Kompensuoti fiziniams asmenims asbesto turinčių gaminių atliekų šalinimą</t>
  </si>
  <si>
    <t>Kompensuota už asbesto gaminių šalinimą</t>
  </si>
  <si>
    <t>1.11.</t>
  </si>
  <si>
    <t>Surinkta asbesto</t>
  </si>
  <si>
    <t>03.01.01.03</t>
  </si>
  <si>
    <t>Įgyvendinti projektą „Komunalinių atliekų rūšiuojamojo surinkimo infrastruktūros plėtra Šiaulių regione"</t>
  </si>
  <si>
    <t>Miesto ūkio ir aplinkos skyrius; Projektų valdymo skyrius</t>
  </si>
  <si>
    <t>Įrengta konteinerių aikštelių</t>
  </si>
  <si>
    <t>Įrengta didelio gabarito atliekų surinkimo aikštelė (DGSA) su pakartotiniam panaudojimui tinkamų atliekų surinkimu</t>
  </si>
  <si>
    <t>03.01.01.04</t>
  </si>
  <si>
    <t>Įgyvendinti projektą  „Rūšiuojamuoju būdu surinktų maisto/virtuvės atliekų apdorojimo infrastruktūros sukūrimas Šiaulių regione"</t>
  </si>
  <si>
    <t>Parengta techninė dokumentacija</t>
  </si>
  <si>
    <t>Įsigyta įranga</t>
  </si>
  <si>
    <t>kompl.</t>
  </si>
  <si>
    <t>Įrengta priėmimo / laikymo zona</t>
  </si>
  <si>
    <t>03.01.02.</t>
  </si>
  <si>
    <t>Įgyvendinti želdynų ir želdinių apsaugos bei tvarkymo priemones</t>
  </si>
  <si>
    <t>03.01.02.01</t>
  </si>
  <si>
    <t>Parengti ir įgyvendinti želdynų pertvarkymo projektus, inventorizuoti miesto želdynus</t>
  </si>
  <si>
    <t>Parengta želdynų dokumentacija (INVENTORIZACIJA)</t>
  </si>
  <si>
    <t>Parengti želdynų projektai ir atlikti darbai</t>
  </si>
  <si>
    <t>03.01.02.03</t>
  </si>
  <si>
    <t>Vykdyti želdinių priežiūrą (tręšimas, genėjimas, kaštonų lapų tvarkymas) ir sodinti naujus želdinius prie miesto gatvių, parkuose ir skveruose</t>
  </si>
  <si>
    <t>Užtikrinta želdinių priežiūra (genėjimas, atžalų šalinimas, kelmų sutvarkymas, laistymas, tręšimas, kaštonų lapų surinkimas), pagal skirtą finansavimą</t>
  </si>
  <si>
    <t>1.12.</t>
  </si>
  <si>
    <t>Sunaikinta Sosnovskio barščių</t>
  </si>
  <si>
    <t>m2</t>
  </si>
  <si>
    <t>Pasodinta želdinių</t>
  </si>
  <si>
    <t>Vandens telkinių pakrančių valymas nuo perteklinių vandens augalų</t>
  </si>
  <si>
    <t>03.01.03.</t>
  </si>
  <si>
    <t>Įgyvendinti aplinkos monitoringo, prevencines, aplinkos kokybės gerinimo priemones</t>
  </si>
  <si>
    <t>03.01.03.04</t>
  </si>
  <si>
    <t>Vykdyti lietaus nuotekų sistemos griovių tvarkymą</t>
  </si>
  <si>
    <t>Sutvarkyta lietaus sistemos griovių</t>
  </si>
  <si>
    <t>Atlikta griovių inventorizacija, kadastriniai matavimai įregistravimas NTR</t>
  </si>
  <si>
    <t>pasl.</t>
  </si>
  <si>
    <t>03.01.03.05</t>
  </si>
  <si>
    <t>Įgyvendinti projektą „Šiaulių miesto paviršinių nuotekų tvarkymo sistemos inventorizavimas, paviršinių nuotekų tvarkymo infrastruktūros rekonstravimas ir plėtra"</t>
  </si>
  <si>
    <t>m</t>
  </si>
  <si>
    <t>sk.</t>
  </si>
  <si>
    <t>03.01.03.07</t>
  </si>
  <si>
    <t>Vykdyti geriamojo vandens tiekimo ir nuotekų tvarkymo infrastruktūros plėtrą</t>
  </si>
  <si>
    <t>03.01.03.08</t>
  </si>
  <si>
    <t>Užtikrinti Šiaulių municipalinės aplinkos tyrimų laboratorijos veiklą</t>
  </si>
  <si>
    <t>Šiaulių municipalinė aplinkos tyrimų laboratorija; Miesto ūkio ir aplinkos skyrius</t>
  </si>
  <si>
    <t>Finansuota įstaiga (Šiaulių municipalinė aplinkos tyrimų laboratorija)</t>
  </si>
  <si>
    <t>Parengta stebėsenos ataskaita</t>
  </si>
  <si>
    <t>03.01.03.09</t>
  </si>
  <si>
    <t>Įgyvendinti aplinkos oro kokybės valdymo programos priemones, vykdyti aplinkos kokybės stebėseną</t>
  </si>
  <si>
    <t>Išvalyta pavasarinio purvo (dėl pakeltosios taršos  - gatvių sąšlavos)</t>
  </si>
  <si>
    <t>Nupirkta mažos taršos zonos įvertinimo galimybių studija</t>
  </si>
  <si>
    <t>Žvyruotų gatvių apdorojimas dulkėtumą mažinančiomis medžiagomis</t>
  </si>
  <si>
    <t>03.01.03.10</t>
  </si>
  <si>
    <t>Tvarkyti užterštas teritorijas Šiaulių mieste</t>
  </si>
  <si>
    <t>Sutvarkyta užterštų teritorijų (4463, 4464,11555, 11556, 11557)</t>
  </si>
  <si>
    <t>ha</t>
  </si>
  <si>
    <t>03.01.03.11</t>
  </si>
  <si>
    <t>Likviduoti pavojingus radinius ir ekologinių avarijų padarinius</t>
  </si>
  <si>
    <t>Civilinės saugos ir teisėtvarkos skyrius; Miesto ūkio ir aplinkos skyrius</t>
  </si>
  <si>
    <t>Likviduota radinių ir avarijų</t>
  </si>
  <si>
    <t>03.01.03.13</t>
  </si>
  <si>
    <t>Vykdyti gyvenamuosiuose rajonuose, viešosiose vietose šunų išvedžiojimo aikštelių, kačių šėrimo vietų ir kitos gyvūnų priežiūrai skirtos įrangos įrengimą, remontą ir sanitarinę priežiūrą</t>
  </si>
  <si>
    <t>Suremontuotų ir prižiūrėtų šunų vedžiojimo ir kačių šėrimo aikštelių</t>
  </si>
  <si>
    <t>03.01.07.</t>
  </si>
  <si>
    <t>Vykdyti visuomenės švietimo ir mokymo aplinkosaugos klausimais priemones</t>
  </si>
  <si>
    <t>03.01.07.02</t>
  </si>
  <si>
    <t>Remti nevyriausybinių organizacijų aplinkosauginio švietimo projektų įgyvendinimą</t>
  </si>
  <si>
    <t>Paremta projektų</t>
  </si>
  <si>
    <t>03.01.07.03</t>
  </si>
  <si>
    <t>Organizuoti aplinkosauginius renginius, vykdyti visuomenės švietimą ir informavimą, įsigyti aplinkosauginius informacinius ir kt. leidinius</t>
  </si>
  <si>
    <t>Įsigyta leidinių</t>
  </si>
  <si>
    <t>Organizuoti renginiai (Žemės diena, Europos judumo savaitė)</t>
  </si>
  <si>
    <t>Įgyvendinta visuomenės švietimo ir informavimo priemonių</t>
  </si>
  <si>
    <t>03.01.09.</t>
  </si>
  <si>
    <t>Skatinti atsinaujinančių išteklių Šiaulių mieste naudojimą</t>
  </si>
  <si>
    <t>03.01.09.01</t>
  </si>
  <si>
    <t>Parengti atsinaujinančių išteklių energijos naudojimą Šiaulių mieste planą</t>
  </si>
  <si>
    <t>Parengtas atsinaujinančių išteklių energijos naudojimo planas</t>
  </si>
  <si>
    <t>03.01.09.02</t>
  </si>
  <si>
    <t>Įsigyti iš saulės parkų nutolusios saulės elektrinės dalį</t>
  </si>
  <si>
    <t>Bendrųjų reikalų skyrius; Projektų valdymo skyrius</t>
  </si>
  <si>
    <t>Įsigyta nutolusios saulės elektrinės iš saulės parkų galia</t>
  </si>
  <si>
    <t>kw</t>
  </si>
  <si>
    <t>Užtikrintas saulės elektrinės aptarnavimas, priežiūra ir remontas</t>
  </si>
  <si>
    <t>04.</t>
  </si>
  <si>
    <t>Miesto infrastruktūros objektų priežiūros, modernizavimo ir plėtros programa</t>
  </si>
  <si>
    <t>04.01.</t>
  </si>
  <si>
    <t>Modernizuoti miesto infrastruktūrą, užtikrinti  komunalinių paslaugų teikimą, infrastruktūros objektų  priežiūrą ir remontą</t>
  </si>
  <si>
    <t>Užtikrinti miesto priežiūrą, švarą, apšvietimą pagal skirtą finansavimą</t>
  </si>
  <si>
    <t>04.01.01.</t>
  </si>
  <si>
    <t xml:space="preserve">Vykdyti miesto infrastruktūros objektų priežiūrą, einamąjį remontą </t>
  </si>
  <si>
    <t>04.01.01.01</t>
  </si>
  <si>
    <t>Tvarkyti aplinką ir vykdyti infrastruktūros objektų priežiūrą ir remontą</t>
  </si>
  <si>
    <t>Miesto ūkio ir aplinkos skyrius; Medelyno seniūnija; Rėkyvos seniūnija</t>
  </si>
  <si>
    <t>Sutvarkyta aplinka (žaliųjų plotų, gėlynų, medžių kirtimas, benamių gyvūnų priežiūra, kapinių priežiūra); užtikrinta gatvių apšvietimo ir reguliavimo, sanitarinių paslaugų, gatvių, šaligatvių, aikštelių, vaikų žaidimo aikštelių, takų priežiūros ir remonto paslaugos</t>
  </si>
  <si>
    <t>Miesto komunalinio ūkio priežiūra: žvyruotų gatvių greideriavimas; kelių dangos ženklinimas; eismo reguliavimo, saugių eismo priemonių diegimas, kryptinio apšvietimo įrengimas</t>
  </si>
  <si>
    <t>1.06.</t>
  </si>
  <si>
    <t>Metalinių garažų teritorijos sutvarkymas</t>
  </si>
  <si>
    <t>Įrengta mokėjimo parkomatų</t>
  </si>
  <si>
    <t>04.01.01.05</t>
  </si>
  <si>
    <t>Remontuoti daugiabučių namų kiemų dangą</t>
  </si>
  <si>
    <t>Sutvarkyta, suremontuota planuotų einamaisiais metais kiemų įvažiavimų danga</t>
  </si>
  <si>
    <t>Daugiabučių namų kvartalo Rasos - Aukštabalio g. sutvarkymas</t>
  </si>
  <si>
    <t>04.01.02.</t>
  </si>
  <si>
    <t>Vykdyti Šiaulių miesto kapinių infrastruktūros plėtrą</t>
  </si>
  <si>
    <t>04.01.02.02</t>
  </si>
  <si>
    <t>Vykdyti kapinių teritorijoje esančios infrastruktūros tvarkymą ir priežiūrą</t>
  </si>
  <si>
    <t>Įdiegta kapinių skaitmeninė sistema</t>
  </si>
  <si>
    <t>Sutvarkyta takų, privažiavimų</t>
  </si>
  <si>
    <t>km</t>
  </si>
  <si>
    <t>Užtikrinta visų miesto kapinių priežiūra (administravimas, vandens vežimas, atliekų išvežimas ir kt.)</t>
  </si>
  <si>
    <t>04.01.02.03</t>
  </si>
  <si>
    <t>Vykdyti kolumbariumo statybą ir priežiūrą</t>
  </si>
  <si>
    <t>Statybos ir renovacijos skyrius; Miesto ūkio ir aplinkos skyrius</t>
  </si>
  <si>
    <t>Įgyvendinta kolumbariumo statyba</t>
  </si>
  <si>
    <t>Užtikrinta Kolumbariumo priežiūra (kolumbariumo ir takų valymas)</t>
  </si>
  <si>
    <t>04.01.02.04</t>
  </si>
  <si>
    <t>Vykdyti Daušiškių kapinių statybos ir infrastruktūros įrengimo darbus</t>
  </si>
  <si>
    <t>Statybos ir renovacijos skyrius</t>
  </si>
  <si>
    <t>Įgyvendinti Daušiškių kapinių II etapo įrengimo darbai (paviršinių nuotekų tinklai, kapinių nusausinimas, vandentiekio tinklai, buitinių nuotekų tinklai)</t>
  </si>
  <si>
    <t>04.01.04.</t>
  </si>
  <si>
    <t>Sutvarkyti viešąsias erdves</t>
  </si>
  <si>
    <t>04.01.04.05</t>
  </si>
  <si>
    <t>Įgyvendinti projektą „Vilniaus gatvės pėsčiųjų bulvaro ir amfiteatro rekonstrukcija“</t>
  </si>
  <si>
    <t>Architektūros, urbanistikos ir paveldosaugos skyrius; Projektų valdymo skyrius</t>
  </si>
  <si>
    <t>04.01.04.06</t>
  </si>
  <si>
    <t>Įgyvendinti projektą „Talkšos ežero pakrantės plėtra“</t>
  </si>
  <si>
    <t>04.01.04.07</t>
  </si>
  <si>
    <t>Įgyvendinti projektą „Viešųjų erdvių ir gyvenamosios aplinkos gerinimas teritorijoje, besiribojančioje su Draugystės prospektu, Vytauto gatve, P. Višinskio gatve ir Dubijos gatve"</t>
  </si>
  <si>
    <t>Projektų valdymo skyrius; Architektūros, urbanistikos ir paveldosaugos skyrius; Miesto ūkio ir aplinkos skyrius</t>
  </si>
  <si>
    <t>04.01.04.08</t>
  </si>
  <si>
    <t>Įgyvendinti projektą „P. Višinskio gatvės viešųjų erdvių pritaikymas jaunimo poreikiams“</t>
  </si>
  <si>
    <t>04.01.04.09</t>
  </si>
  <si>
    <t>Įgyvendinti projektą „Šiaulių miesto centrinio ir Didždvario parkų bei jų prieigų sutvarkymas“</t>
  </si>
  <si>
    <t>Miesto ūkio ir aplinkos skyrius; Architektūros, urbanistikos ir paveldosaugos skyrius; Projektų valdymo skyrius</t>
  </si>
  <si>
    <t>Atlikta rangos darbų</t>
  </si>
  <si>
    <t>04.01.04.10</t>
  </si>
  <si>
    <t>Įgyvendinti projektą „Aušros alėjos (nuo Žemaitės g. iki Varpo g.) viešųjų pastatų ir viešųjų erdvių prieigų rekonstrukcija"</t>
  </si>
  <si>
    <t>04.01.04.12</t>
  </si>
  <si>
    <t>Vykdyti vaizdo stebėjimo kamerų sistemos plėtrą</t>
  </si>
  <si>
    <t>Miesto koordinavimo skyrius</t>
  </si>
  <si>
    <t>PP, 10</t>
  </si>
  <si>
    <t>Prijungtų UAB ,,Šiaulių gatvių apšvietimas" dispozicijoje esančių vaizdo stebėjimo kamerų prie savivaldybės administracijos valdomos vaizdo stebėjimo sistemos</t>
  </si>
  <si>
    <t>Viešųjų vietų vaizdo stebėjimo kamerų, kurioms užtikrinamas funkcionalumo tęstinumas</t>
  </si>
  <si>
    <t>Įrengtų greičio matuoklių</t>
  </si>
  <si>
    <t>Pajungtų vaizdo stebėjimo kamerų</t>
  </si>
  <si>
    <t>04.02.</t>
  </si>
  <si>
    <t>Užtikrinti subalansuotą miesto susisiekimo sistemos vystymą</t>
  </si>
  <si>
    <t>Vykdyti miesto susisiekimo sistemos plėtrą</t>
  </si>
  <si>
    <t>04.02.01.</t>
  </si>
  <si>
    <t>Tobulinti miesto vidaus susisiekimo sistemą</t>
  </si>
  <si>
    <t>04.02.01.01</t>
  </si>
  <si>
    <t>Vykdyti naujų magistralinių gatvių suprojektavimo ir nutiesimo, susisiekimo komunikacijų įrengimo, rekonstravimo ir remonto darbus</t>
  </si>
  <si>
    <t>Statybos ir renovacijos skyrius; Architektūros, urbanistikos ir paveldosaugos skyrius</t>
  </si>
  <si>
    <t>Atlikta miesto gatvių, šaligatvių ir takų remonto darbų pagal skirtą finansavimą (Aerouosto g. Pramonės - Serbentų sankryža)aligatvis ir kt.)</t>
  </si>
  <si>
    <t>Atliktas išlyginamojo asfalto sluoksnio dengimas</t>
  </si>
  <si>
    <t>Sukurtos arba atnaujintos atviros erdvės mieste (Dainų takas, Dainų parkas)</t>
  </si>
  <si>
    <t>04.02.01.06</t>
  </si>
  <si>
    <t>Įrengti viešojo susisiekimo infrastruktūrą, siekiant pagerinti sąlygas verslo plėtrai</t>
  </si>
  <si>
    <t>Projektų valdymo skyrius; Miesto ūkio ir aplinkos skyrius</t>
  </si>
  <si>
    <t>04.02.01.07</t>
  </si>
  <si>
    <t>Įrengti kelio Šiauliai-Panevėžys jungtį su Šiaulių industrinio parko teritorija</t>
  </si>
  <si>
    <t>04.02.01.11</t>
  </si>
  <si>
    <t>Įgyvendinti projektą „Eismo saugumo priemonių įdiegimas Šiaulių mieste“</t>
  </si>
  <si>
    <t>04.02.01.14</t>
  </si>
  <si>
    <t>Įgyvendinti projektą „Darnaus judumo priemonių diegimas Šiaulių mieste“</t>
  </si>
  <si>
    <t>Įgyvendintos darnaus judumo priemonės</t>
  </si>
  <si>
    <t>04.02.01.15</t>
  </si>
  <si>
    <t>Įgyvendinti projektą „Pakruojo gatvės rekonstrukcija“</t>
  </si>
  <si>
    <t>04.02.01.19</t>
  </si>
  <si>
    <t>Vykdyti keleivių vežimą vietinio (miesto) reguliaraus susisiekimo autobusų maršrutais</t>
  </si>
  <si>
    <t>Apmokėta už miesto keleivių vežimo vietiniais maršrutais (Nr. 2,8,14,20,24) paslaugas pagal kilometražą</t>
  </si>
  <si>
    <t>04.02.02.</t>
  </si>
  <si>
    <t>Vykdyti Savivaldybės infrastruktūros plėtrą</t>
  </si>
  <si>
    <t>04.02.02.01</t>
  </si>
  <si>
    <t>Suprojektuoti, nutiesti, išasfaltuoti ar rekonstruoti žvyruotas gatves</t>
  </si>
  <si>
    <t>Išasfaltuoti ir įrengti žvyruotas gatves</t>
  </si>
  <si>
    <t>04.02.02.02</t>
  </si>
  <si>
    <t>Įgyvendinti Savivaldybės infrastruktūros plėtros rėmimo programą</t>
  </si>
  <si>
    <t>Sukurta infrastruktūros objektų (pasirašyta savivaldybės infrastruktūros plėtros sutarčių)</t>
  </si>
  <si>
    <t>05.</t>
  </si>
  <si>
    <t>Miesto ekonominės plėtros programa</t>
  </si>
  <si>
    <t>Ekonomikos ir investicijų skyrius</t>
  </si>
  <si>
    <t>05.01.</t>
  </si>
  <si>
    <t>Skatinti miesto ekonominę plėtrą sudarant palankias sąlygas verslo vystymuisi</t>
  </si>
  <si>
    <t>Užimtų gyventojų skaičiaus augimas</t>
  </si>
  <si>
    <t>Įsteigtų įmonių</t>
  </si>
  <si>
    <t>Materialinių investicijų augimas</t>
  </si>
  <si>
    <t>Tiesioginių užsienio investicijų (TUI) augimas</t>
  </si>
  <si>
    <t>05.01.02.</t>
  </si>
  <si>
    <t>Skatinti ir ugdyti verslumą</t>
  </si>
  <si>
    <t>05.01.02.01</t>
  </si>
  <si>
    <t>Skatinti smulkiojo ir vidutinio verslo subjektus</t>
  </si>
  <si>
    <t>Įgyvendintų skatinimo priemonių</t>
  </si>
  <si>
    <t>05.01.02.02</t>
  </si>
  <si>
    <t>Įgyvendinti verslo subjektų mokymo programas</t>
  </si>
  <si>
    <t>Surengtų mokymų</t>
  </si>
  <si>
    <t>Verslo sklaidos renginių</t>
  </si>
  <si>
    <t>Suteiktos konsultacijos</t>
  </si>
  <si>
    <t>val.</t>
  </si>
  <si>
    <t>05.01.02.03</t>
  </si>
  <si>
    <t>Įgyvendinti jaunimo verslumo skatinimo programą</t>
  </si>
  <si>
    <t>Konsultuotų asmenų</t>
  </si>
  <si>
    <t>Verslumo mokymo ir verslo informacinės sklaidos renginių</t>
  </si>
  <si>
    <t>05.01.05.</t>
  </si>
  <si>
    <t>Skatinti investicijų pritraukimą</t>
  </si>
  <si>
    <t>05.01.05.01</t>
  </si>
  <si>
    <t>Parengti (atnaujinti) investicijų projektus</t>
  </si>
  <si>
    <t>Projektų valdymo skyrius; Statybos ir renovacijos skyrius</t>
  </si>
  <si>
    <t>Parengtų, atnaujintų investicijų projektų ir/ar kitų reikiamų dokumentų lėšų pritraukimui</t>
  </si>
  <si>
    <t>05.01.05.02</t>
  </si>
  <si>
    <t>Vystyti Šiaulių pramoninio  parko (ŠPP) ir Šiaulių laisvosios ekonominės zonos (Šiaulių LEZ) infrastruktūrą</t>
  </si>
  <si>
    <t>Ekonomikos ir investicijų skyrius; Miesto ūkio ir aplinkos skyrius; Projektų valdymo skyrius</t>
  </si>
  <si>
    <t>Sklypų skaičius iš kurių pašalinti medžiai</t>
  </si>
  <si>
    <t>Išvalytų sklypų skaičius</t>
  </si>
  <si>
    <t>Įsigyta krovos aikštelių veiklai reikalinga įranga ir baldai</t>
  </si>
  <si>
    <t>05.01.05.03</t>
  </si>
  <si>
    <t>Vystyti Šiaulių Oro uosto veiklą</t>
  </si>
  <si>
    <t>Ekonomikos ir investicijų skyrius; SĮ Šiaulių oro uostas</t>
  </si>
  <si>
    <t>Įvykdyti specialieji aviacijos saugumo užtikrinimo įsipareigojimai</t>
  </si>
  <si>
    <t>Įsigyta techninė įranga</t>
  </si>
  <si>
    <t>05.01.05.04</t>
  </si>
  <si>
    <t>Įrengti ekonominės veiklos centro infrastruktūrą</t>
  </si>
  <si>
    <t>Ekonomikos ir investicijų skyrius; Miesto ūkio ir aplinkos skyrius</t>
  </si>
  <si>
    <t>Atlikti angaro griovimo darbai</t>
  </si>
  <si>
    <t>Parengtas Oro uosto terminalo techninis projektas</t>
  </si>
  <si>
    <t>Atlikti Oro uosto terminalo statybos darbai</t>
  </si>
  <si>
    <t>Atlikti Oro uosto terminalo automobilių aikštelės įrengimo darbai</t>
  </si>
  <si>
    <t>05.01.05.05</t>
  </si>
  <si>
    <t>Viešinti investicinę aplinką</t>
  </si>
  <si>
    <t>Suorganizuota renginių</t>
  </si>
  <si>
    <t>Dalyvauta parodose</t>
  </si>
  <si>
    <t>Sukurtų elektroninių leidinių</t>
  </si>
  <si>
    <t>Publikuotų straipsnių Lietuvos ir užsienio spaudoje</t>
  </si>
  <si>
    <t>Sukurtų edukacinių rinkodaros priemonių</t>
  </si>
  <si>
    <t>Atliktas Šiaulių miesto verslo aplinkos vertinimas</t>
  </si>
  <si>
    <t>Įgyvendinta reklaminė kampanija "Šiauliai - karjeros miestas"</t>
  </si>
  <si>
    <t>Atlikta Šiaulių miesto gyventojų, verslininkų, asocijuotų verslo struktūrų, turistų ir kt. apklausa</t>
  </si>
  <si>
    <t>Parengti miesto istorijų, interviu ciklai</t>
  </si>
  <si>
    <t>05.01.05.06</t>
  </si>
  <si>
    <t>Pritraukti aukštos kvalifikacijos specialistus į Šiaulių miestą</t>
  </si>
  <si>
    <t>Atvykę dirbti aukštos kvalifikacijos specialistai, kurie gavo vienkartines išmokas</t>
  </si>
  <si>
    <t>06.</t>
  </si>
  <si>
    <t>Turto valdymo ir privatizavimo programa</t>
  </si>
  <si>
    <t>Turto valdymo skyrius</t>
  </si>
  <si>
    <t>06.01.</t>
  </si>
  <si>
    <t>Užtikrinti Savivaldybei nuosavybės teise priklausančio turto efektyvų panaudojimą</t>
  </si>
  <si>
    <t>Teisiškai sutvarkytų ir  įregistruotų  nekilnojamojo turto sk.  nuo viso turimo turto, proc.</t>
  </si>
  <si>
    <t>06.01.01.</t>
  </si>
  <si>
    <t>Užtikrinti Savivaldybei nuosavybės teise priklausančio turto įregistravimą viešuosiuose registruose</t>
  </si>
  <si>
    <t>06.01.01.01</t>
  </si>
  <si>
    <t>Apmokėti pastatų, patalpų ir inžinerinių statinių vertinimo, kadastrinių matavimų atlikimo, teisines registracijos išlaidas</t>
  </si>
  <si>
    <t>Nekilnojamojo turto registre teisiškai įregistruotas turtas</t>
  </si>
  <si>
    <t>06.01.01.03</t>
  </si>
  <si>
    <t>Padengti Privatizavimo programos vykdymo išlaidas</t>
  </si>
  <si>
    <t>Padengtos išlaidos</t>
  </si>
  <si>
    <t>06.01.01.06</t>
  </si>
  <si>
    <t>Apmokėti turto, kuris neturi savininko (ar savininkas nežinomas) laikinosios priežiūros ir laikinųjų apsaugos priemonių įrengimo arba griovimo išlaidas</t>
  </si>
  <si>
    <t>Statybos ir renovacijos skyrius; Turto valdymo skyrius</t>
  </si>
  <si>
    <t>Prižiūrimų ir nugriautų objektų</t>
  </si>
  <si>
    <t>06.01.02.</t>
  </si>
  <si>
    <t>Tinkamai eksploatuoti, renovuoti, remontuoti ir  saugoti Savivaldybei nuosavybės teise priklausantį turtą</t>
  </si>
  <si>
    <t>06.01.02.03</t>
  </si>
  <si>
    <t>Apmokėti Savivaldybei nuosavybės teise priklausančių pastatų, patalpų ir inžinerinių statinių  draudimo, apsaugos, remonto, komunalines ir kitas išlaidas</t>
  </si>
  <si>
    <t>Projektų valdymo skyrius; Turto valdymo skyrius</t>
  </si>
  <si>
    <t>Apmokėtos eksploatavimo išlaidos</t>
  </si>
  <si>
    <t>Apdraustų objektų</t>
  </si>
  <si>
    <t>06.01.02.12</t>
  </si>
  <si>
    <t>Apmokėti Savivaldybei nuosavybės teise priklausančio nekilnojamojo turto renovacijos išlaidas</t>
  </si>
  <si>
    <t>Apmokėtos renovacijos išlaidos</t>
  </si>
  <si>
    <t>06.01.02.14</t>
  </si>
  <si>
    <t>Užtikrinti skolų išieškojimą ir skolininkų iškeldinimą iš Savivaldybei nuosavybės teise priklausančių būstų</t>
  </si>
  <si>
    <t>Įvykdytų teismų sprendimų</t>
  </si>
  <si>
    <t>06.01.02.15</t>
  </si>
  <si>
    <t>Organizuoti finansinių įsipareigojimų Aukštabalio multifunkcinio komplekso operatoriui vykdymą</t>
  </si>
  <si>
    <t>Pasirašyta koncesijos sutartis</t>
  </si>
  <si>
    <t>Įvykdytų sutartinių metinių įsipareigojimų</t>
  </si>
  <si>
    <t>06.01.02.16</t>
  </si>
  <si>
    <t>Apmokėti Savivaldybei nuosavybės teise priklausančių būstų eksploatavimo, administravimo, kaupimo, nuomos mokesčio surinkimo, komunalinių mokesčių, remonto išlaidas</t>
  </si>
  <si>
    <t>Apmokėtos išlaidos</t>
  </si>
  <si>
    <t>06.01.02.17</t>
  </si>
  <si>
    <t>Kompensuoti daugiabučių namų savininkų bendrijų steigimo išlaidas</t>
  </si>
  <si>
    <t>Padengtos steigimo išlaidos</t>
  </si>
  <si>
    <t>06.01.03.</t>
  </si>
  <si>
    <t>Sudaryti sąlygas įsigyti būstą pažeidžiamiausioms gyventojų grupėms</t>
  </si>
  <si>
    <t>06.01.03.05</t>
  </si>
  <si>
    <t>Didinti Savivaldybės būsto fondą</t>
  </si>
  <si>
    <t>Nupirktų būstų</t>
  </si>
  <si>
    <t>06.01.03.06</t>
  </si>
  <si>
    <t>Įgyvendinti projektą „Socialinio būsto fondo plėtra Šiaulių miesto savivaldybėje"</t>
  </si>
  <si>
    <t>Turto valdymo skyrius; Projektų valdymo skyrius</t>
  </si>
  <si>
    <t>06.01.03.07</t>
  </si>
  <si>
    <t>Kompensuoti būsto nuomos ar išperkamosios būsto nuomos mokesčių dalį</t>
  </si>
  <si>
    <t>1.04.</t>
  </si>
  <si>
    <t>06.01.03.08</t>
  </si>
  <si>
    <t>Sumokėti socialiai remtinų piliečių palūkanas už paskolas ir kompensuoti būsto nuomos mokesčių dalį</t>
  </si>
  <si>
    <t>06.01.03.09</t>
  </si>
  <si>
    <t>Kompensuoti jaunoms šeimoms dalį išlaidų įsigyjant pirmą būstą</t>
  </si>
  <si>
    <t>Šeimų gavusių kompensacijas</t>
  </si>
  <si>
    <t>07.</t>
  </si>
  <si>
    <t>Sporto plėtros programa</t>
  </si>
  <si>
    <t>Sporto skyrius</t>
  </si>
  <si>
    <t>07.01.</t>
  </si>
  <si>
    <t>Sudaryti sąlygas ugdyti sveiką ir fiziškai aktyvią miesto bendruomenę bei plėtoti aukšto meistriškumo sportininkų rengimo sistemą</t>
  </si>
  <si>
    <t>Sporto organizacijų Šiaulių mieste</t>
  </si>
  <si>
    <t>Prižiūrimų sporto bazių</t>
  </si>
  <si>
    <t>07.01.01.</t>
  </si>
  <si>
    <t>Plėtoti aukšto meistriškumo sportininkų rengimo sistemą</t>
  </si>
  <si>
    <t>07.01.01.02</t>
  </si>
  <si>
    <t>Vykdyti miesto, apskrities, šalies ir tarptautinius sporto renginius bei pasirengti ir dalyvauti šalies ir tarptautinėms varžyboms (Baltijos, Europos ir pasaulio čempionato varžyboms, kompleksiniams renginiams ir kt.)</t>
  </si>
  <si>
    <t>Šalies sporto šakų čempionatuose, taurės varžybose (suaugusiųjų amžiaus grupėje) laimėta 1–3 vietų</t>
  </si>
  <si>
    <t>Šalies sporto šakų čempionatuose, taurės varžybose (jaunučių, jaunių, jaunimo amžiaus grupėse) laimėta 1–3 vietų</t>
  </si>
  <si>
    <t>Europos čempionate iškovotų 1–6 vietų ir pasaulio čempionate, taurės varžybose (suaugusiųjų amžiaus grupėje) iškovotų 1–10 vietų</t>
  </si>
  <si>
    <t>Europos čempionate iškovotų 1–6 vietų ir pasaulio čempionate, taurės varžybose (jaunučių, jaunių, jaunimo amžiaus grupėse) iškovotų 1–10 vietų</t>
  </si>
  <si>
    <t>Olimpinės ir paralimpinės rinktinės kandidatų bei perspektyvinės pamainos sportininkų</t>
  </si>
  <si>
    <t>Rinktinės narių (suaugusiųjų amžiaus grupėje)</t>
  </si>
  <si>
    <t>Rinktinės narių (jaunučių, jaunių, jaunimo amžiaus grupėse)</t>
  </si>
  <si>
    <t>Surengtų sporto renginių</t>
  </si>
  <si>
    <t>07.01.01.06</t>
  </si>
  <si>
    <t>Pasirengti ir dalyvauti Lietuvos čempionato ir sporto šakų federacijų taurės, Baltijos lygos ir taurės laimėtojų, Europos taurės ir kitose oficialiose varžybose (žaidimų komandų jaunimo ir suaugusiųjų amžiaus grupė)</t>
  </si>
  <si>
    <t>Komandų, dalyvaujančių šalies varžybose</t>
  </si>
  <si>
    <t>Lietuvos čempionato varžybose laimėta 1–3 vietų</t>
  </si>
  <si>
    <t>Komandų, dalyvaujančių tarptautinėse varžybose</t>
  </si>
  <si>
    <t>Tarptautinėse varžybose laimėta 1–3 vietų</t>
  </si>
  <si>
    <t>Rinktinės narių</t>
  </si>
  <si>
    <t>07.01.01.08</t>
  </si>
  <si>
    <t>Įgyvendinti Šiaulių miesto reprezentacinių renginių programą</t>
  </si>
  <si>
    <t>Sporto skyrius; Šiaulių miesto sporto organizacijos</t>
  </si>
  <si>
    <t>Surengtų miestą reprezentuojančių sporto renginių</t>
  </si>
  <si>
    <t>Surengtų sporto renginių dalyvių</t>
  </si>
  <si>
    <t>07.01.01.09</t>
  </si>
  <si>
    <t>Skatinti sportininkus ir trenerius laimėjusius aukštas vietas tarptautinės varžybose</t>
  </si>
  <si>
    <t>Paskatinta aukšto meistriškumo sportininkų</t>
  </si>
  <si>
    <t>Premijų (stipendijų), skirtų sportininkams</t>
  </si>
  <si>
    <t>Paskatinta aukšto meistriškumo sportininkų trenerių</t>
  </si>
  <si>
    <t>07.01.01.10</t>
  </si>
  <si>
    <t>Plėtoti sportininkų rengimo centrų veiklą</t>
  </si>
  <si>
    <t>Sporto skyrius; Sportininkų rengimo centrai</t>
  </si>
  <si>
    <t>Komandų, dalyvaujančių LFF A, I ir II lygos varžybose</t>
  </si>
  <si>
    <t>Futbolo plėtros programoje rengiamų sportininkų</t>
  </si>
  <si>
    <t>Komandų, dalyvaujančių Regiono lygos varžybose</t>
  </si>
  <si>
    <t>Krepšinio plėtros programoje rengiamų sportininkų</t>
  </si>
  <si>
    <t>07.01.01.11</t>
  </si>
  <si>
    <t>Plėtoti sporto įstaigų veiklą</t>
  </si>
  <si>
    <t>Sporto įstaigose rengiamų sportininkų</t>
  </si>
  <si>
    <t>07.01.01.12</t>
  </si>
  <si>
    <t>Kompensuoti tėvų atlyginimą už teikiamas sportinio rengimo paslaugas sporto įstaigose ir sportininkų rengimo centruose</t>
  </si>
  <si>
    <t>Atlyginimo lengvatą už teikiamas sportinio rengimo paslaugas gaunančių asmenų</t>
  </si>
  <si>
    <t>07.01.06.</t>
  </si>
  <si>
    <t>Modernizuoti ir sukurti sporto infrastruktūrą</t>
  </si>
  <si>
    <t>07.01.06.01</t>
  </si>
  <si>
    <t>Pastatyti sporto kompleksą (futbolo ir regbio maniežą)</t>
  </si>
  <si>
    <t>Sporto skyrius; Projektų valdymo skyrius; Architektūros, urbanistikos ir paveldosaugos skyrius; Statybos ir renovacijos skyrius</t>
  </si>
  <si>
    <t>PP, 2, PP, 3, PP, 4</t>
  </si>
  <si>
    <t>Atlikta darbų</t>
  </si>
  <si>
    <t>Baldų ir kito inventoriaus įsigijimas</t>
  </si>
  <si>
    <t>1.07.</t>
  </si>
  <si>
    <t>07.01.06.02</t>
  </si>
  <si>
    <t>Pastatyti irklavimo sporto bazę (Žvyro g. 34)</t>
  </si>
  <si>
    <t>Statybos ir renovacijos skyrius; Sporto skyrius</t>
  </si>
  <si>
    <t>Atlikta II etapo statybos darbų</t>
  </si>
  <si>
    <t>07.01.06.03</t>
  </si>
  <si>
    <t>Suprojektuoti ir pastatyti buriavimo elingą prie Rėkyvos ežero</t>
  </si>
  <si>
    <t>Architektūros, urbanistikos ir paveldosaugos skyrius; Statybos ir renovacijos skyrius; Sporto skyrius</t>
  </si>
  <si>
    <t>Parengtas techninis projektas</t>
  </si>
  <si>
    <t>07.01.06.06</t>
  </si>
  <si>
    <t>Suremontuoti Šiaulių m. stadioną ir pastatų patalpas (S. Daukanto g. 23)</t>
  </si>
  <si>
    <t>Atlikta laiptų remonto prie Lengvosios atletikos ir sveikatingumo centro darbų</t>
  </si>
  <si>
    <t>Atlikta laistymo sistemos įrengimo darbų</t>
  </si>
  <si>
    <t>07.01.06.08</t>
  </si>
  <si>
    <t>Futbolo aikščių rekonstrukcija (Kviečių g. 7A ir Kviečių g. 9)</t>
  </si>
  <si>
    <t>Atlikta apšvietimo sistemos modernizavimo darbų</t>
  </si>
  <si>
    <t>07.01.07.</t>
  </si>
  <si>
    <t>Skatinti gyventojų fizinio aktyvumo veiklas</t>
  </si>
  <si>
    <t>07.01.07.01</t>
  </si>
  <si>
    <t>Sudaryti sąlygas didinti fizinio aktyvumo renginių bei veiklų prieinamumą ir aprėptį</t>
  </si>
  <si>
    <t>Vykdytose fizinio aktyvumo veiklose dalyvaujančių dalis nuo bendro Šiaulių miesto gyventojų skaičiaus</t>
  </si>
  <si>
    <t>Finansuotų neįgaliųjų sporto klubų</t>
  </si>
  <si>
    <t>07.01.07.02</t>
  </si>
  <si>
    <t>Mokyti vaikus plaukti ir saugiai elgtis vandenyje ir prie vandens</t>
  </si>
  <si>
    <t>Sporto skyrius; Šiaulių plaukimo centras ,,Delfinas"</t>
  </si>
  <si>
    <t>Išmokytų plaukti vaikų dalis nuo bendro 1–4 klasių mokinių skaičiaus Šiaulių miesto bendrojo ugdymo mokyklose</t>
  </si>
  <si>
    <t>08.</t>
  </si>
  <si>
    <t>Švietimo prieinamumo ir kokybės užtikrinimo programa</t>
  </si>
  <si>
    <t>Švietimo skyrius</t>
  </si>
  <si>
    <t>08.01.</t>
  </si>
  <si>
    <t>Plėtoti inovatyvią švietimo sistemą, ugdančią aktyvią ir kūrybingą asmenybę</t>
  </si>
  <si>
    <t>Sudarytos sąlygos kokybiškam ugdymo procesui</t>
  </si>
  <si>
    <t>Užtikrinta švietimo pagalba kiekvienam mokiniui</t>
  </si>
  <si>
    <t>08.01.01.</t>
  </si>
  <si>
    <t>Gerinti švietimo prieinamumą ir pristatyti švietimo veiklą</t>
  </si>
  <si>
    <t>08.01.01.01</t>
  </si>
  <si>
    <t>Atstovauti miestui, pristatyti švietimo veiklą, organizuoti renginius</t>
  </si>
  <si>
    <t>Tradicinių mokytojų ir mokinių renginių</t>
  </si>
  <si>
    <t>Olimpiadų dalyvių</t>
  </si>
  <si>
    <t>Įteikta premijų ,,Metų mokytojas“</t>
  </si>
  <si>
    <t>Vieną ir daugiau 100 balų įvertinimą gavusių mokinių</t>
  </si>
  <si>
    <t>Švietimo lyderystės ir pagalbos programų dalyvių</t>
  </si>
  <si>
    <t>Pirmoko krepšelį gavusių mokinių</t>
  </si>
  <si>
    <t>Neformaliojo švietimo mokyklų, kuriose atliktas išorės vertinimas</t>
  </si>
  <si>
    <t>08.01.01.02</t>
  </si>
  <si>
    <t>Užtikrinti skaitmeninę plėtrą bendrojo ugdymo mokyklose</t>
  </si>
  <si>
    <t>Sukurtos skaitmeninės mokymosi aplinkos, naudojamos skaitmeninės mokymo priemonės mokyklose</t>
  </si>
  <si>
    <t>Įsteigtos hibridinės klasės</t>
  </si>
  <si>
    <t>08.01.01.03</t>
  </si>
  <si>
    <t>Užtikrinti švietimo elektroninės apskaitos ir registracijos sistemų funkcionavimą</t>
  </si>
  <si>
    <t>Įstaigų objektų, kuriuose įdiegta ir atnaujinta veikianti apskaitos sistema</t>
  </si>
  <si>
    <t>Nevalstybinių švietimo įstaigų ir laisvųjų mokytojų įgyvendinamų neformaliojo vaikų švietimo programų</t>
  </si>
  <si>
    <t>Sukurta ir veikianti priėmimo į bendrojo ugdymo mokyklas sistema</t>
  </si>
  <si>
    <t>Sukurta ir veikianti priėmimo į ikimokyklinio ugdymo įstaigas sistema</t>
  </si>
  <si>
    <t>Sukurta ir veikianti priėmimo į neformaliojo švietimo mokyklas sistema</t>
  </si>
  <si>
    <t>Sukurta ir veikianti SKU modelio apskaitos sistema</t>
  </si>
  <si>
    <t>08.01.01.05</t>
  </si>
  <si>
    <t>Vykdyti Šiaulių miesto savivaldybės, jos teritorijoje veikiančių aukštųjų mokyklų, Šiaulių profesinio rengimo centro, verslo įmonių ir švietimo įstaigų bendradarbiavimo programas</t>
  </si>
  <si>
    <t>PP, 3</t>
  </si>
  <si>
    <t>STEAM ir STEAM JUNIOR programos grupių</t>
  </si>
  <si>
    <t>INOSTART programų</t>
  </si>
  <si>
    <t>Inžinerijos ir informatikos mokslų krypties studijų Šiaulių mieste parama kviestiniams dėstytojams, skatinamųjų stipendijų</t>
  </si>
  <si>
    <t>Pritaikytų erdvių integruotam gamtos mokslų ugdymui ir Šiaulių miesto bendruomenės švietimui programų</t>
  </si>
  <si>
    <t>Viešųjų ryšių akcijos „Šiauliai – sėkmingos karjeros miestas“ priemonių</t>
  </si>
  <si>
    <t>Studentų, kuriems skirta studijų parama</t>
  </si>
  <si>
    <t>STEAM renginių ir varžybų</t>
  </si>
  <si>
    <t>Kasmet įgyvendinta ankstyvojo profesinio informavimo programa "OPA" pradinių klasių mokiniams</t>
  </si>
  <si>
    <t>Įgyvendinta  Tarpinstitucinio bendradarbiavimo žmogiškųjų išteklių plėtros programa</t>
  </si>
  <si>
    <t>Suorganizuota technologijų pamokų</t>
  </si>
  <si>
    <t>Kasmet įgyvendintų aukštųjų mokyklų bendradarbiavimo programų</t>
  </si>
  <si>
    <t>08.01.01.06</t>
  </si>
  <si>
    <t>Vykdyti suaugusiųjų neformaliojo švietimo programas</t>
  </si>
  <si>
    <t>Programos dalyvių</t>
  </si>
  <si>
    <t>08.01.01.07</t>
  </si>
  <si>
    <t>Užtikrinti Šiaulių miesto reprezentacinių renginių organizavimą</t>
  </si>
  <si>
    <t>Suorganizuotų reprezentacinių renginių</t>
  </si>
  <si>
    <t>08.01.03.</t>
  </si>
  <si>
    <t>Sudaryti sąlygas kokybiškam ugdymo procesui</t>
  </si>
  <si>
    <t>08.01.03.01</t>
  </si>
  <si>
    <t>Užtikrinti švietimo įstaigų veiklą (ML 98% + SB)</t>
  </si>
  <si>
    <t>Bendrojo ugdymo mokyklų</t>
  </si>
  <si>
    <t>1.03.</t>
  </si>
  <si>
    <t>Miesto bendrojo ugdymo mokyklose mokinių</t>
  </si>
  <si>
    <t>Veikiantis Švietimo centras</t>
  </si>
  <si>
    <t>Suformatuotų, atspausdintų ir išduotų naujų elektroninių mokinio pažymėjimų</t>
  </si>
  <si>
    <t>Dalyvavusių pedagogų mokymuose dirbti informacinėmis technologijomis, asmeninių ir profesinių gebėjimų kursuose</t>
  </si>
  <si>
    <t>Tarnyba, teikianti pedagoginę psichologinę pagalbą vaikams ir mokiniams</t>
  </si>
  <si>
    <t>Įstaigų, kuriose įsteigti karjeros specialisto etatai</t>
  </si>
  <si>
    <t>Vidutiniškai vienam mokiniui tenkantis plotas</t>
  </si>
  <si>
    <t>Mokinių, dalyvaujančių ,,Kultūros krepšelio“ edukaciniuose užsiėmimuose Šiaulių regiono muziejuose ir kitose kultūros įstaigose</t>
  </si>
  <si>
    <t>Mokinių, lankančių IT, robotikos, inžinerijos neformaliojo ugdymo būrelius, dalis nuo bendro mokinių skaičiaus</t>
  </si>
  <si>
    <t>08.01.03.02</t>
  </si>
  <si>
    <t>Tenkinti mokymo reikmes (ML  2% )</t>
  </si>
  <si>
    <t>Ikimokyklinio ir bendrojo ugdymo mokyklų, kuriose tenkinamos ugdymo reikmės</t>
  </si>
  <si>
    <t>Mokyklų, įdiegusių socialinių kompetencijų ugdymo modelį</t>
  </si>
  <si>
    <t>08.01.03.03</t>
  </si>
  <si>
    <t>Organizuoti mokinių vežimą</t>
  </si>
  <si>
    <t>Mokinių, kuriems kompensuojamas važiavimas į mokyklą</t>
  </si>
  <si>
    <t>08.01.03.04</t>
  </si>
  <si>
    <t>Užtikrinti viešųjų įstaigų, įgyvendinančių bendrąsias ir specialiąsias ugdymo programas bei nevalstybinių tradicinių religinių bendruomenių ir bendrijų mokyklų veiklą (ML 98 % + SB)</t>
  </si>
  <si>
    <t>VšĮ ugdymo įstaigų (,,Smalsieji pabiručiai“ ir Šiaulių jėzuitų mokykla)</t>
  </si>
  <si>
    <t>Nevalstybinių tradicinių religinių bendruomenių ir bendrijų mokyklų</t>
  </si>
  <si>
    <t>08.01.03.05</t>
  </si>
  <si>
    <t>Įgyvendinti projektą „Gerinti mokinių pasiekimus diegiant kokybės krepšelį“</t>
  </si>
  <si>
    <t>Projekte dalyvaujančių mokyklų</t>
  </si>
  <si>
    <t>08.01.03.06</t>
  </si>
  <si>
    <t>Vykdyti neformaliojo vaikų švietimo programas</t>
  </si>
  <si>
    <t>Sporto skyrius; Švietimo skyrius</t>
  </si>
  <si>
    <t>Neformaliojo vaikų švietimo mokyklų</t>
  </si>
  <si>
    <t>Vaikų, lankančių neformaliojo vaikų švietimo mokyklas</t>
  </si>
  <si>
    <t>Neformaliojo vaikų švietimo teikėjų</t>
  </si>
  <si>
    <t>Neformaliojo vaikų švietimo programų</t>
  </si>
  <si>
    <t>FŠPU dalyvaujančių 1-12 klasių mokinių</t>
  </si>
  <si>
    <t>08.01.03.07</t>
  </si>
  <si>
    <t>Užtikrinti neformaliojo vaikų švietimo teikėjų programų vykdymą (ŠMSM - 15 Eur/mėn.)</t>
  </si>
  <si>
    <t>Nevalstybinių švietimo įstaigų ir laisvųjų mokytojų įgyvendinamų neformaliojo vaikų švietimo programas lankančių vaikų</t>
  </si>
  <si>
    <t>08.01.03.08</t>
  </si>
  <si>
    <t>Kompensuoti tėvų atlyginimą už neformalųjį vaikų švietimą savivaldybės įstaigose</t>
  </si>
  <si>
    <t>Atlyginimo lengvatą už neformalųjį vaikų švietimą  gaunančių vaikų</t>
  </si>
  <si>
    <t>08.01.03.09</t>
  </si>
  <si>
    <t>Užtikrinti ikimokyklinį ir priešmokyklinį ugdymą</t>
  </si>
  <si>
    <t>Ikimokyklinio ugdymo įstaigų</t>
  </si>
  <si>
    <t>Pagal ikimokyklinę programą ugdomų vaikų</t>
  </si>
  <si>
    <t>Mokyklų ikimokyklinio ugdymo skyrių</t>
  </si>
  <si>
    <t>08.01.03.10</t>
  </si>
  <si>
    <t>Kompensuoti tėvų atlyginimą už vaiko išlaikymą įstaigoje</t>
  </si>
  <si>
    <t>Ikimokyklinio ugdymo įstaigose lengvatas gaunančių vaikų</t>
  </si>
  <si>
    <t>08.01.03.11</t>
  </si>
  <si>
    <t>Užtikrinti ikimokyklinio ugdymo programų įgyvendinimą Šiaulių miesto nevalstybinėse švietimo įstaigose (70 Eur/mėn.)</t>
  </si>
  <si>
    <t>Nevalstybines švietimo įstaigas, įgyvendinančias ikimokyklinio ugdymo programas, lankančių ugdytinių</t>
  </si>
  <si>
    <t>08.01.03.12</t>
  </si>
  <si>
    <t>Finansuoti ikimokyklinio ir priešmokyklinio ugdymo programas vykdančias viešąsias įstaigas</t>
  </si>
  <si>
    <t>Viešųjų įstaigų</t>
  </si>
  <si>
    <t>08.01.03.13</t>
  </si>
  <si>
    <t>Įgyvendinti vaikų ir jaunimo vasaros užimtumo programas</t>
  </si>
  <si>
    <t>Vasaros užimtumo programose dalyvaujančių vaikų</t>
  </si>
  <si>
    <t>08.01.03.14</t>
  </si>
  <si>
    <t>Švietimo pagalbos užtikrinimas švietimo įstaigose</t>
  </si>
  <si>
    <t>Specialiųjų ugdymosi poreikių turinčių mokinių, kuriems teikiama švietimo pagalba</t>
  </si>
  <si>
    <t>08.01.03.15</t>
  </si>
  <si>
    <t>Užtikrinti profesinio orientavimo paslaugų teikimą Šiaulių miesto bendrojo ugdymo mokyklose</t>
  </si>
  <si>
    <t>Mokyklų, kuriose dirba karjeros specilistai</t>
  </si>
  <si>
    <t>Karjeros specialistų etatų mokyklose</t>
  </si>
  <si>
    <t>08.01.03.16</t>
  </si>
  <si>
    <t>Aprūpinti Šiaulių miesto bendrojo ugdymo mokyklas mokymosi priemonėmis</t>
  </si>
  <si>
    <t>Mokyklų , kurių gamtos mokslų kabinetams skirtos lėšos priemonėms  įsigyti</t>
  </si>
  <si>
    <t>08.05.</t>
  </si>
  <si>
    <t>Gerinti ugdymo sąlygas ir aplinką</t>
  </si>
  <si>
    <t>Įstaigų, kuriose atnaujintos aplinkos</t>
  </si>
  <si>
    <t>08.05.02.</t>
  </si>
  <si>
    <t>Atnaujinti ir modernizuoti švietimo įstaigų ugdymo aplinką</t>
  </si>
  <si>
    <t>08.05.02.08</t>
  </si>
  <si>
    <t>Įgyvendinti projektą „Šiaulių Sporto gimnazijos (Vilniaus g. 297) modernizavimas“</t>
  </si>
  <si>
    <t>Statybos ir renovacijos skyrius; Švietimo skyrius; Projektų valdymo skyrius</t>
  </si>
  <si>
    <t>Įrengta sporto aikštelė</t>
  </si>
  <si>
    <t>Atlikti išorės sienų šiltinimo darbai</t>
  </si>
  <si>
    <t>08.05.02.09</t>
  </si>
  <si>
    <t>Įgyvendinti projektą „Santarvės gimnazijos rekonstravimas“</t>
  </si>
  <si>
    <t>Statybos ir renovacijos skyrius; Švietimo skyrius</t>
  </si>
  <si>
    <t>Atlikta planuotų pastato remonto darbų</t>
  </si>
  <si>
    <t>08.05.02.16</t>
  </si>
  <si>
    <t>Rekonstruoti miesto gimnazijų ir mokyklų sporto aikštynus</t>
  </si>
  <si>
    <t>Atlikti "Rasos" progimnazijos sporto aikštyno atnaujinimo rangos darbai</t>
  </si>
  <si>
    <t>Atlikti Gytarių progimnazijos sporto aikštyno atnaujinimo rangos darbai</t>
  </si>
  <si>
    <t>Atlikti ,,Saulėtekio“ gimnazijos sporto aikštyno atnaujinimo darbai</t>
  </si>
  <si>
    <t>Atlikti "Romuvos" progimnazijos sporto aikštyno atnaujinimo darbai</t>
  </si>
  <si>
    <t>Atlikti Dainų progimnazijos sporto aikštyno atnaujinimo darbai</t>
  </si>
  <si>
    <t>08.05.02.22</t>
  </si>
  <si>
    <t>Įgyvendinti projektą „Rėkyvos progimnazijos rekonstrukcija ir aplinkos gerinimas“</t>
  </si>
  <si>
    <t>Atlikta planuotų mokyklos rekonstravimo darbų</t>
  </si>
  <si>
    <t>08.05.02.23</t>
  </si>
  <si>
    <t>Tvarkyti švietimo įstaigų teritorijų dangas ir įvažiavimus</t>
  </si>
  <si>
    <t>Miesto ūkio ir aplinkos skyrius; Švietimo skyrius</t>
  </si>
  <si>
    <t>Švietimo įstaigų, kuriose atnaujintos teritorijų dangos ir įvažiavimai (Gegužių progimnazija, l/d „Pasaka“, Lieporių gimnazija, l/d „Coliukė“, „Dainelė“ ir kt.)</t>
  </si>
  <si>
    <t>08.05.02.24</t>
  </si>
  <si>
    <t>Atnaujinti švietimo įstaigų teritorijų lauko įrenginius ir aptvėrimą</t>
  </si>
  <si>
    <t>Švietimo įstaigų, kuriose atnaujintas lauko apšvietimas (l/d „Pasaka“, „Kregždutė“, P. Avižonio ugdymo centras, Centro pradinė mokykla,  l/d „Berželis“, ,„Vaikystė“,  „Varpelis“, „Ąžuoliukas“ ir kt.)</t>
  </si>
  <si>
    <t>Švietimo įstaigų, kuriose atnaujinti lauko įrenginiai ir aptvertos teritorijos (Gegužių, Rėkyvos progimnazijos ir kt.)</t>
  </si>
  <si>
    <t>08.05.02.31</t>
  </si>
  <si>
    <t>Atnaujinti švietimo įstaigų pastatus, patalpas, įrangą ir komunikacijas</t>
  </si>
  <si>
    <t>Švietimo įstaigų, atnaujinusių  virtuves ir įrangą (Zoknių progimnazija, Šiaulių universitetinė gimnazija, ,,Santarvės“  gimnazija , Centro pradinės mokykla, ir kt.)</t>
  </si>
  <si>
    <t>Įstaigų, kurių pastatams apšiltintos sienos ("Trys nykštukai", "Varpelis", "Vaikystė" ir kt.)</t>
  </si>
  <si>
    <t>Atnaujinta vėdinimo sistema ir lauko laiptai (P. Avižonio ugdymo centras, Gytarių, Salduvės progimnazijos, Šiaulių universitetinė gimnazija)</t>
  </si>
  <si>
    <t>Įstaigų, kuriose atliktas vamzdynų remontas (l/d „Varpelis“, „Trys nykštukai“, "Eglutė", Centro pr. mokykla ir kt.)</t>
  </si>
  <si>
    <t>Įstaigų, kuriose atliktas elektros instaliacijos remontas (l/d „Ąžuoliukas“ II korpusas, "Berželis", "Drugelis" ir kt.)</t>
  </si>
  <si>
    <t>08.05.02.41</t>
  </si>
  <si>
    <t>Įgyvendinti projektą „Didždvario gimnazijos pastato remontas“</t>
  </si>
  <si>
    <t>Atlikta planuotų gimnazijos remonto darbų</t>
  </si>
  <si>
    <t>08.05.02.52</t>
  </si>
  <si>
    <t>Įgyvendinti projektą „Šiaulių Didždvario gimnazijos ir Šiaulių „Juventos“ progimnazijos ugdymo aplinkos modernizavimas“</t>
  </si>
  <si>
    <t>Įsigyta įranga ir baldai</t>
  </si>
  <si>
    <t>08.05.02.53</t>
  </si>
  <si>
    <t>Įgyvendinti projektą „Lopšelio darželio „Kregždutė" modernizavimas“</t>
  </si>
  <si>
    <t>08.05.02.54</t>
  </si>
  <si>
    <t>Įgyvendinti projektą „Modernizuoti edukacines aplinkas Šiaulių 1-ojoje muzikos mokykloje ir Šiaulių dainavimo mokykloje „Dagilėlis“</t>
  </si>
  <si>
    <t>08.05.02.60</t>
  </si>
  <si>
    <t>Įgyvendinti švietimo įstaigų modernizavimo projektą</t>
  </si>
  <si>
    <t>Švietimo skyrius; Projektų valdymo skyrius; Statybos ir renovacijos skyrius</t>
  </si>
  <si>
    <t>Įrengti liftai švietimo įstaigose</t>
  </si>
  <si>
    <t>Įdiegta kondicionavimo įranga ikimokyklinio ugdymo įstaigose</t>
  </si>
  <si>
    <t>Švietimo įstaigose įrengtų saulės elektrinių</t>
  </si>
  <si>
    <t>V. Kudirkos progimnazijoje įrengtos edukacinės aplinkos (ukrainiečių vaikams)</t>
  </si>
  <si>
    <t>08.05.02.61</t>
  </si>
  <si>
    <t>Įgyvendinti projektą „Savivaldybės viešųjų pastatų atnaujinimui teikiamų subsidijų panaudojimas“</t>
  </si>
  <si>
    <t>Atnaujinta (modernizuota) savivaldybės viešųjų pastatų</t>
  </si>
  <si>
    <t>08.05.02.62</t>
  </si>
  <si>
    <t>Užtikrinti švietimo įstaigų pastatų ir vidaus patalpų avarinių situacijų šalinimą</t>
  </si>
  <si>
    <t>Pašalintos vidaus ir išorės pastatų, lauko aplinkos avarinės situacijos. Švietimo įstaigose</t>
  </si>
  <si>
    <t>08.05.02.64</t>
  </si>
  <si>
    <t>Atnaujinti mokyklų sporto sales</t>
  </si>
  <si>
    <t>Suremontuotų  sporto salių (ir pagalbinių patalpų) švietimo įstaigose (Ragainės, V. Kudirkos progimnazijose,  „Saulėtekio“ gimnazijoje)</t>
  </si>
  <si>
    <t>08.05.02.65</t>
  </si>
  <si>
    <t>Atnaujinti Šiaulių jaunųjų gamtininkų centrą (Žuvininkų g.30)</t>
  </si>
  <si>
    <t>Parengtas projektas</t>
  </si>
  <si>
    <t>08.05.02.66</t>
  </si>
  <si>
    <t>Įrengti edukacines erdves bendrojo ugdymo mokyklose, plėtojant visos dienos mokyklos veiklas</t>
  </si>
  <si>
    <t>08.05.02.67</t>
  </si>
  <si>
    <t>Didinti ikimokyklinio ugdymo paslaugų prieinamumą, pritaikant ikimokykliniam ugdymui pastatą adresu Pabalių g. 53</t>
  </si>
  <si>
    <t>Sukurtų naujų ikimokyklinio ugdymo vietų</t>
  </si>
  <si>
    <t>09.</t>
  </si>
  <si>
    <t>Bendruomenės sveikatinimo programa</t>
  </si>
  <si>
    <t>Sveikatos skyrius</t>
  </si>
  <si>
    <t>09.01.</t>
  </si>
  <si>
    <t>Sudaryti palankias sąlygas miesto bendruomenei sveikatinti ir gerinti sveikatos priežiūros paslaugų kokybę ir prieinamumą</t>
  </si>
  <si>
    <t>Asmenų sergamumas, tenkantis 1000 savivaldybės gyventojų, skaičiaus pokytis per metus</t>
  </si>
  <si>
    <t>09.01.01.</t>
  </si>
  <si>
    <t>Modernizuoti sveikatos priežiūros įstaigų infrastruktūrą</t>
  </si>
  <si>
    <t>09.01.01.02</t>
  </si>
  <si>
    <t>Modernizuoti VšĮ Šiaulių reabilitacijos centro pastatą</t>
  </si>
  <si>
    <t>Sveikatos skyrius; VšĮ Šiaulių reabilitacijos centras</t>
  </si>
  <si>
    <t>Atlikta rekuperavimo ir kondicionavimo sistemos įrengimo darbų</t>
  </si>
  <si>
    <t>09.01.01.05</t>
  </si>
  <si>
    <t>Įgyvendinti projektą „Energetinių charakteristikų gerinimas VšĮ Dainų pirminės sveikatos priežiūros centre"</t>
  </si>
  <si>
    <t>Sveikatos skyrius; VšĮ Dainų pirminės sveikatos priežiūros centras; Statybos ir renovacijos skyrius; Projektų valdymo skyrius</t>
  </si>
  <si>
    <t>Parengta atnaujinimo (modernizavimo) techninė dokumentacija</t>
  </si>
  <si>
    <t>09.01.01.11</t>
  </si>
  <si>
    <t>Įgyvendinti projektą „VšĮ Šiaulių ilgalaikio gydymo ir geriatrijos centro pastatų rekonstravimas, aktyvios ventiliacijos įrengimas, kiemo gerbūvio sutvarkymas ir maisto gamybos skyriaus modernizavimas"</t>
  </si>
  <si>
    <t>Statybos ir renovacijos skyrius; Sveikatos skyrius; VšĮ Šiaulių ilgalaikio gydymo ir geriatrijos centras</t>
  </si>
  <si>
    <t>Atlikta naujojo korpuso dalies rekuperavimo ir kondicionavimo sistemos įrengimo darbų</t>
  </si>
  <si>
    <t>09.01.01.13</t>
  </si>
  <si>
    <t>Modernizuoti VšĮ Šiaulių centro polikliniką</t>
  </si>
  <si>
    <t>Sveikatos skyrius; VšĮ Šiaulių centro poliklinika</t>
  </si>
  <si>
    <t>Atlikta vidaus patalpų ir odontologinės įrangos atnaujinimo darbų</t>
  </si>
  <si>
    <t>Atlikta naujojo Odontologijos korpuso fasado remonto darbų</t>
  </si>
  <si>
    <t>Atlikta rekuperavimo ir kondicionavimo sistemos pagrindiniame poliklinikos korpuse įrengimo darbų</t>
  </si>
  <si>
    <t>09.01.01.15</t>
  </si>
  <si>
    <t>Įgyvendinti projektą „Pirminės asmens sveikatos priežiūros veiklos efektyvumo didinimas Šiaulių mieste"</t>
  </si>
  <si>
    <t>Sveikatos skyrius; Projektų valdymo skyrius; VšĮ Šiaulių centro poliklinika</t>
  </si>
  <si>
    <t>09.01.02.</t>
  </si>
  <si>
    <t>Plėtoti visuomenės sveikatos priežiūros paslaugas ir ugdyti visuomenės poreikį sveikai gyventi</t>
  </si>
  <si>
    <t>09.01.02.03</t>
  </si>
  <si>
    <t>Įgyvendinti projektą „Sveikos gyvensenos skatinimas Šiaulių mieste"</t>
  </si>
  <si>
    <t>Sveikatos skyrius; Šiaulių miesto savivaldybės visuomenės sveikatos biuras</t>
  </si>
  <si>
    <t>09.01.02.04</t>
  </si>
  <si>
    <t>Užtikrinti Visuomenės sveikatos biuro veiklą</t>
  </si>
  <si>
    <t>Privalomojo mokymo metu mokytų asmenų</t>
  </si>
  <si>
    <t>09.01.02.05</t>
  </si>
  <si>
    <t>Plėtoti sveiką gyvenseną bei stiprinti sveikos gyvensenos įgūdžius ugdymo įstaigose ir bendruomenėse, vykdyti visuomenės sveikatos stebėseną</t>
  </si>
  <si>
    <t>Ugdymo įstaigų, kuriose vykdytos visuomenės sveikatos priežiūros funkcijos</t>
  </si>
  <si>
    <t>Mokinių, dalyvavusių sveikatinimo veiklose ugdymo įstaigose</t>
  </si>
  <si>
    <t>Stebėsenos ataskaitų su pasiūlymais dėl gyventojų sveikatos būklės gerinimo</t>
  </si>
  <si>
    <t>Miesto gyventojų, dalyvavusių sveikatinimo veiklose</t>
  </si>
  <si>
    <t>Asmenų, baigusių Širdies ir kraujagyslių ligų ir cukrinio diabeto prevencinę sveikatos stiprinimo programą</t>
  </si>
  <si>
    <t>09.01.02.07</t>
  </si>
  <si>
    <t>Plėtoti visuomenės psichikos sveikatos paslaugų prieinamumą bei ankstyvojo savižudybių atpažinimo ir kompleksinės pagalbos teikimo sistemą</t>
  </si>
  <si>
    <t>Suteiktų individualių konsultacijų</t>
  </si>
  <si>
    <t>Suteiktų grupinių konsultacijų</t>
  </si>
  <si>
    <t>Pravestų mokymų</t>
  </si>
  <si>
    <t>09.01.04.</t>
  </si>
  <si>
    <t>Vykdyti ligų prevenciją ir didinti sveikatos priežiūros paslaugų prieinamumą</t>
  </si>
  <si>
    <t>09.01.04.04</t>
  </si>
  <si>
    <t>Įgyvendinti projektą „Paramos priemonių tuberkulioze sergantiems asmenims įgyvendinimas Šiaulių mieste"</t>
  </si>
  <si>
    <t>Sveikatos skyrius; Projektų valdymo skyrius</t>
  </si>
  <si>
    <t>Tuberkulioze sergančių pacientų, kuriems buvo suteiktos socialinės paramos priemonės tuberkuliozės ambulatorinio gydymo metu</t>
  </si>
  <si>
    <t>09.01.04.05</t>
  </si>
  <si>
    <t>Įgyvendinti projektą „Priklausomybės ligų profilaktikos, diagnostikos ir gydymo kokybės ir prieinamumo gerinimas Šiaulių mieste"</t>
  </si>
  <si>
    <t>Apsilankymų žemo slenksčio paslaugų kabinetuose</t>
  </si>
  <si>
    <t>09.01.04.06</t>
  </si>
  <si>
    <t>Pritraukti gydytojus specialistus į Šiaulių miestą ir išlaikyti jame</t>
  </si>
  <si>
    <t>PP, 2</t>
  </si>
  <si>
    <t>Paremtų gydytojų, atvykusių dirbti į Šiaulius</t>
  </si>
  <si>
    <t>Finansuotų sveikatos mokslų studentų</t>
  </si>
  <si>
    <t>09.01.04.08</t>
  </si>
  <si>
    <t>Įgyvendinti projektą „Geležinkelių transporto aplinkos apsaugos priemonių (triukšmą slopinančių priemonių) diegimas Šiaulių miesto savivaldybėje"</t>
  </si>
  <si>
    <t>09.01.04.10</t>
  </si>
  <si>
    <t>Vykdyti Visuomenės sveikatos rėmimo specialiąją programą</t>
  </si>
  <si>
    <t>Sveikatos skyrius; Šiaulių sporto centras ,,Atžalynas"</t>
  </si>
  <si>
    <t>Įgyvendinta programa</t>
  </si>
  <si>
    <t>10.</t>
  </si>
  <si>
    <t>Socialinės paramos įgyvendinimo programa</t>
  </si>
  <si>
    <t>Socialinių paslaugų skyrius; Socialinių išmokų ir kompensacijų skyrius</t>
  </si>
  <si>
    <t>10.01.</t>
  </si>
  <si>
    <t>Įgyvendinti socialinės apsaugos sistemą, mažinančią socialinę atskirtį ir užtikrinančią pažeidžiamų gyventojų grupių socialinę integraciją</t>
  </si>
  <si>
    <t>Socialinių paslaugų gavėjų dalis nuo bendro Šiaulių miesto gyventojų skaičiaus</t>
  </si>
  <si>
    <t>Piniginės socialinės paramos gavėjų dalis nuo bendro Šiaulių miesto gyventojų skaičiaus</t>
  </si>
  <si>
    <t>Mažas pajamas gaunančių socialinės paramos gavėjų dalis nuo bendro Šiaulių miesto gyventojų skaičiaus</t>
  </si>
  <si>
    <t>10.01.01.</t>
  </si>
  <si>
    <t>Teikti socialines paslaugas ir didinti jų prieinamumą įvairioms gyventojų grupėms</t>
  </si>
  <si>
    <t>10.01.01.05</t>
  </si>
  <si>
    <t>Teikti ilgalaikės, trumpalaikės ir dienos socialinės globos paslaugas senyvo amžiaus asmenims, suaugusiems asmenims ir vaikams su negalia ir su sunkia negalia</t>
  </si>
  <si>
    <t>Socialinių paslaugų skyrius</t>
  </si>
  <si>
    <t>Teikiamų paslaugų rūšių</t>
  </si>
  <si>
    <t>Paslaugų gavėjų su sunkia negalia</t>
  </si>
  <si>
    <t>Paslaugų gavėjų su negalia</t>
  </si>
  <si>
    <t>Patenkintų prašymų laikino atokvėpio paslaugai gauti (nuo visų pateiktų asmenų prašymų)</t>
  </si>
  <si>
    <t>10.01.01.07</t>
  </si>
  <si>
    <t>Įgyvendinti Užimtumo didinimo programą laikiną užimtumą užtikrinančiomis priemonėmis</t>
  </si>
  <si>
    <t>Įsidarbinusių asmenų dalis nuo bendro Programoje dalyvavusių asmenų skaičiaus</t>
  </si>
  <si>
    <t>10.01.01.09</t>
  </si>
  <si>
    <t>Įgyvendinti Būsto pritaikymo asmenims turintiems negalią programą</t>
  </si>
  <si>
    <t>Socialinių paslaugų skyrius; Statybos ir renovacijos skyrius; Šiaulių miesto savivaldybės socialinių paslaugų centras</t>
  </si>
  <si>
    <t>Pritaikytų būstų dalis nuo visų gautų paraiškų</t>
  </si>
  <si>
    <t>10.01.01.10</t>
  </si>
  <si>
    <t>Didinti socialinių paslaugų prieinamumą</t>
  </si>
  <si>
    <t>Suteikta pavėžėjimo su pagalba paslaugų asmenims su negalia nuo pateiktų prašymų</t>
  </si>
  <si>
    <t>Suteikta asmeninės pagalbos paslaugų asmenims su negalia nuo pateiktų prašymų</t>
  </si>
  <si>
    <t>Suteikta pagalbos į namus paslaugų nuo pateiktų prašymų</t>
  </si>
  <si>
    <t>Suteikta palydėjimo jaunuoliams paslaugų nuo pateiktų prašymų</t>
  </si>
  <si>
    <t>Suteikta intensyvios krizių įveikimo pagalbos paslaugų nuo pateiktų prašymų</t>
  </si>
  <si>
    <t>10.01.01.11</t>
  </si>
  <si>
    <t>Užtikrinti socialinių paslaugų įstaigų veiklą ir prienamumą</t>
  </si>
  <si>
    <t>Socialinių paslaugų skyrius; Šiaulių miesto savivaldybės socialinių paslaugų centras; Šiaulių miesto savivaldybės vaikų globos namai ; Šiaulių miesto savivaldybės globos namai; Kompleksinių paslaugų namai ,,Alka"</t>
  </si>
  <si>
    <t>Socialinių paslaugų centre teikiamų paslaugų rūšių</t>
  </si>
  <si>
    <t>Socialinių paslaugų centre aptarnautų asmenų (šeimų)</t>
  </si>
  <si>
    <t>Vaikų globos namuose teikiamų paslaugų rūšių</t>
  </si>
  <si>
    <t>Vaikų globos namuose paslaugų gavėjų</t>
  </si>
  <si>
    <t>Globos namuose teikiamų paslaugų rūšių</t>
  </si>
  <si>
    <t>Globos namuose aptarnautų asmenų</t>
  </si>
  <si>
    <t>Kompleksinių paslaugų namuose "Alka" teikiamų paslaugų rūšių</t>
  </si>
  <si>
    <t>Kompleksinių paslaugų namuose "Alka" paslaugų gavėjų</t>
  </si>
  <si>
    <t>10.01.01.12</t>
  </si>
  <si>
    <t>Užtikrinti socialinės globos paslaugų teikimą vaikams, likusiems be tėvų globos</t>
  </si>
  <si>
    <t>Globojamų vaikų šeimose</t>
  </si>
  <si>
    <t>Globojamų vaikų šeimynose</t>
  </si>
  <si>
    <t>Globojamų vaikų bendruomeniniuose vaikų globos namuose</t>
  </si>
  <si>
    <t>10.01.01.13</t>
  </si>
  <si>
    <t>Užtikrinti socialinės reabilitacijos paslaugų neįgaliesiems teikimą bendruomenėje</t>
  </si>
  <si>
    <t>Paslaugų gavėjų</t>
  </si>
  <si>
    <t>Akredituotų įstaigų, teikiančių socialinės reabilitacijos paslaugas</t>
  </si>
  <si>
    <t>10.01.01.14</t>
  </si>
  <si>
    <t>Užtikrinti vaikų dienos centrų veiklą ir prieinamumą</t>
  </si>
  <si>
    <t>Vaikų, lankančių dienos centrus</t>
  </si>
  <si>
    <t>Įstaigų, teikiančių vaikų dienos socialinę priežiūrą</t>
  </si>
  <si>
    <t>Vaikų su negalia dalis nuo visų vaikų dienos centrus lankančių vaikų skaičiaus</t>
  </si>
  <si>
    <t>10.01.01.15</t>
  </si>
  <si>
    <t>Užtikrinti kraitelio skyrimą šeimoms, susilaukusioms kūdikio</t>
  </si>
  <si>
    <t>Socialinių paslaugų skyrius; Civilinės metrikacijos skyrius</t>
  </si>
  <si>
    <t>Nupirktų kraitelių</t>
  </si>
  <si>
    <t>Kūdikiams įteiktų kraitelių dalis nuo visų per metus gimusių kūdikių</t>
  </si>
  <si>
    <t>10.01.01.16</t>
  </si>
  <si>
    <t>Įgyvendinti projektą „Integrali pagalba į namus Šiaulių mieste"</t>
  </si>
  <si>
    <t>Socialinių paslaugų skyrius; Projektų valdymo skyrius; Šiaulių miesto savivaldybės socialinių paslaugų centras; Šiaulių miesto savivaldybės globos namai</t>
  </si>
  <si>
    <t>10.01.01.17</t>
  </si>
  <si>
    <t>Įgyvendinti projektą „Kompleksinės paslaugos šeimai Šiaulių miesto savivaldybėje"</t>
  </si>
  <si>
    <t>Socialinių paslaugų skyrius; Projektų valdymo skyrius</t>
  </si>
  <si>
    <t>Bendruomeninių šeimos namų darbuotojų, organizuojančių kompleksinių paslaugų teikimą šeimai</t>
  </si>
  <si>
    <t>10.01.01.18</t>
  </si>
  <si>
    <t>Įgyvendinti projektą „Vaikų socialinės integracijos skatinimas Jelgavos ir Šiaulių miestuose"</t>
  </si>
  <si>
    <t>Socialinių paslaugų skyrius; Projektų valdymo skyrius; Švietimo skyrius</t>
  </si>
  <si>
    <t>Suremontuota ir įranga aprūpinta vaikų dienos centrų</t>
  </si>
  <si>
    <t>Suteikta psichologo ir teisinių konsultacijų</t>
  </si>
  <si>
    <t>Atnaujinta atviro jaunimo centro infrastruktūra</t>
  </si>
  <si>
    <t>10.01.01.19</t>
  </si>
  <si>
    <t>Užtikrinti Globos centrų veiklą</t>
  </si>
  <si>
    <t xml:space="preserve">Socialinių paslaugų skyrius; Šiaulių miesto savivaldybės socialinių paslaugų centras; Šiaulių miesto savivaldybės vaikų globos namai </t>
  </si>
  <si>
    <t>Budinčių globotojų</t>
  </si>
  <si>
    <t>Budinčių globotojų šeimose globojamų vaikų</t>
  </si>
  <si>
    <t>GIMK mokymus baigusių asmenų</t>
  </si>
  <si>
    <t>Koordinuotos pagalbos atvejų</t>
  </si>
  <si>
    <t>10.01.03.</t>
  </si>
  <si>
    <t>Plėsti  socialinių paslaugų įstaigų infrastruktūrą, atnaujinant ir modernizuojant esamus bei įrengiant naujus socialinės paskirties įstaigų pastatus</t>
  </si>
  <si>
    <t>10.01.03.09</t>
  </si>
  <si>
    <t>Pastatyti (pritaikyti pastatą) nakvynės namų ir apgyvendinimo paslaugoms teikti</t>
  </si>
  <si>
    <t>Statybos ir renovacijos skyrius; Socialinių paslaugų skyrius; Šiaulių miesto savivaldybės socialinių paslaugų centras</t>
  </si>
  <si>
    <t>Atlikti laikino apgyvendinimo paslaugoms teikti (Tiesos g. 3) projekto II ir III etapo darbai</t>
  </si>
  <si>
    <t>10.01.03.10</t>
  </si>
  <si>
    <t>Rekonstruoti Šiaulių miesto savivaldybės socialinių paslaugų centro Paramos tarnybos pastatą (Stoties g.)</t>
  </si>
  <si>
    <t>Statybos ir renovacijos skyrius; Socialinių paslaugų skyrius; Šiaulių miesto savivaldybės socialinių paslaugų centras; Projektų valdymo skyrius</t>
  </si>
  <si>
    <t>10.01.03.11</t>
  </si>
  <si>
    <t>Naujo padalinio prie Šiaulių miesto savivaldybės globos namų (Energetikų g. 13 A) statyba</t>
  </si>
  <si>
    <t>Statybos ir renovacijos skyrius; Šiaulių miesto savivaldybės globos namai</t>
  </si>
  <si>
    <t>10.01.03.12</t>
  </si>
  <si>
    <t>Įgyvendinti projektą „Bendruomeninių apgyvendinimo bei užimtumo paslaugų asmenims su proto ir psichikos negaliai plėtra Šiaulių mieste“</t>
  </si>
  <si>
    <t>Projektų valdymo skyrius; Statybos ir renovacijos skyrius; Socialinių paslaugų skyrius; Šiaulių miesto savivaldybės vaikų globos namai ; Kompleksinių paslaugų namai ,,Alka"</t>
  </si>
  <si>
    <t>Pastatyti ir grupinio gyvenimo namų veiklai pritaikyti namai</t>
  </si>
  <si>
    <t>Rekonstruotas ir specializuotos slaugos-globos namų, dienos užimtumo ir socialinių dirbtuvių veiklai pritaikytas pastatas</t>
  </si>
  <si>
    <t>10.01.03.14</t>
  </si>
  <si>
    <t>Plėsti bendruomenines paslaugas vaikams</t>
  </si>
  <si>
    <t>Socialinių paslaugų skyrius; Projektų valdymo skyrius; Statybos ir renovacijos skyrius</t>
  </si>
  <si>
    <t>10.01.03.15</t>
  </si>
  <si>
    <t>Gerinti socialinių paslaugų įstaigų pastatų būklę</t>
  </si>
  <si>
    <t>Statybos ir renovacijos skyrius; Socialinių paslaugų skyrius; Šiaulių miesto savivaldybės globos namai</t>
  </si>
  <si>
    <t>Atlikti Globos namų (Energetikų g. 20A) stogo ir gyvenamųjų patalpų remonto darbai</t>
  </si>
  <si>
    <t>Atlikti Socialinių paslaugų centro (Tilžės g. 63B) langų keitimo ir kiti remonto darbai</t>
  </si>
  <si>
    <t>10.01.05.</t>
  </si>
  <si>
    <t>Užtikrinti valstybės garantuotos piniginės socialinės paramos teikimą</t>
  </si>
  <si>
    <t>10.01.05.01</t>
  </si>
  <si>
    <t>Skirti ir išmokėti išmokas ir kompensacijas</t>
  </si>
  <si>
    <t>Socialinių išmokų ir kompensacijų skyrius</t>
  </si>
  <si>
    <t>Socialinių išmokų ir kompensacijų gavėjų skaičius</t>
  </si>
  <si>
    <t>Laidojimo pašalpų gavėjų skaičius</t>
  </si>
  <si>
    <t>10.01.05.02</t>
  </si>
  <si>
    <t>Skirti ir išmokėti išmokas vaikams</t>
  </si>
  <si>
    <t>Išmokų gavėjų</t>
  </si>
  <si>
    <t>Patvirtintų pareigybių</t>
  </si>
  <si>
    <t>10.01.05.03</t>
  </si>
  <si>
    <t>Skirti ir išmokėti tikslines kompensacijas</t>
  </si>
  <si>
    <t>10.01.05.05</t>
  </si>
  <si>
    <t>Skirti kompensacijas nepriklausomybės gynėjams nukentėjusiems nuo 1991 m. sausio 11-13 d. ir po to vykdytos SSRS agresijos</t>
  </si>
  <si>
    <t>10.01.05.06</t>
  </si>
  <si>
    <t>Skirti kitas išmokas</t>
  </si>
  <si>
    <t>10.01.05.07</t>
  </si>
  <si>
    <t>Skirti socialinę paramą moksleiviams</t>
  </si>
  <si>
    <t>10.01.05.08</t>
  </si>
  <si>
    <t>Kompensuoti keleivinio transporto vežėjų išlaidas (negautas pajamas) už lengvatinį keleivių vežimą reguliaraus susisiekimo maršrutais</t>
  </si>
  <si>
    <t>Sutartinių įsipareigojimų vykdymas</t>
  </si>
  <si>
    <t>10.01.05.09</t>
  </si>
  <si>
    <t>Įgyvendinti vystomojo bendradarbiavimo veiklą ir teikti humanitarinę pagalbą</t>
  </si>
  <si>
    <t>Civilinės saugos ir teisėtvarkos skyrius</t>
  </si>
  <si>
    <t>Suteikta pagalba (parama) šaliai, kurioje įvesta nepaprastoji padėtis ir (ar) karo padėtis</t>
  </si>
  <si>
    <t>11.</t>
  </si>
  <si>
    <t>Savivaldybės veiklos programa</t>
  </si>
  <si>
    <t>Bendrųjų reikalų skyrius</t>
  </si>
  <si>
    <t>11.01.</t>
  </si>
  <si>
    <t>Efektyviai organizuoti Savivaldybės darbą ir užtikrinti Savivaldybės funkcijų įgyvendinimą</t>
  </si>
  <si>
    <t>Darbuotojų, dalyvavusių mokymuose, skaičius (nuo visų darbuotojų skaičiaus)</t>
  </si>
  <si>
    <t>Suteiktų elektroninių paslaugų kiekis</t>
  </si>
  <si>
    <t>Valstybės deleguotų funkcijų skaičius</t>
  </si>
  <si>
    <t>11.01.01.</t>
  </si>
  <si>
    <t>Organizuoti  Savivaldybės veiklos funkcijų įgyvendinimą</t>
  </si>
  <si>
    <t>11.01.01.01</t>
  </si>
  <si>
    <t>Užtikrinti Savivaldybės administracijos finansinį, ūkinį ir materialinį aptarnavimą</t>
  </si>
  <si>
    <t>Apskaitos skyrius</t>
  </si>
  <si>
    <t>Valstybės karjeros tarnautojų (pareigybių)</t>
  </si>
  <si>
    <t>Darbuotojų dirbančių pagal darbo sutartis (pareigybių)</t>
  </si>
  <si>
    <t>Įvykdytų planuotų administracijos remonto darbų</t>
  </si>
  <si>
    <t>Įsigyta kompiuterinės technikos</t>
  </si>
  <si>
    <t>Įsigyta organizacinės technikos</t>
  </si>
  <si>
    <t>Įsigyta programinė įranga</t>
  </si>
  <si>
    <t>Įsigyta duomenų saugyklų</t>
  </si>
  <si>
    <t>Eksploatuojama kompiuterių</t>
  </si>
  <si>
    <t>Aktyvios komunikacijos Savivaldybės socialinėje paskyroje "Facebook" (sekėjai)</t>
  </si>
  <si>
    <t>Mokymų dalyvių</t>
  </si>
  <si>
    <t>Sekėjų socialiniuose tinkluose lietuvių/anglų kalba (Linkedin ir Instagram) skaičius</t>
  </si>
  <si>
    <t>11.01.01.02</t>
  </si>
  <si>
    <t>Užtikrinti Savivaldybės tarybos ir Savivaldybės tarybos sekretoriato finansinį, ūkinį ir materialinį aptarnavimą</t>
  </si>
  <si>
    <t>Tarybos sekretoriato darbuotojų (pareigybių)</t>
  </si>
  <si>
    <t>Įvykę skelbti Tarybos, Komitetų, Komisijų posėdžiai</t>
  </si>
  <si>
    <t>Laiku paskelbti ir įvykdyti Tarybos priimti sprendimai</t>
  </si>
  <si>
    <t>11.01.01.03</t>
  </si>
  <si>
    <t>Užtikrinti Kontrolės ir audito tarnybos finansinį, ūkinį bei materialinį aptarnavimą</t>
  </si>
  <si>
    <t>Kontrolės ir audito tarnyba</t>
  </si>
  <si>
    <t>Atliktų auditų</t>
  </si>
  <si>
    <t>11.01.01.05</t>
  </si>
  <si>
    <t>Užtikrinti Šiaulių apskaitos centro veiklą</t>
  </si>
  <si>
    <t>Užtikrintas centralizuotos apskaitos ir viešųjų pirkimų vykdymas</t>
  </si>
  <si>
    <t>11.01.01.09</t>
  </si>
  <si>
    <t>Užtikrinti projektų vykdymo priežiūros ir kitas inžinerines paslaugas</t>
  </si>
  <si>
    <t>Įgyvendintos projektų vykdymo priežiūros ir kitos inžinerinės paslaugos</t>
  </si>
  <si>
    <t>11.01.01.10</t>
  </si>
  <si>
    <t>Likviduoti įvykių, ekstremalių įvykių ir ekstremalių situacijų pasekmes</t>
  </si>
  <si>
    <t>Likviduotos įvykusių ekstremalių įvykių/situacijų pasekmės</t>
  </si>
  <si>
    <t>11.01.01.11</t>
  </si>
  <si>
    <t>Parengti Šiaulių m. 2025–2033 m. strateginį plėtros ir 2025–2027 m. strateginį veiklos planus</t>
  </si>
  <si>
    <t>Strateginio planavimo ir finansų skyrius</t>
  </si>
  <si>
    <t>Parinktas rengėjas</t>
  </si>
  <si>
    <t>Parengta esamos situacijos analizė</t>
  </si>
  <si>
    <t>Parengtas strateginis plėtros planas</t>
  </si>
  <si>
    <t>Parengtas strateginis veiklos planas</t>
  </si>
  <si>
    <t>11.01.02.</t>
  </si>
  <si>
    <t>Tinkamai įgyvendinti valstybines (perduotas savivaldybei) funkcijas</t>
  </si>
  <si>
    <t>11.01.02.01</t>
  </si>
  <si>
    <t>Deklaruoti gyvenamąją vietą</t>
  </si>
  <si>
    <t>Užtikrintas funkcijos įgyvendinimas</t>
  </si>
  <si>
    <t>11.01.02.02</t>
  </si>
  <si>
    <t>Teikti duomenis Valstybės registrui</t>
  </si>
  <si>
    <t>11.01.02.03</t>
  </si>
  <si>
    <t>Teikti pirminę teisinę pagalbą</t>
  </si>
  <si>
    <t>Teisės skyrius</t>
  </si>
  <si>
    <t>11.01.02.05</t>
  </si>
  <si>
    <t>Registruoti civilinės būklės aktus</t>
  </si>
  <si>
    <t>Civilinės metrikacijos skyrius</t>
  </si>
  <si>
    <t>11.01.02.06</t>
  </si>
  <si>
    <t>Tvarkyti Gyventojų registrą</t>
  </si>
  <si>
    <t>11.01.02.07</t>
  </si>
  <si>
    <t>Vykdyti valstybinės kalbos vartojimo kontrolę</t>
  </si>
  <si>
    <t>11.01.02.09</t>
  </si>
  <si>
    <t>Įgyvendinti jaunimo politiką</t>
  </si>
  <si>
    <t>Vyriausiasis specialistas (jaunimo reikalų koordinatorius)</t>
  </si>
  <si>
    <t>11.01.02.10</t>
  </si>
  <si>
    <t>Tvarkyti archyvinius dokumentus</t>
  </si>
  <si>
    <t>11.01.02.11</t>
  </si>
  <si>
    <t>Administruoti mobilizaciją</t>
  </si>
  <si>
    <t>11.01.02.12</t>
  </si>
  <si>
    <t>Organizuoti civilinę saugą</t>
  </si>
  <si>
    <t>11.01.02.13</t>
  </si>
  <si>
    <t>Vykdyti žemės ūkio funkcijas</t>
  </si>
  <si>
    <t>11.01.02.14</t>
  </si>
  <si>
    <t>Administruoti Užimtumo didinimo programą</t>
  </si>
  <si>
    <t>11.01.02.15</t>
  </si>
  <si>
    <t>Administruoti socialines pašalpas</t>
  </si>
  <si>
    <t>11.01.02.17</t>
  </si>
  <si>
    <t>Administruoti socialinę paramą mokiniams</t>
  </si>
  <si>
    <t>11.01.02.18</t>
  </si>
  <si>
    <t>Administruoti socialinę globą</t>
  </si>
  <si>
    <t>11.01.02.20</t>
  </si>
  <si>
    <t>Administruoti būsto nuomos ar išperkamosios būsto nuomos mokesčių dalies kompensacijas</t>
  </si>
  <si>
    <t>11.01.02.21</t>
  </si>
  <si>
    <t>Užtikrinti informacijos apie neveiksnių asmenų būklę persvarstymą</t>
  </si>
  <si>
    <t>Komisijos priimti sprendimai kreiptis į teismą</t>
  </si>
  <si>
    <t>Komisijos inicijuoti asmens būklės peržiūrėjimai</t>
  </si>
  <si>
    <t>11.01.02.22</t>
  </si>
  <si>
    <t>Organizuoti tarpinstitucinio bendradarbiavimo koordinatoriaus darbą</t>
  </si>
  <si>
    <t>11.01.02.23</t>
  </si>
  <si>
    <t>Atlikti erdvinių duomenų rinkinio tvarkymo funkciją</t>
  </si>
  <si>
    <t>Atlikta tvarkymo funkcija</t>
  </si>
  <si>
    <t>11.01.04.</t>
  </si>
  <si>
    <t>Diegti ir palaikyti Savivaldybės administracijoje modernias informacines sistemas</t>
  </si>
  <si>
    <t>11.01.04.03</t>
  </si>
  <si>
    <t>Įgyvendinti administracinės naštos mažinimo planą ir organizuoti plano įgyvendinimo stebėseną</t>
  </si>
  <si>
    <t>Įgyvendintų plano priemonių</t>
  </si>
  <si>
    <t>11.01.04.04</t>
  </si>
  <si>
    <t>Gerinti asmenų aptarnavimo ir paslaugų kokybę Šiaulių miesto savivaldybėje</t>
  </si>
  <si>
    <t>Projektų valdymo skyrius; Bendrųjų reikalų skyrius; Miesto koordinavimo skyrius</t>
  </si>
  <si>
    <t>Patobulinti viešojo administravimo paslaugų organizavimo ir teikimo procesai</t>
  </si>
  <si>
    <t>11.01.04.08</t>
  </si>
  <si>
    <t>Įgyvendinti projektą „Bendradarbiavimas pasienio regione siekiant užtikrinti saugumą ir viešųjų paslaugų efektyvumą“</t>
  </si>
  <si>
    <t>Projektų valdymo skyrius; Miesto koordinavimo skyrius</t>
  </si>
  <si>
    <t>Įrengtų vaizdo stebėjimo kamerų</t>
  </si>
  <si>
    <t>Įsigyta kilnojamų vaizdo stebėjimo kamerų</t>
  </si>
  <si>
    <t>11.01.06.</t>
  </si>
  <si>
    <t>Užtikrinti finansinių įsipareigojimų vykdymą</t>
  </si>
  <si>
    <t>11.01.06.01</t>
  </si>
  <si>
    <t>Vykdyti paskolų grąžinimą, palūkanų už paskolas mokėjimą ir kitus finansinius  įsipareigojimus</t>
  </si>
  <si>
    <t>Pasirašytų paskolų sutarčių</t>
  </si>
  <si>
    <t>Įvykdyti skoliniai įsipareigojimai</t>
  </si>
  <si>
    <t>11.01.06.02</t>
  </si>
  <si>
    <t>Kompensuoti keleivių vežimo vietiniais maršrutais organizavimo išlaidas</t>
  </si>
  <si>
    <t>Įvykdyti sutartiniai įsipareigojimai</t>
  </si>
  <si>
    <t>11.01.06.03</t>
  </si>
  <si>
    <t>Vykdyti išmokėtos dotacijų dalies savivaldybei grąžinimą</t>
  </si>
  <si>
    <t>11.01.06.04</t>
  </si>
  <si>
    <t>Užtikrinti Biudžetinių įstaigų finansinį, ūkinį aptarnavimą</t>
  </si>
  <si>
    <t>Įvykdyti švietimo įstaigų statinių inžinerinių sistemų avarijų ir jų padarinių šalinimo darbai</t>
  </si>
  <si>
    <t>Apdraustų biudžetinių įstaigų civilinės atsakomybės draudimu</t>
  </si>
  <si>
    <t>11.01.07.</t>
  </si>
  <si>
    <t>Užtikrinti pagrindinius lygių galimybių principus Savivaldybės administracijoje</t>
  </si>
  <si>
    <t>11.01.07.01</t>
  </si>
  <si>
    <t>Sudaryti galimybes Savivaldybės administracijos darbuotojams dirbti nuotoliniu būdu ir taikyti lanksčius darbo grafikus</t>
  </si>
  <si>
    <t>Sudarytos sąlygos dirbti nuotoliniu būdu</t>
  </si>
  <si>
    <t>11.01.07.02</t>
  </si>
  <si>
    <t>Teikti pasiūlymus dėl lygių galimybių kriterijų/krypčių numatymo Savivaldybės vykdomose programose</t>
  </si>
  <si>
    <t>Pateikti pasiūlymai</t>
  </si>
  <si>
    <t>11.01.07.03</t>
  </si>
  <si>
    <t>Užtikrinti informacijos sklaidą lygių galimybių klausimais</t>
  </si>
  <si>
    <t>Parengta straipsnių</t>
  </si>
  <si>
    <t>11.02.</t>
  </si>
  <si>
    <t>Plėtoti bendradarbiavimą su socialiniais partneriais</t>
  </si>
  <si>
    <t>Prevencinės programos įgyvendinimas</t>
  </si>
  <si>
    <t>Finansuota bendruomeninių projektų</t>
  </si>
  <si>
    <t>11.02.01.</t>
  </si>
  <si>
    <t>Plėtoti bendradarbiavimą su miesto teisėtvarkos institucijomis ir vietos bendruomene</t>
  </si>
  <si>
    <t>11.02.01.01</t>
  </si>
  <si>
    <t>Įgyvendinti prevencines programas</t>
  </si>
  <si>
    <t>Įgyvendintų prevencinių priemonių skaičius</t>
  </si>
  <si>
    <t>11.02.01.03</t>
  </si>
  <si>
    <t>Stiprinti bendruomeninę veiklą savivaldybėje</t>
  </si>
  <si>
    <t>Vyriausiasis specialistas (nevyriausybinių organizacijų koordinatorius)</t>
  </si>
  <si>
    <t>Finansuota projektų</t>
  </si>
  <si>
    <t>Finansuota prašymų</t>
  </si>
  <si>
    <t>11.02.01.04</t>
  </si>
  <si>
    <t>Skatinti nevyriausybinių organizacijų veiklą ir užtikrinti jų plėtrą</t>
  </si>
  <si>
    <t>Suorganizuota mokymų</t>
  </si>
  <si>
    <t>11.02.01.05</t>
  </si>
  <si>
    <t>Rengiant ir įgyvendinant Šiaulių vietos veiklos grupės strategiją</t>
  </si>
  <si>
    <t>Sudaryta biudžeto lėšų naudojimo sutarčių</t>
  </si>
  <si>
    <t>11.02.01.06</t>
  </si>
  <si>
    <t>Įgyvendinti bendruomenės iniciatyvas, skirtas gyvenamajai aplinkai gerinti</t>
  </si>
  <si>
    <t>Architektūros, urbanistikos ir paveldosaugos skyrius; Miesto ūkio ir aplinkos skyrius</t>
  </si>
  <si>
    <t>Įgyvendintų iniciatyvų</t>
  </si>
  <si>
    <t>11.02.01.07</t>
  </si>
  <si>
    <t>Dalyvių</t>
  </si>
  <si>
    <t>Jaunimo, dalyvaujančio projektinėje veikloje, dalis nuo bendro jaunimo skaičiaus</t>
  </si>
  <si>
    <t>11.02.01.08</t>
  </si>
  <si>
    <t>Užtikrinti Integracijos paslaugų trečiųjų šalių piliečiams teikimo ir stiprinimo plano įgyvendinimą</t>
  </si>
  <si>
    <t>Parengta padalomoji medžiaga</t>
  </si>
  <si>
    <t>Integracijos paslaugų teikimo plane numatytų priemonių įgyvendinimas</t>
  </si>
  <si>
    <t>Įstaigų (savivaldybės biudžetinių įstaigų, nevyriausybinių organizacijų ir kt), teikiančių informaciją interneto svetainėse</t>
  </si>
  <si>
    <t>Parengta paraiška lėšoms gauti</t>
  </si>
  <si>
    <t>1.</t>
  </si>
  <si>
    <t>SAVIVALDYBĖS BIUDŽETAS IŠ VISO, IŠ JO:</t>
  </si>
  <si>
    <t>Savivaldybės biudžeto lėšos (SB)</t>
  </si>
  <si>
    <t>Skolintos lėšos (PS)</t>
  </si>
  <si>
    <t>Lėšos ugdymo reikmėms VB (UR)</t>
  </si>
  <si>
    <t>Lėšos valstybinėms funkcijoms VB (VF)</t>
  </si>
  <si>
    <t>Valstybės biudžeto lėšos (VB)</t>
  </si>
  <si>
    <t>Kelių priežiūros ir plėtros programos lėšos VB (KPPP)</t>
  </si>
  <si>
    <t>Valstybės investicijų projektų lėšos VB (VIP)</t>
  </si>
  <si>
    <t>Europos Sąjungos lėšos (ES)</t>
  </si>
  <si>
    <t>Įstaigos pajamų lėšos (PL)</t>
  </si>
  <si>
    <t>Lėšų likutis ataskaitinio laikotarpio pabaigoje (LIK)</t>
  </si>
  <si>
    <t>Aplinkos apsaugos rėmimo specialiosios programos lėšos SB (AA)</t>
  </si>
  <si>
    <t>Lėšų likutis iš Aplinkos apsaugos rėmimo specialiosios programos SB (AA/LIK)</t>
  </si>
  <si>
    <t>2.</t>
  </si>
  <si>
    <t>KITOS LĖŠOS IŠ VISO, IŠ JŲ:</t>
  </si>
  <si>
    <t>Valstybės biudžeto lėšos KT (VB)</t>
  </si>
  <si>
    <t>Europos Sąjungos lėšos KT (ES)</t>
  </si>
  <si>
    <t>Kitų šaltinių lėšos KT (KL)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</si>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</sst>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times New Roman"/>
      <family val="2"/>
    </font>
    <font>
      <b/>
      <sz val="10"/>
      <color rgb="FF000000"/>
      <name val="Arial"/>
      <family val="2"/>
    </font>
    <font>
      <b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D8FAD4"/>
        <bgColor rgb="FFD8FAD4"/>
      </patternFill>
    </fill>
    <fill>
      <patternFill patternType="solid">
        <fgColor rgb="FFC0E4F6"/>
        <bgColor rgb="FFC0E4F6"/>
      </patternFill>
    </fill>
    <fill>
      <patternFill patternType="solid">
        <fgColor rgb="FFFAEE80"/>
        <bgColor rgb="FFFAEE80"/>
      </patternFill>
    </fill>
    <fill>
      <patternFill patternType="solid">
        <fgColor rgb="FFEBEBEB"/>
        <bgColor rgb="FFEBEBEB"/>
      </patternFill>
    </fill>
    <fill>
      <patternFill patternType="solid">
        <fgColor rgb="FFC0E4F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11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 applyProtection="1">
      <alignment vertical="top" wrapText="1" readingOrder="1"/>
      <protection locked="0"/>
    </xf>
    <xf numFmtId="0" fontId="2" fillId="5" borderId="8" xfId="0" applyFont="1" applyFill="1" applyBorder="1" applyAlignment="1" applyProtection="1">
      <alignment vertical="top" wrapText="1" readingOrder="1"/>
      <protection locked="0"/>
    </xf>
    <xf numFmtId="164" fontId="2" fillId="5" borderId="8" xfId="0" applyNumberFormat="1" applyFont="1" applyFill="1" applyBorder="1" applyAlignment="1">
      <alignment horizontal="right" vertical="top" wrapText="1" readingOrder="1"/>
    </xf>
    <xf numFmtId="0" fontId="2" fillId="4" borderId="7" xfId="0" applyFont="1" applyFill="1" applyBorder="1" applyAlignment="1" applyProtection="1">
      <alignment vertical="top" wrapText="1" readingOrder="1"/>
      <protection locked="0"/>
    </xf>
    <xf numFmtId="0" fontId="2" fillId="4" borderId="8" xfId="0" applyFont="1" applyFill="1" applyBorder="1" applyAlignment="1" applyProtection="1">
      <alignment horizontal="left" vertical="top" wrapText="1" readingOrder="1"/>
      <protection locked="0"/>
    </xf>
    <xf numFmtId="164" fontId="2" fillId="4" borderId="8" xfId="0" applyNumberFormat="1" applyFont="1" applyFill="1" applyBorder="1" applyAlignment="1">
      <alignment horizontal="right" vertical="top" wrapText="1" readingOrder="1"/>
    </xf>
    <xf numFmtId="0" fontId="2" fillId="4" borderId="8" xfId="0" applyFont="1" applyFill="1" applyBorder="1" applyAlignment="1" applyProtection="1">
      <alignment horizontal="center" vertical="top" wrapText="1" readingOrder="1"/>
      <protection locked="0"/>
    </xf>
    <xf numFmtId="0" fontId="2" fillId="3" borderId="7" xfId="0" applyFont="1" applyFill="1" applyBorder="1" applyAlignment="1" applyProtection="1">
      <alignment vertical="top" wrapText="1" readingOrder="1"/>
      <protection locked="0"/>
    </xf>
    <xf numFmtId="0" fontId="2" fillId="3" borderId="8" xfId="0" applyFont="1" applyFill="1" applyBorder="1" applyAlignment="1" applyProtection="1">
      <alignment horizontal="left" vertical="top" wrapText="1" readingOrder="1"/>
      <protection locked="0"/>
    </xf>
    <xf numFmtId="164" fontId="2" fillId="3" borderId="8" xfId="0" applyNumberFormat="1" applyFont="1" applyFill="1" applyBorder="1" applyAlignment="1">
      <alignment horizontal="right" vertical="top" wrapText="1" readingOrder="1"/>
    </xf>
    <xf numFmtId="0" fontId="2" fillId="3" borderId="8" xfId="0" applyFont="1" applyFill="1" applyBorder="1" applyAlignment="1" applyProtection="1">
      <alignment horizontal="center" vertical="top" wrapText="1" readingOrder="1"/>
      <protection locked="0"/>
    </xf>
    <xf numFmtId="0" fontId="2" fillId="0" borderId="7" xfId="0" applyFont="1" applyBorder="1" applyAlignment="1" applyProtection="1">
      <alignment vertical="top" wrapText="1" readingOrder="1"/>
      <protection locked="0"/>
    </xf>
    <xf numFmtId="0" fontId="2" fillId="0" borderId="8" xfId="0" applyFont="1" applyBorder="1" applyAlignment="1" applyProtection="1">
      <alignment vertical="top" wrapText="1" readingOrder="1"/>
      <protection locked="0"/>
    </xf>
    <xf numFmtId="0" fontId="2" fillId="0" borderId="8" xfId="0" applyFont="1" applyBorder="1" applyAlignment="1" applyProtection="1">
      <alignment horizontal="left" vertical="top" wrapText="1" readingOrder="1"/>
      <protection locked="0"/>
    </xf>
    <xf numFmtId="164" fontId="2" fillId="0" borderId="8" xfId="0" applyNumberFormat="1" applyFont="1" applyBorder="1" applyAlignment="1">
      <alignment horizontal="right" vertical="top" wrapText="1" readingOrder="1"/>
    </xf>
    <xf numFmtId="0" fontId="2" fillId="0" borderId="8" xfId="0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164" fontId="2" fillId="0" borderId="8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3" xfId="0" applyFont="1" applyBorder="1" applyAlignment="1" applyProtection="1">
      <alignment horizontal="left" vertical="top" wrapText="1" readingOrder="1"/>
      <protection locked="0"/>
    </xf>
    <xf numFmtId="164" fontId="2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 applyAlignment="1" applyProtection="1">
      <alignment horizontal="left" vertical="top" wrapText="1" readingOrder="1"/>
      <protection locked="0"/>
    </xf>
    <xf numFmtId="164" fontId="2" fillId="2" borderId="0" xfId="0" applyNumberFormat="1" applyFont="1" applyFill="1" applyAlignment="1" applyProtection="1">
      <alignment horizontal="right" vertical="top" wrapText="1" readingOrder="1"/>
      <protection locked="0"/>
    </xf>
    <xf numFmtId="0" fontId="2" fillId="2" borderId="0" xfId="0" applyFont="1" applyFill="1" applyAlignment="1" applyProtection="1">
      <alignment horizontal="center" vertical="top" wrapText="1" readingOrder="1"/>
      <protection locked="0"/>
    </xf>
    <xf numFmtId="164" fontId="2" fillId="0" borderId="1" xfId="0" applyNumberFormat="1" applyFont="1" applyBorder="1" applyAlignment="1">
      <alignment horizontal="right" vertical="top" wrapText="1" readingOrder="1"/>
    </xf>
    <xf numFmtId="0" fontId="4" fillId="6" borderId="1" xfId="0" applyFont="1" applyFill="1" applyBorder="1" applyAlignment="1" applyProtection="1">
      <alignment vertical="top" wrapText="1" readingOrder="1"/>
      <protection locked="0"/>
    </xf>
    <xf numFmtId="0" fontId="4" fillId="6" borderId="1" xfId="0" applyFont="1" applyFill="1" applyBorder="1" applyAlignment="1" applyProtection="1">
      <alignment horizontal="right" vertical="top" wrapText="1" readingOrder="1"/>
      <protection locked="0"/>
    </xf>
    <xf numFmtId="164" fontId="4" fillId="6" borderId="1" xfId="0" applyNumberFormat="1" applyFont="1" applyFill="1" applyBorder="1" applyAlignment="1">
      <alignment horizontal="right" vertical="top" wrapText="1" readingOrder="1"/>
    </xf>
    <xf numFmtId="164" fontId="2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7" borderId="1" xfId="0" applyFont="1" applyFill="1" applyBorder="1" applyAlignment="1" applyProtection="1">
      <alignment horizontal="left" vertical="top" wrapText="1" readingOrder="1"/>
      <protection locked="0"/>
    </xf>
    <xf numFmtId="0" fontId="2" fillId="7" borderId="1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>
      <alignment horizontal="center" vertical="center" wrapText="1" readingOrder="1"/>
    </xf>
    <xf numFmtId="0" fontId="2" fillId="0" borderId="9" xfId="0" applyFont="1" applyBorder="1" applyAlignment="1" applyProtection="1">
      <alignment horizontal="center" vertical="top" wrapText="1" readingOrder="1"/>
      <protection locked="0"/>
    </xf>
    <xf numFmtId="0" fontId="2" fillId="0" borderId="6" xfId="0" applyFont="1" applyBorder="1" applyAlignment="1" applyProtection="1">
      <alignment horizontal="center" vertical="top" wrapText="1" readingOrder="1"/>
      <protection locked="0"/>
    </xf>
    <xf numFmtId="0" fontId="2" fillId="7" borderId="6" xfId="0" applyFont="1" applyFill="1" applyBorder="1" applyAlignment="1" applyProtection="1">
      <alignment horizontal="center" vertical="top" wrapText="1" readingOrder="1"/>
      <protection locked="0"/>
    </xf>
    <xf numFmtId="0" fontId="2" fillId="3" borderId="9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 wrapText="1"/>
    </xf>
    <xf numFmtId="0" fontId="2" fillId="4" borderId="9" xfId="0" applyFont="1" applyFill="1" applyBorder="1" applyAlignment="1" applyProtection="1">
      <alignment horizontal="center" vertical="top" wrapText="1" readingOrder="1"/>
      <protection locked="0"/>
    </xf>
    <xf numFmtId="1" fontId="2" fillId="0" borderId="8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9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4" borderId="8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4" borderId="9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7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7" borderId="6" xfId="0" applyNumberFormat="1" applyFont="1" applyFill="1" applyBorder="1" applyAlignment="1" applyProtection="1">
      <alignment horizontal="center" vertical="top" wrapText="1" readingOrder="1"/>
      <protection locked="0"/>
    </xf>
    <xf numFmtId="3" fontId="2" fillId="0" borderId="8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9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28" xfId="0" applyFont="1" applyBorder="1" applyAlignment="1" applyProtection="1">
      <alignment horizontal="left" vertical="top" wrapText="1" readingOrder="1"/>
      <protection locked="0"/>
    </xf>
    <xf numFmtId="0" fontId="2" fillId="0" borderId="28" xfId="0" applyFont="1" applyBorder="1" applyAlignment="1" applyProtection="1">
      <alignment horizontal="center" vertical="top" wrapText="1" readingOrder="1"/>
      <protection locked="0"/>
    </xf>
    <xf numFmtId="0" fontId="2" fillId="3" borderId="16" xfId="0" applyFont="1" applyFill="1" applyBorder="1" applyAlignment="1" applyProtection="1">
      <alignment horizontal="left" vertical="top" wrapText="1" readingOrder="1"/>
      <protection locked="0"/>
    </xf>
    <xf numFmtId="0" fontId="2" fillId="3" borderId="17" xfId="0" applyFont="1" applyFill="1" applyBorder="1" applyAlignment="1" applyProtection="1">
      <alignment horizontal="left" vertical="top" wrapText="1" readingOrder="1"/>
      <protection locked="0"/>
    </xf>
    <xf numFmtId="0" fontId="2" fillId="3" borderId="18" xfId="0" applyFont="1" applyFill="1" applyBorder="1" applyAlignment="1" applyProtection="1">
      <alignment horizontal="left" vertical="top" wrapText="1" readingOrder="1"/>
      <protection locked="0"/>
    </xf>
    <xf numFmtId="0" fontId="2" fillId="5" borderId="16" xfId="0" applyFont="1" applyFill="1" applyBorder="1" applyAlignment="1" applyProtection="1">
      <alignment horizontal="center" vertical="top" wrapText="1" readingOrder="1"/>
      <protection locked="0"/>
    </xf>
    <xf numFmtId="0" fontId="2" fillId="5" borderId="17" xfId="0" applyFont="1" applyFill="1" applyBorder="1" applyAlignment="1" applyProtection="1">
      <alignment horizontal="center" vertical="top" wrapText="1" readingOrder="1"/>
      <protection locked="0"/>
    </xf>
    <xf numFmtId="0" fontId="2" fillId="5" borderId="19" xfId="0" applyFont="1" applyFill="1" applyBorder="1" applyAlignment="1" applyProtection="1">
      <alignment horizontal="center" vertical="top" wrapText="1" readingOrder="1"/>
      <protection locked="0"/>
    </xf>
    <xf numFmtId="0" fontId="1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top" wrapText="1" readingOrder="1"/>
      <protection locked="0"/>
    </xf>
    <xf numFmtId="0" fontId="2" fillId="3" borderId="17" xfId="0" applyFont="1" applyFill="1" applyBorder="1" applyAlignment="1" applyProtection="1">
      <alignment horizontal="center" vertical="top" wrapText="1" readingOrder="1"/>
      <protection locked="0"/>
    </xf>
    <xf numFmtId="0" fontId="2" fillId="3" borderId="19" xfId="0" applyFont="1" applyFill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left" vertical="top" wrapText="1" readingOrder="1"/>
      <protection locked="0"/>
    </xf>
    <xf numFmtId="0" fontId="2" fillId="0" borderId="14" xfId="0" applyFont="1" applyBorder="1" applyAlignment="1" applyProtection="1">
      <alignment horizontal="left" vertical="top" wrapText="1" readingOrder="1"/>
      <protection locked="0"/>
    </xf>
    <xf numFmtId="0" fontId="2" fillId="0" borderId="11" xfId="0" applyFont="1" applyBorder="1" applyAlignment="1" applyProtection="1">
      <alignment horizontal="left" vertical="top" wrapText="1" readingOrder="1"/>
      <protection locked="0"/>
    </xf>
    <xf numFmtId="0" fontId="2" fillId="0" borderId="12" xfId="0" applyFont="1" applyBorder="1" applyAlignment="1" applyProtection="1">
      <alignment horizontal="left" vertical="top" wrapText="1" readingOrder="1"/>
      <protection locked="0"/>
    </xf>
    <xf numFmtId="0" fontId="2" fillId="0" borderId="15" xfId="0" applyFont="1" applyBorder="1" applyAlignment="1" applyProtection="1">
      <alignment horizontal="left" vertical="top" wrapText="1" readingOrder="1"/>
      <protection locked="0"/>
    </xf>
    <xf numFmtId="0" fontId="2" fillId="0" borderId="13" xfId="0" applyFont="1" applyBorder="1" applyAlignment="1" applyProtection="1">
      <alignment horizontal="left" vertical="top" wrapText="1" readingOrder="1"/>
      <protection locked="0"/>
    </xf>
    <xf numFmtId="0" fontId="2" fillId="5" borderId="16" xfId="0" applyFont="1" applyFill="1" applyBorder="1" applyAlignment="1" applyProtection="1">
      <alignment horizontal="left" vertical="top" wrapText="1" readingOrder="1"/>
      <protection locked="0"/>
    </xf>
    <xf numFmtId="0" fontId="2" fillId="5" borderId="17" xfId="0" applyFont="1" applyFill="1" applyBorder="1" applyAlignment="1" applyProtection="1">
      <alignment horizontal="left" vertical="top" wrapText="1" readingOrder="1"/>
      <protection locked="0"/>
    </xf>
    <xf numFmtId="0" fontId="2" fillId="5" borderId="18" xfId="0" applyFont="1" applyFill="1" applyBorder="1" applyAlignment="1" applyProtection="1">
      <alignment horizontal="left" vertical="top" wrapText="1" readingOrder="1"/>
      <protection locked="0"/>
    </xf>
    <xf numFmtId="0" fontId="2" fillId="4" borderId="16" xfId="0" applyFont="1" applyFill="1" applyBorder="1" applyAlignment="1" applyProtection="1">
      <alignment horizontal="left" vertical="top" wrapText="1" readingOrder="1"/>
      <protection locked="0"/>
    </xf>
    <xf numFmtId="0" fontId="2" fillId="4" borderId="17" xfId="0" applyFont="1" applyFill="1" applyBorder="1" applyAlignment="1" applyProtection="1">
      <alignment horizontal="left" vertical="top" wrapText="1" readingOrder="1"/>
      <protection locked="0"/>
    </xf>
    <xf numFmtId="0" fontId="2" fillId="4" borderId="18" xfId="0" applyFont="1" applyFill="1" applyBorder="1" applyAlignment="1" applyProtection="1">
      <alignment horizontal="left" vertical="top" wrapText="1" readingOrder="1"/>
      <protection locked="0"/>
    </xf>
    <xf numFmtId="0" fontId="2" fillId="3" borderId="16" xfId="0" applyFont="1" applyFill="1" applyBorder="1" applyAlignment="1" applyProtection="1">
      <alignment horizontal="center" vertical="top" readingOrder="1"/>
      <protection locked="0"/>
    </xf>
    <xf numFmtId="0" fontId="2" fillId="3" borderId="17" xfId="0" applyFont="1" applyFill="1" applyBorder="1" applyAlignment="1" applyProtection="1">
      <alignment horizontal="center" vertical="top" readingOrder="1"/>
      <protection locked="0"/>
    </xf>
    <xf numFmtId="0" fontId="2" fillId="3" borderId="19" xfId="0" applyFont="1" applyFill="1" applyBorder="1" applyAlignment="1" applyProtection="1">
      <alignment horizontal="center" vertical="top" readingOrder="1"/>
      <protection locked="0"/>
    </xf>
    <xf numFmtId="0" fontId="2" fillId="4" borderId="10" xfId="0" applyFont="1" applyFill="1" applyBorder="1" applyAlignment="1" applyProtection="1">
      <alignment horizontal="left" vertical="top" wrapText="1" readingOrder="1"/>
      <protection locked="0"/>
    </xf>
    <xf numFmtId="0" fontId="2" fillId="4" borderId="14" xfId="0" applyFont="1" applyFill="1" applyBorder="1" applyAlignment="1" applyProtection="1">
      <alignment horizontal="left" vertical="top" wrapText="1" readingOrder="1"/>
      <protection locked="0"/>
    </xf>
    <xf numFmtId="0" fontId="2" fillId="4" borderId="11" xfId="0" applyFont="1" applyFill="1" applyBorder="1" applyAlignment="1" applyProtection="1">
      <alignment horizontal="left" vertical="top" wrapText="1" readingOrder="1"/>
      <protection locked="0"/>
    </xf>
    <xf numFmtId="0" fontId="2" fillId="4" borderId="20" xfId="0" applyFont="1" applyFill="1" applyBorder="1" applyAlignment="1" applyProtection="1">
      <alignment horizontal="left" vertical="top" wrapText="1" readingOrder="1"/>
      <protection locked="0"/>
    </xf>
    <xf numFmtId="0" fontId="2" fillId="4" borderId="21" xfId="0" applyFont="1" applyFill="1" applyBorder="1" applyAlignment="1" applyProtection="1">
      <alignment horizontal="left" vertical="top" wrapText="1" readingOrder="1"/>
      <protection locked="0"/>
    </xf>
    <xf numFmtId="0" fontId="2" fillId="4" borderId="22" xfId="0" applyFont="1" applyFill="1" applyBorder="1" applyAlignment="1" applyProtection="1">
      <alignment horizontal="left" vertical="top" wrapText="1" readingOrder="1"/>
      <protection locked="0"/>
    </xf>
    <xf numFmtId="0" fontId="2" fillId="4" borderId="23" xfId="0" applyFont="1" applyFill="1" applyBorder="1" applyAlignment="1" applyProtection="1">
      <alignment horizontal="left" vertical="top" wrapText="1" readingOrder="1"/>
      <protection locked="0"/>
    </xf>
    <xf numFmtId="0" fontId="2" fillId="4" borderId="0" xfId="0" applyFont="1" applyFill="1" applyBorder="1" applyAlignment="1" applyProtection="1">
      <alignment horizontal="left" vertical="top" wrapText="1" readingOrder="1"/>
      <protection locked="0"/>
    </xf>
    <xf numFmtId="0" fontId="2" fillId="4" borderId="24" xfId="0" applyFont="1" applyFill="1" applyBorder="1" applyAlignment="1" applyProtection="1">
      <alignment horizontal="left" vertical="top" wrapText="1" readingOrder="1"/>
      <protection locked="0"/>
    </xf>
    <xf numFmtId="0" fontId="2" fillId="4" borderId="25" xfId="0" applyFont="1" applyFill="1" applyBorder="1" applyAlignment="1" applyProtection="1">
      <alignment horizontal="left" vertical="top" wrapText="1" readingOrder="1"/>
      <protection locked="0"/>
    </xf>
    <xf numFmtId="0" fontId="2" fillId="4" borderId="26" xfId="0" applyFont="1" applyFill="1" applyBorder="1" applyAlignment="1" applyProtection="1">
      <alignment horizontal="left" vertical="top" wrapText="1" readingOrder="1"/>
      <protection locked="0"/>
    </xf>
    <xf numFmtId="0" fontId="2" fillId="4" borderId="27" xfId="0" applyFont="1" applyFill="1" applyBorder="1" applyAlignment="1" applyProtection="1">
      <alignment horizontal="left" vertical="top" wrapText="1" readingOrder="1"/>
      <protection locked="0"/>
    </xf>
    <xf numFmtId="0" fontId="2" fillId="3" borderId="19" xfId="0" applyFont="1" applyFill="1" applyBorder="1" applyAlignment="1" applyProtection="1">
      <alignment horizontal="left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C0E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9"/>
  <sheetViews>
    <sheetView showZeros="0" tabSelected="1" workbookViewId="0">
      <selection activeCell="I3" sqref="A3:XFD4"/>
    </sheetView>
  </sheetViews>
  <sheetFormatPr defaultRowHeight="15" x14ac:dyDescent="0.25"/>
  <cols>
    <col min="1" max="1" width="11.85546875" style="1" customWidth="1"/>
    <col min="2" max="2" width="30.42578125" style="1" customWidth="1"/>
    <col min="3" max="3" width="23.85546875" style="1" customWidth="1"/>
    <col min="4" max="4" width="13.5703125" style="1" customWidth="1"/>
    <col min="5" max="5" width="15.85546875" style="1" customWidth="1"/>
    <col min="6" max="6" width="12.7109375" style="1" customWidth="1"/>
    <col min="7" max="8" width="12.140625" style="1" customWidth="1"/>
    <col min="9" max="9" width="50.7109375" style="1" customWidth="1"/>
    <col min="10" max="10" width="7.42578125" style="1" customWidth="1"/>
    <col min="11" max="11" width="9.42578125" style="44" customWidth="1"/>
    <col min="12" max="12" width="8.5703125" style="44" customWidth="1"/>
    <col min="13" max="13" width="8.140625" style="44" customWidth="1"/>
  </cols>
  <sheetData>
    <row r="1" spans="1:13" s="2" customForma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75" thickBot="1" x14ac:dyDescent="0.3"/>
    <row r="3" spans="1:13" s="60" customFormat="1" x14ac:dyDescent="0.25">
      <c r="A3" s="72" t="s">
        <v>1</v>
      </c>
      <c r="B3" s="75" t="s">
        <v>2</v>
      </c>
      <c r="C3" s="75" t="s">
        <v>3</v>
      </c>
      <c r="D3" s="75" t="s">
        <v>4</v>
      </c>
      <c r="E3" s="75" t="s">
        <v>5</v>
      </c>
      <c r="F3" s="75" t="s">
        <v>6</v>
      </c>
      <c r="G3" s="75" t="s">
        <v>7</v>
      </c>
      <c r="H3" s="75" t="s">
        <v>8</v>
      </c>
      <c r="I3" s="75" t="s">
        <v>9</v>
      </c>
      <c r="J3" s="78"/>
      <c r="K3" s="78"/>
      <c r="L3" s="78"/>
      <c r="M3" s="79"/>
    </row>
    <row r="4" spans="1:13" s="60" customFormat="1" x14ac:dyDescent="0.25">
      <c r="A4" s="73"/>
      <c r="B4" s="76"/>
      <c r="C4" s="76"/>
      <c r="D4" s="76"/>
      <c r="E4" s="76"/>
      <c r="F4" s="76"/>
      <c r="G4" s="76"/>
      <c r="H4" s="76"/>
      <c r="I4" s="76" t="s">
        <v>10</v>
      </c>
      <c r="J4" s="76" t="s">
        <v>11</v>
      </c>
      <c r="K4" s="76" t="s">
        <v>12</v>
      </c>
      <c r="L4" s="80"/>
      <c r="M4" s="81"/>
    </row>
    <row r="5" spans="1:13" s="60" customFormat="1" ht="15.75" thickBot="1" x14ac:dyDescent="0.3">
      <c r="A5" s="74"/>
      <c r="B5" s="77"/>
      <c r="C5" s="77"/>
      <c r="D5" s="77"/>
      <c r="E5" s="77"/>
      <c r="F5" s="77"/>
      <c r="G5" s="77"/>
      <c r="H5" s="77"/>
      <c r="I5" s="77"/>
      <c r="J5" s="77"/>
      <c r="K5" s="61" t="s">
        <v>13</v>
      </c>
      <c r="L5" s="61" t="s">
        <v>14</v>
      </c>
      <c r="M5" s="62" t="s">
        <v>15</v>
      </c>
    </row>
    <row r="6" spans="1:13" ht="26.25" thickBot="1" x14ac:dyDescent="0.3">
      <c r="A6" s="4" t="s">
        <v>16</v>
      </c>
      <c r="B6" s="5" t="s">
        <v>17</v>
      </c>
      <c r="C6" s="91" t="s">
        <v>18</v>
      </c>
      <c r="D6" s="92"/>
      <c r="E6" s="93"/>
      <c r="F6" s="6">
        <f>SUM(F7:F7)</f>
        <v>1073</v>
      </c>
      <c r="G6" s="6">
        <f>SUM(G7:G7)</f>
        <v>914</v>
      </c>
      <c r="H6" s="6">
        <f>SUM(H7:H7)</f>
        <v>878</v>
      </c>
      <c r="I6" s="68"/>
      <c r="J6" s="69"/>
      <c r="K6" s="69"/>
      <c r="L6" s="69"/>
      <c r="M6" s="70"/>
    </row>
    <row r="7" spans="1:13" ht="26.25" thickBot="1" x14ac:dyDescent="0.3">
      <c r="A7" s="7" t="s">
        <v>20</v>
      </c>
      <c r="B7" s="94" t="s">
        <v>21</v>
      </c>
      <c r="C7" s="95"/>
      <c r="D7" s="95"/>
      <c r="E7" s="96"/>
      <c r="F7" s="9">
        <f>F8+F25+F36+F42</f>
        <v>1073</v>
      </c>
      <c r="G7" s="9">
        <f>G8+G25+G36+G42</f>
        <v>914</v>
      </c>
      <c r="H7" s="9">
        <f>H8+H25+H36+H42</f>
        <v>878</v>
      </c>
      <c r="I7" s="8" t="s">
        <v>22</v>
      </c>
      <c r="J7" s="10" t="s">
        <v>23</v>
      </c>
      <c r="K7" s="10">
        <v>113</v>
      </c>
      <c r="L7" s="10">
        <v>91</v>
      </c>
      <c r="M7" s="45">
        <v>89</v>
      </c>
    </row>
    <row r="8" spans="1:13" ht="27.75" customHeight="1" thickBot="1" x14ac:dyDescent="0.3">
      <c r="A8" s="11" t="s">
        <v>24</v>
      </c>
      <c r="B8" s="65" t="s">
        <v>25</v>
      </c>
      <c r="C8" s="66"/>
      <c r="D8" s="66"/>
      <c r="E8" s="67"/>
      <c r="F8" s="13">
        <f>F9+F11+F20+F22</f>
        <v>294</v>
      </c>
      <c r="G8" s="13">
        <f>G9+G11+G20+G22</f>
        <v>375</v>
      </c>
      <c r="H8" s="13">
        <f>H9+H11+H20+H22</f>
        <v>335</v>
      </c>
      <c r="I8" s="97"/>
      <c r="J8" s="98"/>
      <c r="K8" s="98"/>
      <c r="L8" s="98"/>
      <c r="M8" s="99"/>
    </row>
    <row r="9" spans="1:13" x14ac:dyDescent="0.25">
      <c r="A9" s="85" t="s">
        <v>26</v>
      </c>
      <c r="B9" s="88" t="s">
        <v>27</v>
      </c>
      <c r="C9" s="88" t="s">
        <v>18</v>
      </c>
      <c r="D9" s="17"/>
      <c r="E9" s="17"/>
      <c r="F9" s="18">
        <f>SUM(F10:F10)</f>
        <v>153</v>
      </c>
      <c r="G9" s="18">
        <f>SUM(G10:G10)</f>
        <v>100</v>
      </c>
      <c r="H9" s="18">
        <f>SUM(H10:H10)</f>
        <v>60</v>
      </c>
      <c r="I9" s="17" t="s">
        <v>28</v>
      </c>
      <c r="J9" s="19" t="s">
        <v>19</v>
      </c>
      <c r="K9" s="19">
        <v>100</v>
      </c>
      <c r="L9" s="19">
        <v>100</v>
      </c>
      <c r="M9" s="40">
        <v>100</v>
      </c>
    </row>
    <row r="10" spans="1:13" ht="64.5" thickBot="1" x14ac:dyDescent="0.3">
      <c r="A10" s="87"/>
      <c r="B10" s="90"/>
      <c r="C10" s="90"/>
      <c r="D10" s="21" t="s">
        <v>29</v>
      </c>
      <c r="E10" s="21"/>
      <c r="F10" s="22">
        <v>153</v>
      </c>
      <c r="G10" s="22">
        <v>100</v>
      </c>
      <c r="H10" s="22">
        <v>60</v>
      </c>
      <c r="I10" s="21" t="s">
        <v>30</v>
      </c>
      <c r="J10" s="23" t="s">
        <v>23</v>
      </c>
      <c r="K10" s="23">
        <v>1</v>
      </c>
      <c r="L10" s="23"/>
      <c r="M10" s="41"/>
    </row>
    <row r="11" spans="1:13" x14ac:dyDescent="0.25">
      <c r="A11" s="85" t="s">
        <v>31</v>
      </c>
      <c r="B11" s="88" t="s">
        <v>32</v>
      </c>
      <c r="C11" s="88" t="s">
        <v>18</v>
      </c>
      <c r="D11" s="17"/>
      <c r="E11" s="17"/>
      <c r="F11" s="18">
        <f>SUM(F12:F19)</f>
        <v>70</v>
      </c>
      <c r="G11" s="18">
        <f>SUM(G12:G19)</f>
        <v>220</v>
      </c>
      <c r="H11" s="18">
        <f>SUM(H12:H19)</f>
        <v>220</v>
      </c>
      <c r="I11" s="17" t="s">
        <v>33</v>
      </c>
      <c r="J11" s="19" t="s">
        <v>23</v>
      </c>
      <c r="K11" s="19">
        <v>1</v>
      </c>
      <c r="L11" s="19">
        <v>8</v>
      </c>
      <c r="M11" s="40">
        <v>8</v>
      </c>
    </row>
    <row r="12" spans="1:13" ht="25.5" x14ac:dyDescent="0.25">
      <c r="A12" s="86"/>
      <c r="B12" s="89"/>
      <c r="C12" s="89"/>
      <c r="D12" s="21" t="s">
        <v>29</v>
      </c>
      <c r="E12" s="21"/>
      <c r="F12" s="22">
        <v>0</v>
      </c>
      <c r="G12" s="22">
        <v>220</v>
      </c>
      <c r="H12" s="22">
        <v>220</v>
      </c>
      <c r="I12" s="21" t="s">
        <v>34</v>
      </c>
      <c r="J12" s="23" t="s">
        <v>23</v>
      </c>
      <c r="K12" s="23">
        <v>1</v>
      </c>
      <c r="L12" s="23"/>
      <c r="M12" s="41"/>
    </row>
    <row r="13" spans="1:13" ht="38.25" x14ac:dyDescent="0.25">
      <c r="A13" s="86"/>
      <c r="B13" s="89"/>
      <c r="C13" s="89"/>
      <c r="D13" s="21" t="s">
        <v>35</v>
      </c>
      <c r="E13" s="21"/>
      <c r="F13" s="22">
        <v>70</v>
      </c>
      <c r="G13" s="22">
        <v>0</v>
      </c>
      <c r="H13" s="22">
        <v>0</v>
      </c>
      <c r="I13" s="21" t="s">
        <v>36</v>
      </c>
      <c r="J13" s="23" t="s">
        <v>23</v>
      </c>
      <c r="K13" s="23">
        <v>1</v>
      </c>
      <c r="L13" s="23"/>
      <c r="M13" s="41"/>
    </row>
    <row r="14" spans="1:13" x14ac:dyDescent="0.25">
      <c r="A14" s="86"/>
      <c r="B14" s="89"/>
      <c r="C14" s="89"/>
      <c r="D14" s="21"/>
      <c r="E14" s="21"/>
      <c r="F14" s="22">
        <v>0</v>
      </c>
      <c r="G14" s="22">
        <v>0</v>
      </c>
      <c r="H14" s="22">
        <v>0</v>
      </c>
      <c r="I14" s="21" t="s">
        <v>37</v>
      </c>
      <c r="J14" s="23" t="s">
        <v>23</v>
      </c>
      <c r="K14" s="23">
        <v>1</v>
      </c>
      <c r="L14" s="23"/>
      <c r="M14" s="41"/>
    </row>
    <row r="15" spans="1:13" ht="25.5" x14ac:dyDescent="0.25">
      <c r="A15" s="86"/>
      <c r="B15" s="89"/>
      <c r="C15" s="89"/>
      <c r="D15" s="21"/>
      <c r="E15" s="21"/>
      <c r="F15" s="22">
        <v>0</v>
      </c>
      <c r="G15" s="22">
        <v>0</v>
      </c>
      <c r="H15" s="22">
        <v>0</v>
      </c>
      <c r="I15" s="21" t="s">
        <v>38</v>
      </c>
      <c r="J15" s="23" t="s">
        <v>23</v>
      </c>
      <c r="K15" s="23">
        <v>1</v>
      </c>
      <c r="L15" s="23"/>
      <c r="M15" s="41"/>
    </row>
    <row r="16" spans="1:13" ht="25.5" x14ac:dyDescent="0.25">
      <c r="A16" s="86"/>
      <c r="B16" s="89"/>
      <c r="C16" s="89"/>
      <c r="D16" s="21"/>
      <c r="E16" s="21"/>
      <c r="F16" s="22">
        <v>0</v>
      </c>
      <c r="G16" s="22">
        <v>0</v>
      </c>
      <c r="H16" s="22">
        <v>0</v>
      </c>
      <c r="I16" s="21" t="s">
        <v>39</v>
      </c>
      <c r="J16" s="23" t="s">
        <v>19</v>
      </c>
      <c r="K16" s="23">
        <v>100</v>
      </c>
      <c r="L16" s="23">
        <v>100</v>
      </c>
      <c r="M16" s="41"/>
    </row>
    <row r="17" spans="1:13" ht="25.5" x14ac:dyDescent="0.25">
      <c r="A17" s="86"/>
      <c r="B17" s="89"/>
      <c r="C17" s="89"/>
      <c r="D17" s="21"/>
      <c r="E17" s="21"/>
      <c r="F17" s="22">
        <v>0</v>
      </c>
      <c r="G17" s="22">
        <v>0</v>
      </c>
      <c r="H17" s="22">
        <v>0</v>
      </c>
      <c r="I17" s="21" t="s">
        <v>40</v>
      </c>
      <c r="J17" s="23" t="s">
        <v>23</v>
      </c>
      <c r="K17" s="23">
        <v>1</v>
      </c>
      <c r="L17" s="23"/>
      <c r="M17" s="41"/>
    </row>
    <row r="18" spans="1:13" ht="25.5" x14ac:dyDescent="0.25">
      <c r="A18" s="86"/>
      <c r="B18" s="89"/>
      <c r="C18" s="89"/>
      <c r="D18" s="21"/>
      <c r="E18" s="21"/>
      <c r="F18" s="22">
        <v>0</v>
      </c>
      <c r="G18" s="22">
        <v>0</v>
      </c>
      <c r="H18" s="22">
        <v>0</v>
      </c>
      <c r="I18" s="21" t="s">
        <v>41</v>
      </c>
      <c r="J18" s="23" t="s">
        <v>23</v>
      </c>
      <c r="K18" s="23">
        <v>1</v>
      </c>
      <c r="L18" s="23"/>
      <c r="M18" s="41"/>
    </row>
    <row r="19" spans="1:13" ht="26.25" thickBot="1" x14ac:dyDescent="0.3">
      <c r="A19" s="87"/>
      <c r="B19" s="90"/>
      <c r="C19" s="90"/>
      <c r="D19" s="21"/>
      <c r="E19" s="21"/>
      <c r="F19" s="22">
        <v>0</v>
      </c>
      <c r="G19" s="22">
        <v>0</v>
      </c>
      <c r="H19" s="22">
        <v>0</v>
      </c>
      <c r="I19" s="21" t="s">
        <v>42</v>
      </c>
      <c r="J19" s="23" t="s">
        <v>19</v>
      </c>
      <c r="K19" s="23">
        <v>100</v>
      </c>
      <c r="L19" s="23">
        <v>100</v>
      </c>
      <c r="M19" s="41">
        <v>0</v>
      </c>
    </row>
    <row r="20" spans="1:13" ht="29.25" customHeight="1" x14ac:dyDescent="0.25">
      <c r="A20" s="85" t="s">
        <v>43</v>
      </c>
      <c r="B20" s="88" t="s">
        <v>44</v>
      </c>
      <c r="C20" s="88" t="s">
        <v>18</v>
      </c>
      <c r="D20" s="17" t="s">
        <v>29</v>
      </c>
      <c r="E20" s="17"/>
      <c r="F20" s="18">
        <f>SUM(F21:F21)+26</f>
        <v>26</v>
      </c>
      <c r="G20" s="18">
        <f>SUM(G21:G21)+5</f>
        <v>5</v>
      </c>
      <c r="H20" s="18">
        <f>SUM(H21:H21)+5</f>
        <v>5</v>
      </c>
      <c r="I20" s="17" t="s">
        <v>45</v>
      </c>
      <c r="J20" s="19" t="s">
        <v>23</v>
      </c>
      <c r="K20" s="19">
        <v>1</v>
      </c>
      <c r="L20" s="19"/>
      <c r="M20" s="40"/>
    </row>
    <row r="21" spans="1:13" ht="15.75" thickBot="1" x14ac:dyDescent="0.3">
      <c r="A21" s="87"/>
      <c r="B21" s="90"/>
      <c r="C21" s="90"/>
      <c r="D21" s="21"/>
      <c r="E21" s="21"/>
      <c r="F21" s="22">
        <v>0</v>
      </c>
      <c r="G21" s="22">
        <v>0</v>
      </c>
      <c r="H21" s="22">
        <v>0</v>
      </c>
      <c r="I21" s="21" t="s">
        <v>46</v>
      </c>
      <c r="J21" s="23" t="s">
        <v>23</v>
      </c>
      <c r="K21" s="23">
        <v>1</v>
      </c>
      <c r="L21" s="23">
        <v>1</v>
      </c>
      <c r="M21" s="41">
        <v>1</v>
      </c>
    </row>
    <row r="22" spans="1:13" ht="27" customHeight="1" x14ac:dyDescent="0.25">
      <c r="A22" s="85" t="s">
        <v>47</v>
      </c>
      <c r="B22" s="88" t="s">
        <v>48</v>
      </c>
      <c r="C22" s="88" t="s">
        <v>18</v>
      </c>
      <c r="D22" s="17"/>
      <c r="E22" s="17"/>
      <c r="F22" s="18">
        <f>SUM(F23:F24)</f>
        <v>45</v>
      </c>
      <c r="G22" s="18">
        <f>SUM(G23:G24)</f>
        <v>50</v>
      </c>
      <c r="H22" s="18">
        <f>SUM(H23:H24)</f>
        <v>50</v>
      </c>
      <c r="I22" s="17" t="s">
        <v>49</v>
      </c>
      <c r="J22" s="19" t="s">
        <v>23</v>
      </c>
      <c r="K22" s="19">
        <v>100</v>
      </c>
      <c r="L22" s="19">
        <v>80</v>
      </c>
      <c r="M22" s="40">
        <v>80</v>
      </c>
    </row>
    <row r="23" spans="1:13" x14ac:dyDescent="0.25">
      <c r="A23" s="86"/>
      <c r="B23" s="89"/>
      <c r="C23" s="89"/>
      <c r="D23" s="21" t="s">
        <v>29</v>
      </c>
      <c r="E23" s="21"/>
      <c r="F23" s="22">
        <v>15</v>
      </c>
      <c r="G23" s="22">
        <v>50</v>
      </c>
      <c r="H23" s="22">
        <v>50</v>
      </c>
      <c r="I23" s="21"/>
      <c r="J23" s="23"/>
      <c r="K23" s="23"/>
      <c r="L23" s="23"/>
      <c r="M23" s="41"/>
    </row>
    <row r="24" spans="1:13" ht="15.75" thickBot="1" x14ac:dyDescent="0.3">
      <c r="A24" s="87"/>
      <c r="B24" s="90"/>
      <c r="C24" s="90"/>
      <c r="D24" s="21" t="s">
        <v>35</v>
      </c>
      <c r="E24" s="21"/>
      <c r="F24" s="22">
        <v>30</v>
      </c>
      <c r="G24" s="22">
        <v>0</v>
      </c>
      <c r="H24" s="22">
        <v>0</v>
      </c>
      <c r="I24" s="21"/>
      <c r="J24" s="23"/>
      <c r="K24" s="23"/>
      <c r="L24" s="23"/>
      <c r="M24" s="41"/>
    </row>
    <row r="25" spans="1:13" ht="27.75" customHeight="1" thickBot="1" x14ac:dyDescent="0.3">
      <c r="A25" s="11" t="s">
        <v>50</v>
      </c>
      <c r="B25" s="65" t="s">
        <v>51</v>
      </c>
      <c r="C25" s="66"/>
      <c r="D25" s="66"/>
      <c r="E25" s="67"/>
      <c r="F25" s="13">
        <f>F26+F32+F33</f>
        <v>616</v>
      </c>
      <c r="G25" s="13">
        <f>G26+G32+G33</f>
        <v>481</v>
      </c>
      <c r="H25" s="13">
        <f>H26+H32+H33</f>
        <v>480</v>
      </c>
      <c r="I25" s="82"/>
      <c r="J25" s="83"/>
      <c r="K25" s="83"/>
      <c r="L25" s="83"/>
      <c r="M25" s="84"/>
    </row>
    <row r="26" spans="1:13" x14ac:dyDescent="0.25">
      <c r="A26" s="85" t="s">
        <v>52</v>
      </c>
      <c r="B26" s="88" t="s">
        <v>53</v>
      </c>
      <c r="C26" s="88" t="s">
        <v>18</v>
      </c>
      <c r="D26" s="17" t="s">
        <v>29</v>
      </c>
      <c r="E26" s="17"/>
      <c r="F26" s="18">
        <f>SUM(F27:F31)+200</f>
        <v>200</v>
      </c>
      <c r="G26" s="18">
        <f>SUM(G27:G31)+10</f>
        <v>10</v>
      </c>
      <c r="H26" s="18">
        <f>SUM(H27:H31)+10</f>
        <v>10</v>
      </c>
      <c r="I26" s="17" t="s">
        <v>54</v>
      </c>
      <c r="J26" s="19" t="s">
        <v>19</v>
      </c>
      <c r="K26" s="19">
        <v>100</v>
      </c>
      <c r="L26" s="19">
        <v>100</v>
      </c>
      <c r="M26" s="40"/>
    </row>
    <row r="27" spans="1:13" x14ac:dyDescent="0.25">
      <c r="A27" s="86"/>
      <c r="B27" s="89"/>
      <c r="C27" s="89"/>
      <c r="D27" s="21"/>
      <c r="E27" s="21"/>
      <c r="F27" s="22">
        <v>0</v>
      </c>
      <c r="G27" s="22">
        <v>0</v>
      </c>
      <c r="H27" s="22">
        <v>0</v>
      </c>
      <c r="I27" s="21" t="s">
        <v>55</v>
      </c>
      <c r="J27" s="23" t="s">
        <v>23</v>
      </c>
      <c r="K27" s="23">
        <v>1</v>
      </c>
      <c r="L27" s="23"/>
      <c r="M27" s="41"/>
    </row>
    <row r="28" spans="1:13" ht="25.5" x14ac:dyDescent="0.25">
      <c r="A28" s="86"/>
      <c r="B28" s="89"/>
      <c r="C28" s="89"/>
      <c r="D28" s="21"/>
      <c r="E28" s="21"/>
      <c r="F28" s="22">
        <v>0</v>
      </c>
      <c r="G28" s="22">
        <v>0</v>
      </c>
      <c r="H28" s="22">
        <v>0</v>
      </c>
      <c r="I28" s="21" t="s">
        <v>56</v>
      </c>
      <c r="J28" s="23" t="s">
        <v>23</v>
      </c>
      <c r="K28" s="23">
        <v>1</v>
      </c>
      <c r="L28" s="23"/>
      <c r="M28" s="41"/>
    </row>
    <row r="29" spans="1:13" ht="25.5" x14ac:dyDescent="0.25">
      <c r="A29" s="86"/>
      <c r="B29" s="89"/>
      <c r="C29" s="89"/>
      <c r="D29" s="21"/>
      <c r="E29" s="21"/>
      <c r="F29" s="22">
        <v>0</v>
      </c>
      <c r="G29" s="22">
        <v>0</v>
      </c>
      <c r="H29" s="22">
        <v>0</v>
      </c>
      <c r="I29" s="21" t="s">
        <v>57</v>
      </c>
      <c r="J29" s="23" t="s">
        <v>19</v>
      </c>
      <c r="K29" s="23">
        <v>100</v>
      </c>
      <c r="L29" s="23">
        <v>100</v>
      </c>
      <c r="M29" s="41"/>
    </row>
    <row r="30" spans="1:13" ht="51" x14ac:dyDescent="0.25">
      <c r="A30" s="86"/>
      <c r="B30" s="89"/>
      <c r="C30" s="89"/>
      <c r="D30" s="21"/>
      <c r="E30" s="21"/>
      <c r="F30" s="22">
        <v>0</v>
      </c>
      <c r="G30" s="22">
        <v>0</v>
      </c>
      <c r="H30" s="22">
        <v>0</v>
      </c>
      <c r="I30" s="21" t="s">
        <v>58</v>
      </c>
      <c r="J30" s="23" t="s">
        <v>23</v>
      </c>
      <c r="K30" s="23">
        <v>1</v>
      </c>
      <c r="L30" s="23"/>
      <c r="M30" s="41"/>
    </row>
    <row r="31" spans="1:13" ht="17.25" customHeight="1" thickBot="1" x14ac:dyDescent="0.3">
      <c r="A31" s="87"/>
      <c r="B31" s="90"/>
      <c r="C31" s="90"/>
      <c r="D31" s="21"/>
      <c r="E31" s="21"/>
      <c r="F31" s="22">
        <v>0</v>
      </c>
      <c r="G31" s="22">
        <v>0</v>
      </c>
      <c r="H31" s="22">
        <v>0</v>
      </c>
      <c r="I31" s="21" t="s">
        <v>59</v>
      </c>
      <c r="J31" s="23" t="s">
        <v>23</v>
      </c>
      <c r="K31" s="23"/>
      <c r="L31" s="23">
        <v>1</v>
      </c>
      <c r="M31" s="41">
        <v>1</v>
      </c>
    </row>
    <row r="32" spans="1:13" ht="64.5" thickBot="1" x14ac:dyDescent="0.3">
      <c r="A32" s="15" t="s">
        <v>60</v>
      </c>
      <c r="B32" s="16" t="s">
        <v>61</v>
      </c>
      <c r="C32" s="17" t="s">
        <v>18</v>
      </c>
      <c r="D32" s="17" t="s">
        <v>29</v>
      </c>
      <c r="E32" s="17"/>
      <c r="F32" s="24">
        <v>1</v>
      </c>
      <c r="G32" s="24">
        <v>1</v>
      </c>
      <c r="H32" s="24">
        <v>0</v>
      </c>
      <c r="I32" s="17" t="s">
        <v>62</v>
      </c>
      <c r="J32" s="19" t="s">
        <v>23</v>
      </c>
      <c r="K32" s="19">
        <v>1</v>
      </c>
      <c r="L32" s="19">
        <v>1</v>
      </c>
      <c r="M32" s="40">
        <v>0</v>
      </c>
    </row>
    <row r="33" spans="1:13" ht="27.75" customHeight="1" x14ac:dyDescent="0.25">
      <c r="A33" s="85" t="s">
        <v>63</v>
      </c>
      <c r="B33" s="88" t="s">
        <v>64</v>
      </c>
      <c r="C33" s="88" t="s">
        <v>65</v>
      </c>
      <c r="D33" s="17" t="s">
        <v>29</v>
      </c>
      <c r="E33" s="17"/>
      <c r="F33" s="18">
        <f>SUM(F34:F35)+415</f>
        <v>415</v>
      </c>
      <c r="G33" s="18">
        <f>SUM(G34:G35)+470</f>
        <v>470</v>
      </c>
      <c r="H33" s="18">
        <f>SUM(H34:H35)+470</f>
        <v>470</v>
      </c>
      <c r="I33" s="17" t="s">
        <v>66</v>
      </c>
      <c r="J33" s="19" t="s">
        <v>23</v>
      </c>
      <c r="K33" s="19">
        <v>5</v>
      </c>
      <c r="L33" s="19">
        <v>5</v>
      </c>
      <c r="M33" s="40">
        <v>5</v>
      </c>
    </row>
    <row r="34" spans="1:13" ht="25.5" x14ac:dyDescent="0.25">
      <c r="A34" s="86"/>
      <c r="B34" s="89"/>
      <c r="C34" s="89"/>
      <c r="D34" s="21"/>
      <c r="E34" s="21"/>
      <c r="F34" s="22">
        <v>0</v>
      </c>
      <c r="G34" s="22">
        <v>0</v>
      </c>
      <c r="H34" s="22">
        <v>0</v>
      </c>
      <c r="I34" s="21" t="s">
        <v>67</v>
      </c>
      <c r="J34" s="23" t="s">
        <v>19</v>
      </c>
      <c r="K34" s="23">
        <v>100</v>
      </c>
      <c r="L34" s="23">
        <v>100</v>
      </c>
      <c r="M34" s="41">
        <v>100</v>
      </c>
    </row>
    <row r="35" spans="1:13" ht="19.5" customHeight="1" thickBot="1" x14ac:dyDescent="0.3">
      <c r="A35" s="87"/>
      <c r="B35" s="90"/>
      <c r="C35" s="90"/>
      <c r="D35" s="21"/>
      <c r="E35" s="21"/>
      <c r="F35" s="22">
        <v>0</v>
      </c>
      <c r="G35" s="22">
        <v>0</v>
      </c>
      <c r="H35" s="22">
        <v>0</v>
      </c>
      <c r="I35" s="21" t="s">
        <v>68</v>
      </c>
      <c r="J35" s="23" t="s">
        <v>23</v>
      </c>
      <c r="K35" s="23">
        <v>10</v>
      </c>
      <c r="L35" s="23">
        <v>10</v>
      </c>
      <c r="M35" s="41">
        <v>10</v>
      </c>
    </row>
    <row r="36" spans="1:13" ht="26.25" customHeight="1" thickBot="1" x14ac:dyDescent="0.3">
      <c r="A36" s="11" t="s">
        <v>69</v>
      </c>
      <c r="B36" s="65" t="s">
        <v>70</v>
      </c>
      <c r="C36" s="66"/>
      <c r="D36" s="66"/>
      <c r="E36" s="67"/>
      <c r="F36" s="13">
        <f>F37+F41</f>
        <v>140</v>
      </c>
      <c r="G36" s="13">
        <f>G37+G41</f>
        <v>35</v>
      </c>
      <c r="H36" s="13">
        <f>H37+H41</f>
        <v>35</v>
      </c>
      <c r="I36" s="82"/>
      <c r="J36" s="83"/>
      <c r="K36" s="83"/>
      <c r="L36" s="83"/>
      <c r="M36" s="84"/>
    </row>
    <row r="37" spans="1:13" ht="25.5" customHeight="1" x14ac:dyDescent="0.25">
      <c r="A37" s="85" t="s">
        <v>71</v>
      </c>
      <c r="B37" s="88" t="s">
        <v>72</v>
      </c>
      <c r="C37" s="88" t="s">
        <v>18</v>
      </c>
      <c r="D37" s="17" t="s">
        <v>29</v>
      </c>
      <c r="E37" s="17"/>
      <c r="F37" s="18">
        <f>SUM(F38:F40)+130</f>
        <v>130</v>
      </c>
      <c r="G37" s="18">
        <f>SUM(G38:G40)+30</f>
        <v>30</v>
      </c>
      <c r="H37" s="18">
        <f>SUM(H38:H40)+30</f>
        <v>30</v>
      </c>
      <c r="I37" s="17" t="s">
        <v>73</v>
      </c>
      <c r="J37" s="19" t="s">
        <v>23</v>
      </c>
      <c r="K37" s="19">
        <v>1</v>
      </c>
      <c r="L37" s="19">
        <v>1</v>
      </c>
      <c r="M37" s="40">
        <v>1</v>
      </c>
    </row>
    <row r="38" spans="1:13" ht="38.25" x14ac:dyDescent="0.25">
      <c r="A38" s="86"/>
      <c r="B38" s="89"/>
      <c r="C38" s="89"/>
      <c r="D38" s="21"/>
      <c r="E38" s="21"/>
      <c r="F38" s="22">
        <v>0</v>
      </c>
      <c r="G38" s="22">
        <v>0</v>
      </c>
      <c r="H38" s="22">
        <v>0</v>
      </c>
      <c r="I38" s="21" t="s">
        <v>74</v>
      </c>
      <c r="J38" s="23" t="s">
        <v>23</v>
      </c>
      <c r="K38" s="23">
        <v>1</v>
      </c>
      <c r="L38" s="23"/>
      <c r="M38" s="41"/>
    </row>
    <row r="39" spans="1:13" ht="38.25" x14ac:dyDescent="0.25">
      <c r="A39" s="86"/>
      <c r="B39" s="89"/>
      <c r="C39" s="89"/>
      <c r="D39" s="21"/>
      <c r="E39" s="21"/>
      <c r="F39" s="22">
        <v>0</v>
      </c>
      <c r="G39" s="22">
        <v>0</v>
      </c>
      <c r="H39" s="22">
        <v>0</v>
      </c>
      <c r="I39" s="21" t="s">
        <v>75</v>
      </c>
      <c r="J39" s="23" t="s">
        <v>23</v>
      </c>
      <c r="K39" s="23">
        <v>1</v>
      </c>
      <c r="L39" s="23"/>
      <c r="M39" s="41"/>
    </row>
    <row r="40" spans="1:13" ht="26.25" thickBot="1" x14ac:dyDescent="0.3">
      <c r="A40" s="87"/>
      <c r="B40" s="90"/>
      <c r="C40" s="90"/>
      <c r="D40" s="21"/>
      <c r="E40" s="21"/>
      <c r="F40" s="22">
        <v>0</v>
      </c>
      <c r="G40" s="22">
        <v>0</v>
      </c>
      <c r="H40" s="22">
        <v>0</v>
      </c>
      <c r="I40" s="21" t="s">
        <v>76</v>
      </c>
      <c r="J40" s="23" t="s">
        <v>23</v>
      </c>
      <c r="K40" s="23">
        <v>1</v>
      </c>
      <c r="L40" s="23"/>
      <c r="M40" s="41"/>
    </row>
    <row r="41" spans="1:13" ht="26.25" thickBot="1" x14ac:dyDescent="0.3">
      <c r="A41" s="15" t="s">
        <v>77</v>
      </c>
      <c r="B41" s="16" t="s">
        <v>78</v>
      </c>
      <c r="C41" s="17" t="s">
        <v>18</v>
      </c>
      <c r="D41" s="17" t="s">
        <v>29</v>
      </c>
      <c r="E41" s="17"/>
      <c r="F41" s="24">
        <v>10</v>
      </c>
      <c r="G41" s="24">
        <v>5</v>
      </c>
      <c r="H41" s="24">
        <v>5</v>
      </c>
      <c r="I41" s="17" t="s">
        <v>79</v>
      </c>
      <c r="J41" s="19" t="s">
        <v>23</v>
      </c>
      <c r="K41" s="19">
        <v>2</v>
      </c>
      <c r="L41" s="19">
        <v>1</v>
      </c>
      <c r="M41" s="40">
        <v>1</v>
      </c>
    </row>
    <row r="42" spans="1:13" ht="26.25" customHeight="1" thickBot="1" x14ac:dyDescent="0.3">
      <c r="A42" s="11" t="s">
        <v>80</v>
      </c>
      <c r="B42" s="65" t="s">
        <v>81</v>
      </c>
      <c r="C42" s="66"/>
      <c r="D42" s="66"/>
      <c r="E42" s="67"/>
      <c r="F42" s="13">
        <f>SUM(F43:F44)</f>
        <v>23</v>
      </c>
      <c r="G42" s="13">
        <f>SUM(G43:G44)</f>
        <v>23</v>
      </c>
      <c r="H42" s="13">
        <f>SUM(H43:H44)</f>
        <v>28</v>
      </c>
      <c r="I42" s="82"/>
      <c r="J42" s="83"/>
      <c r="K42" s="83"/>
      <c r="L42" s="83"/>
      <c r="M42" s="84"/>
    </row>
    <row r="43" spans="1:13" ht="40.5" customHeight="1" thickBot="1" x14ac:dyDescent="0.3">
      <c r="A43" s="15" t="s">
        <v>82</v>
      </c>
      <c r="B43" s="16" t="s">
        <v>83</v>
      </c>
      <c r="C43" s="17" t="s">
        <v>18</v>
      </c>
      <c r="D43" s="17" t="s">
        <v>29</v>
      </c>
      <c r="E43" s="17"/>
      <c r="F43" s="24">
        <v>13</v>
      </c>
      <c r="G43" s="24">
        <v>13</v>
      </c>
      <c r="H43" s="24">
        <v>13</v>
      </c>
      <c r="I43" s="17" t="s">
        <v>84</v>
      </c>
      <c r="J43" s="19" t="s">
        <v>23</v>
      </c>
      <c r="K43" s="19">
        <v>2</v>
      </c>
      <c r="L43" s="19">
        <v>2</v>
      </c>
      <c r="M43" s="40">
        <v>2</v>
      </c>
    </row>
    <row r="44" spans="1:13" ht="39" thickBot="1" x14ac:dyDescent="0.3">
      <c r="A44" s="15" t="s">
        <v>85</v>
      </c>
      <c r="B44" s="16" t="s">
        <v>86</v>
      </c>
      <c r="C44" s="17" t="s">
        <v>18</v>
      </c>
      <c r="D44" s="17" t="s">
        <v>29</v>
      </c>
      <c r="E44" s="17"/>
      <c r="F44" s="24">
        <v>10</v>
      </c>
      <c r="G44" s="24">
        <v>10</v>
      </c>
      <c r="H44" s="24">
        <v>15</v>
      </c>
      <c r="I44" s="17" t="s">
        <v>87</v>
      </c>
      <c r="J44" s="19" t="s">
        <v>23</v>
      </c>
      <c r="K44" s="19">
        <v>6</v>
      </c>
      <c r="L44" s="19">
        <v>6</v>
      </c>
      <c r="M44" s="40">
        <v>6</v>
      </c>
    </row>
    <row r="45" spans="1:13" ht="26.25" customHeight="1" thickBot="1" x14ac:dyDescent="0.3">
      <c r="A45" s="4" t="s">
        <v>88</v>
      </c>
      <c r="B45" s="5" t="s">
        <v>89</v>
      </c>
      <c r="C45" s="91" t="s">
        <v>90</v>
      </c>
      <c r="D45" s="92"/>
      <c r="E45" s="93"/>
      <c r="F45" s="6">
        <f>F46+F85</f>
        <v>10671.9</v>
      </c>
      <c r="G45" s="6">
        <f>G46+G85</f>
        <v>6237.0999999999995</v>
      </c>
      <c r="H45" s="6">
        <f>H46+H85</f>
        <v>6279.1999999999989</v>
      </c>
      <c r="I45" s="68"/>
      <c r="J45" s="69"/>
      <c r="K45" s="69"/>
      <c r="L45" s="69"/>
      <c r="M45" s="70"/>
    </row>
    <row r="46" spans="1:13" x14ac:dyDescent="0.25">
      <c r="A46" s="100" t="s">
        <v>91</v>
      </c>
      <c r="B46" s="103" t="s">
        <v>92</v>
      </c>
      <c r="C46" s="104"/>
      <c r="D46" s="104"/>
      <c r="E46" s="105"/>
      <c r="F46" s="9">
        <f>F47+F48+F49+F56</f>
        <v>10215.1</v>
      </c>
      <c r="G46" s="9">
        <f>G47+G48+G49+G56</f>
        <v>6053.0999999999995</v>
      </c>
      <c r="H46" s="9">
        <f>H47+H48+H49+H56</f>
        <v>6077.9999999999991</v>
      </c>
      <c r="I46" s="8" t="s">
        <v>93</v>
      </c>
      <c r="J46" s="10" t="s">
        <v>19</v>
      </c>
      <c r="K46" s="10">
        <v>3</v>
      </c>
      <c r="L46" s="10">
        <v>3</v>
      </c>
      <c r="M46" s="45">
        <v>3</v>
      </c>
    </row>
    <row r="47" spans="1:13" x14ac:dyDescent="0.25">
      <c r="A47" s="101"/>
      <c r="B47" s="106"/>
      <c r="C47" s="107"/>
      <c r="D47" s="107"/>
      <c r="E47" s="108"/>
      <c r="F47" s="36">
        <v>0</v>
      </c>
      <c r="G47" s="36">
        <v>0</v>
      </c>
      <c r="H47" s="36">
        <v>0</v>
      </c>
      <c r="I47" s="37" t="s">
        <v>94</v>
      </c>
      <c r="J47" s="38" t="s">
        <v>19</v>
      </c>
      <c r="K47" s="38">
        <v>3</v>
      </c>
      <c r="L47" s="38">
        <v>3</v>
      </c>
      <c r="M47" s="42">
        <v>3</v>
      </c>
    </row>
    <row r="48" spans="1:13" ht="15.75" thickBot="1" x14ac:dyDescent="0.3">
      <c r="A48" s="102"/>
      <c r="B48" s="109"/>
      <c r="C48" s="110"/>
      <c r="D48" s="110"/>
      <c r="E48" s="111"/>
      <c r="F48" s="36">
        <v>0</v>
      </c>
      <c r="G48" s="36">
        <v>0</v>
      </c>
      <c r="H48" s="36">
        <v>0</v>
      </c>
      <c r="I48" s="37" t="s">
        <v>95</v>
      </c>
      <c r="J48" s="38" t="s">
        <v>23</v>
      </c>
      <c r="K48" s="38">
        <v>5</v>
      </c>
      <c r="L48" s="38"/>
      <c r="M48" s="42"/>
    </row>
    <row r="49" spans="1:13" ht="29.25" customHeight="1" thickBot="1" x14ac:dyDescent="0.3">
      <c r="A49" s="11" t="s">
        <v>96</v>
      </c>
      <c r="B49" s="65" t="s">
        <v>97</v>
      </c>
      <c r="C49" s="66"/>
      <c r="D49" s="66"/>
      <c r="E49" s="67"/>
      <c r="F49" s="13">
        <f>SUM(F50:F53)</f>
        <v>771.5</v>
      </c>
      <c r="G49" s="13">
        <f>SUM(G50:G53)</f>
        <v>642</v>
      </c>
      <c r="H49" s="13">
        <f>SUM(H50:H53)</f>
        <v>642</v>
      </c>
      <c r="I49" s="82"/>
      <c r="J49" s="83"/>
      <c r="K49" s="83"/>
      <c r="L49" s="83"/>
      <c r="M49" s="84"/>
    </row>
    <row r="50" spans="1:13" ht="39" thickBot="1" x14ac:dyDescent="0.3">
      <c r="A50" s="15" t="s">
        <v>98</v>
      </c>
      <c r="B50" s="16" t="s">
        <v>99</v>
      </c>
      <c r="C50" s="17" t="s">
        <v>90</v>
      </c>
      <c r="D50" s="17" t="s">
        <v>29</v>
      </c>
      <c r="E50" s="17"/>
      <c r="F50" s="24">
        <v>60</v>
      </c>
      <c r="G50" s="24">
        <v>60</v>
      </c>
      <c r="H50" s="24">
        <v>60</v>
      </c>
      <c r="I50" s="17" t="s">
        <v>100</v>
      </c>
      <c r="J50" s="19" t="s">
        <v>23</v>
      </c>
      <c r="K50" s="19">
        <v>35</v>
      </c>
      <c r="L50" s="19">
        <v>35</v>
      </c>
      <c r="M50" s="40">
        <v>35</v>
      </c>
    </row>
    <row r="51" spans="1:13" x14ac:dyDescent="0.25">
      <c r="A51" s="15" t="s">
        <v>101</v>
      </c>
      <c r="B51" s="16" t="s">
        <v>102</v>
      </c>
      <c r="C51" s="17" t="s">
        <v>90</v>
      </c>
      <c r="D51" s="17" t="s">
        <v>29</v>
      </c>
      <c r="E51" s="17"/>
      <c r="F51" s="24">
        <v>26.2</v>
      </c>
      <c r="G51" s="24">
        <v>26.2</v>
      </c>
      <c r="H51" s="24">
        <v>26.2</v>
      </c>
      <c r="I51" s="17" t="s">
        <v>103</v>
      </c>
      <c r="J51" s="19" t="s">
        <v>23</v>
      </c>
      <c r="K51" s="19">
        <v>11</v>
      </c>
      <c r="L51" s="19">
        <v>11</v>
      </c>
      <c r="M51" s="40">
        <v>11</v>
      </c>
    </row>
    <row r="52" spans="1:13" ht="64.5" thickBot="1" x14ac:dyDescent="0.3">
      <c r="A52" s="15" t="s">
        <v>104</v>
      </c>
      <c r="B52" s="16" t="s">
        <v>105</v>
      </c>
      <c r="C52" s="17" t="s">
        <v>90</v>
      </c>
      <c r="D52" s="17" t="s">
        <v>29</v>
      </c>
      <c r="E52" s="17"/>
      <c r="F52" s="24">
        <v>379.5</v>
      </c>
      <c r="G52" s="24">
        <v>250</v>
      </c>
      <c r="H52" s="24">
        <v>250</v>
      </c>
      <c r="I52" s="17" t="s">
        <v>106</v>
      </c>
      <c r="J52" s="19" t="s">
        <v>23</v>
      </c>
      <c r="K52" s="19">
        <v>7</v>
      </c>
      <c r="L52" s="19">
        <v>7</v>
      </c>
      <c r="M52" s="40">
        <v>7</v>
      </c>
    </row>
    <row r="53" spans="1:13" ht="28.5" customHeight="1" x14ac:dyDescent="0.25">
      <c r="A53" s="85" t="s">
        <v>107</v>
      </c>
      <c r="B53" s="88" t="s">
        <v>108</v>
      </c>
      <c r="C53" s="88" t="s">
        <v>90</v>
      </c>
      <c r="D53" s="17" t="s">
        <v>29</v>
      </c>
      <c r="E53" s="17"/>
      <c r="F53" s="18">
        <f>SUM(F54:F55)+305.8</f>
        <v>305.8</v>
      </c>
      <c r="G53" s="18">
        <f>SUM(G54:G55)+305.8</f>
        <v>305.8</v>
      </c>
      <c r="H53" s="18">
        <f>SUM(H54:H55)+305.8</f>
        <v>305.8</v>
      </c>
      <c r="I53" s="17" t="s">
        <v>109</v>
      </c>
      <c r="J53" s="19" t="s">
        <v>23</v>
      </c>
      <c r="K53" s="19">
        <v>14</v>
      </c>
      <c r="L53" s="19">
        <v>14</v>
      </c>
      <c r="M53" s="40">
        <v>14</v>
      </c>
    </row>
    <row r="54" spans="1:13" ht="25.5" x14ac:dyDescent="0.25">
      <c r="A54" s="86"/>
      <c r="B54" s="89"/>
      <c r="C54" s="89"/>
      <c r="D54" s="21"/>
      <c r="E54" s="21"/>
      <c r="F54" s="22">
        <v>0</v>
      </c>
      <c r="G54" s="22">
        <v>0</v>
      </c>
      <c r="H54" s="22">
        <v>0</v>
      </c>
      <c r="I54" s="21" t="s">
        <v>110</v>
      </c>
      <c r="J54" s="23" t="s">
        <v>23</v>
      </c>
      <c r="K54" s="23">
        <v>30</v>
      </c>
      <c r="L54" s="23">
        <v>30</v>
      </c>
      <c r="M54" s="41">
        <v>30</v>
      </c>
    </row>
    <row r="55" spans="1:13" ht="15.75" thickBot="1" x14ac:dyDescent="0.3">
      <c r="A55" s="87"/>
      <c r="B55" s="90"/>
      <c r="C55" s="90"/>
      <c r="D55" s="21"/>
      <c r="E55" s="21"/>
      <c r="F55" s="22">
        <v>0</v>
      </c>
      <c r="G55" s="22">
        <v>0</v>
      </c>
      <c r="H55" s="22">
        <v>0</v>
      </c>
      <c r="I55" s="21" t="s">
        <v>111</v>
      </c>
      <c r="J55" s="23" t="s">
        <v>23</v>
      </c>
      <c r="K55" s="23">
        <v>3</v>
      </c>
      <c r="L55" s="23">
        <v>2</v>
      </c>
      <c r="M55" s="41">
        <v>2</v>
      </c>
    </row>
    <row r="56" spans="1:13" ht="27.75" customHeight="1" thickBot="1" x14ac:dyDescent="0.3">
      <c r="A56" s="11" t="s">
        <v>112</v>
      </c>
      <c r="B56" s="65" t="s">
        <v>113</v>
      </c>
      <c r="C56" s="66"/>
      <c r="D56" s="66"/>
      <c r="E56" s="67"/>
      <c r="F56" s="13">
        <f>F57+F67+F69+F72+F76+F79+F83+F84</f>
        <v>9443.6</v>
      </c>
      <c r="G56" s="13">
        <f>G57+G67+G69+G72+G76+G79+G83+G84</f>
        <v>5411.0999999999995</v>
      </c>
      <c r="H56" s="13">
        <f>H57+H67+H69+H72+H76+H79+H83+H84</f>
        <v>5435.9999999999991</v>
      </c>
      <c r="I56" s="82"/>
      <c r="J56" s="83"/>
      <c r="K56" s="83"/>
      <c r="L56" s="83"/>
      <c r="M56" s="84"/>
    </row>
    <row r="57" spans="1:13" x14ac:dyDescent="0.25">
      <c r="A57" s="85" t="s">
        <v>114</v>
      </c>
      <c r="B57" s="88" t="s">
        <v>115</v>
      </c>
      <c r="C57" s="88" t="s">
        <v>90</v>
      </c>
      <c r="D57" s="17"/>
      <c r="E57" s="17"/>
      <c r="F57" s="18">
        <f>SUM(F58:F66)</f>
        <v>5642.9</v>
      </c>
      <c r="G57" s="18">
        <f>SUM(G58:G66)</f>
        <v>5411.0999999999995</v>
      </c>
      <c r="H57" s="18">
        <f>SUM(H58:H66)</f>
        <v>5435.9999999999991</v>
      </c>
      <c r="I57" s="17" t="s">
        <v>116</v>
      </c>
      <c r="J57" s="19" t="s">
        <v>23</v>
      </c>
      <c r="K57" s="46">
        <v>64</v>
      </c>
      <c r="L57" s="46">
        <v>64</v>
      </c>
      <c r="M57" s="47">
        <v>64</v>
      </c>
    </row>
    <row r="58" spans="1:13" x14ac:dyDescent="0.25">
      <c r="A58" s="86"/>
      <c r="B58" s="89"/>
      <c r="C58" s="89"/>
      <c r="D58" s="21" t="s">
        <v>35</v>
      </c>
      <c r="E58" s="21"/>
      <c r="F58" s="22">
        <v>239.4</v>
      </c>
      <c r="G58" s="22">
        <v>0</v>
      </c>
      <c r="H58" s="22">
        <v>0</v>
      </c>
      <c r="I58" s="21" t="s">
        <v>117</v>
      </c>
      <c r="J58" s="23" t="s">
        <v>23</v>
      </c>
      <c r="K58" s="48">
        <v>703</v>
      </c>
      <c r="L58" s="48">
        <v>790</v>
      </c>
      <c r="M58" s="49">
        <v>808</v>
      </c>
    </row>
    <row r="59" spans="1:13" x14ac:dyDescent="0.25">
      <c r="A59" s="86"/>
      <c r="B59" s="89"/>
      <c r="C59" s="89"/>
      <c r="D59" s="21" t="s">
        <v>118</v>
      </c>
      <c r="E59" s="21"/>
      <c r="F59" s="22">
        <v>14.6</v>
      </c>
      <c r="G59" s="22">
        <v>14.6</v>
      </c>
      <c r="H59" s="22">
        <v>14.6</v>
      </c>
      <c r="I59" s="21" t="s">
        <v>119</v>
      </c>
      <c r="J59" s="23" t="s">
        <v>23</v>
      </c>
      <c r="K59" s="48">
        <v>26</v>
      </c>
      <c r="L59" s="48">
        <v>26</v>
      </c>
      <c r="M59" s="49">
        <v>27</v>
      </c>
    </row>
    <row r="60" spans="1:13" x14ac:dyDescent="0.25">
      <c r="A60" s="86"/>
      <c r="B60" s="89"/>
      <c r="C60" s="89"/>
      <c r="D60" s="21" t="s">
        <v>120</v>
      </c>
      <c r="E60" s="21"/>
      <c r="F60" s="22">
        <v>151.80000000000001</v>
      </c>
      <c r="G60" s="22">
        <v>146.4</v>
      </c>
      <c r="H60" s="22">
        <v>158.19999999999999</v>
      </c>
      <c r="I60" s="21" t="s">
        <v>121</v>
      </c>
      <c r="J60" s="23" t="s">
        <v>23</v>
      </c>
      <c r="K60" s="48">
        <v>609</v>
      </c>
      <c r="L60" s="48">
        <v>656</v>
      </c>
      <c r="M60" s="49">
        <v>696</v>
      </c>
    </row>
    <row r="61" spans="1:13" x14ac:dyDescent="0.25">
      <c r="A61" s="86"/>
      <c r="B61" s="89"/>
      <c r="C61" s="89"/>
      <c r="D61" s="21" t="s">
        <v>122</v>
      </c>
      <c r="E61" s="21"/>
      <c r="F61" s="22">
        <v>146.5</v>
      </c>
      <c r="G61" s="22">
        <v>157.5</v>
      </c>
      <c r="H61" s="22">
        <v>169.1</v>
      </c>
      <c r="I61" s="21" t="s">
        <v>123</v>
      </c>
      <c r="J61" s="23" t="s">
        <v>23</v>
      </c>
      <c r="K61" s="48">
        <v>200</v>
      </c>
      <c r="L61" s="48">
        <v>210</v>
      </c>
      <c r="M61" s="49">
        <v>220</v>
      </c>
    </row>
    <row r="62" spans="1:13" ht="25.5" x14ac:dyDescent="0.25">
      <c r="A62" s="86"/>
      <c r="B62" s="89"/>
      <c r="C62" s="89"/>
      <c r="D62" s="21" t="s">
        <v>124</v>
      </c>
      <c r="E62" s="21"/>
      <c r="F62" s="22">
        <v>150</v>
      </c>
      <c r="G62" s="22">
        <v>152</v>
      </c>
      <c r="H62" s="22">
        <v>153.5</v>
      </c>
      <c r="I62" s="21" t="s">
        <v>125</v>
      </c>
      <c r="J62" s="23" t="s">
        <v>23</v>
      </c>
      <c r="K62" s="48">
        <v>356810</v>
      </c>
      <c r="L62" s="48">
        <v>406060</v>
      </c>
      <c r="M62" s="49">
        <v>411140</v>
      </c>
    </row>
    <row r="63" spans="1:13" ht="38.25" x14ac:dyDescent="0.25">
      <c r="A63" s="86"/>
      <c r="B63" s="89"/>
      <c r="C63" s="89"/>
      <c r="D63" s="21" t="s">
        <v>29</v>
      </c>
      <c r="E63" s="21"/>
      <c r="F63" s="22">
        <v>4902.2</v>
      </c>
      <c r="G63" s="22">
        <v>4902.2</v>
      </c>
      <c r="H63" s="22">
        <v>4902.2</v>
      </c>
      <c r="I63" s="21" t="s">
        <v>126</v>
      </c>
      <c r="J63" s="23" t="s">
        <v>23</v>
      </c>
      <c r="K63" s="48">
        <v>18655</v>
      </c>
      <c r="L63" s="48">
        <v>20637</v>
      </c>
      <c r="M63" s="49">
        <v>21040</v>
      </c>
    </row>
    <row r="64" spans="1:13" x14ac:dyDescent="0.25">
      <c r="A64" s="86"/>
      <c r="B64" s="89"/>
      <c r="C64" s="89"/>
      <c r="D64" s="21" t="s">
        <v>127</v>
      </c>
      <c r="E64" s="21"/>
      <c r="F64" s="22">
        <v>38.4</v>
      </c>
      <c r="G64" s="22">
        <v>38.4</v>
      </c>
      <c r="H64" s="22">
        <v>38.4</v>
      </c>
      <c r="I64" s="21" t="s">
        <v>128</v>
      </c>
      <c r="J64" s="23" t="s">
        <v>23</v>
      </c>
      <c r="K64" s="48">
        <v>10130</v>
      </c>
      <c r="L64" s="48">
        <v>11000</v>
      </c>
      <c r="M64" s="49">
        <v>11800</v>
      </c>
    </row>
    <row r="65" spans="1:13" x14ac:dyDescent="0.25">
      <c r="A65" s="86"/>
      <c r="B65" s="89"/>
      <c r="C65" s="89"/>
      <c r="D65" s="21"/>
      <c r="E65" s="21"/>
      <c r="F65" s="22">
        <v>0</v>
      </c>
      <c r="G65" s="22">
        <v>0</v>
      </c>
      <c r="H65" s="22">
        <v>0</v>
      </c>
      <c r="I65" s="21" t="s">
        <v>129</v>
      </c>
      <c r="J65" s="23" t="s">
        <v>23</v>
      </c>
      <c r="K65" s="48">
        <v>3600</v>
      </c>
      <c r="L65" s="48">
        <v>4100</v>
      </c>
      <c r="M65" s="49">
        <v>4600</v>
      </c>
    </row>
    <row r="66" spans="1:13" ht="26.25" thickBot="1" x14ac:dyDescent="0.3">
      <c r="A66" s="87"/>
      <c r="B66" s="90"/>
      <c r="C66" s="90"/>
      <c r="D66" s="21"/>
      <c r="E66" s="21"/>
      <c r="F66" s="22">
        <v>0</v>
      </c>
      <c r="G66" s="22">
        <v>0</v>
      </c>
      <c r="H66" s="22">
        <v>0</v>
      </c>
      <c r="I66" s="21" t="s">
        <v>130</v>
      </c>
      <c r="J66" s="23" t="s">
        <v>23</v>
      </c>
      <c r="K66" s="48">
        <v>12700</v>
      </c>
      <c r="L66" s="48">
        <v>13100</v>
      </c>
      <c r="M66" s="49">
        <v>13500</v>
      </c>
    </row>
    <row r="67" spans="1:13" x14ac:dyDescent="0.25">
      <c r="A67" s="85" t="s">
        <v>131</v>
      </c>
      <c r="B67" s="88" t="s">
        <v>132</v>
      </c>
      <c r="C67" s="88" t="s">
        <v>133</v>
      </c>
      <c r="D67" s="17"/>
      <c r="E67" s="17"/>
      <c r="F67" s="18">
        <f>SUM(F68:F68)</f>
        <v>35.5</v>
      </c>
      <c r="G67" s="18">
        <f>SUM(G68:G68)</f>
        <v>0</v>
      </c>
      <c r="H67" s="18">
        <f>SUM(H68:H68)</f>
        <v>0</v>
      </c>
      <c r="I67" s="17" t="s">
        <v>134</v>
      </c>
      <c r="J67" s="19" t="s">
        <v>23</v>
      </c>
      <c r="K67" s="46">
        <v>1</v>
      </c>
      <c r="L67" s="46"/>
      <c r="M67" s="47"/>
    </row>
    <row r="68" spans="1:13" ht="15.75" thickBot="1" x14ac:dyDescent="0.3">
      <c r="A68" s="87"/>
      <c r="B68" s="90"/>
      <c r="C68" s="90"/>
      <c r="D68" s="21" t="s">
        <v>135</v>
      </c>
      <c r="E68" s="21"/>
      <c r="F68" s="22">
        <v>35.5</v>
      </c>
      <c r="G68" s="22">
        <v>0</v>
      </c>
      <c r="H68" s="22">
        <v>0</v>
      </c>
      <c r="I68" s="21"/>
      <c r="J68" s="23"/>
      <c r="K68" s="48"/>
      <c r="L68" s="48"/>
      <c r="M68" s="49"/>
    </row>
    <row r="69" spans="1:13" ht="24" customHeight="1" x14ac:dyDescent="0.25">
      <c r="A69" s="85" t="s">
        <v>136</v>
      </c>
      <c r="B69" s="88" t="s">
        <v>137</v>
      </c>
      <c r="C69" s="88" t="s">
        <v>138</v>
      </c>
      <c r="D69" s="17"/>
      <c r="E69" s="17"/>
      <c r="F69" s="18">
        <f>SUM(F70:F71)</f>
        <v>1667.9</v>
      </c>
      <c r="G69" s="18">
        <f>SUM(G70:G71)</f>
        <v>0</v>
      </c>
      <c r="H69" s="18">
        <f>SUM(H70:H71)</f>
        <v>0</v>
      </c>
      <c r="I69" s="17" t="s">
        <v>139</v>
      </c>
      <c r="J69" s="19" t="s">
        <v>19</v>
      </c>
      <c r="K69" s="46">
        <v>100</v>
      </c>
      <c r="L69" s="46"/>
      <c r="M69" s="47"/>
    </row>
    <row r="70" spans="1:13" x14ac:dyDescent="0.25">
      <c r="A70" s="86"/>
      <c r="B70" s="89"/>
      <c r="C70" s="89"/>
      <c r="D70" s="21" t="s">
        <v>35</v>
      </c>
      <c r="E70" s="21"/>
      <c r="F70" s="22">
        <v>1089</v>
      </c>
      <c r="G70" s="22">
        <v>0</v>
      </c>
      <c r="H70" s="22">
        <v>0</v>
      </c>
      <c r="I70" s="21"/>
      <c r="J70" s="23"/>
      <c r="K70" s="48"/>
      <c r="L70" s="48"/>
      <c r="M70" s="49"/>
    </row>
    <row r="71" spans="1:13" ht="15.75" thickBot="1" x14ac:dyDescent="0.3">
      <c r="A71" s="87"/>
      <c r="B71" s="90"/>
      <c r="C71" s="90"/>
      <c r="D71" s="21" t="s">
        <v>118</v>
      </c>
      <c r="E71" s="21"/>
      <c r="F71" s="22">
        <v>578.9</v>
      </c>
      <c r="G71" s="22">
        <v>0</v>
      </c>
      <c r="H71" s="22">
        <v>0</v>
      </c>
      <c r="I71" s="21"/>
      <c r="J71" s="23"/>
      <c r="K71" s="48"/>
      <c r="L71" s="48"/>
      <c r="M71" s="49"/>
    </row>
    <row r="72" spans="1:13" ht="22.5" customHeight="1" x14ac:dyDescent="0.25">
      <c r="A72" s="85" t="s">
        <v>140</v>
      </c>
      <c r="B72" s="88" t="s">
        <v>141</v>
      </c>
      <c r="C72" s="88" t="s">
        <v>142</v>
      </c>
      <c r="D72" s="17"/>
      <c r="E72" s="17"/>
      <c r="F72" s="18">
        <f>SUM(F73:F75)</f>
        <v>1122.5</v>
      </c>
      <c r="G72" s="18">
        <f>SUM(G73:G75)</f>
        <v>0</v>
      </c>
      <c r="H72" s="18">
        <f>SUM(H73:H75)</f>
        <v>0</v>
      </c>
      <c r="I72" s="17" t="s">
        <v>139</v>
      </c>
      <c r="J72" s="19" t="s">
        <v>19</v>
      </c>
      <c r="K72" s="46">
        <v>100</v>
      </c>
      <c r="L72" s="46"/>
      <c r="M72" s="47"/>
    </row>
    <row r="73" spans="1:13" x14ac:dyDescent="0.25">
      <c r="A73" s="86"/>
      <c r="B73" s="89"/>
      <c r="C73" s="89"/>
      <c r="D73" s="21" t="s">
        <v>127</v>
      </c>
      <c r="E73" s="21"/>
      <c r="F73" s="22">
        <v>106.6</v>
      </c>
      <c r="G73" s="22">
        <v>0</v>
      </c>
      <c r="H73" s="22">
        <v>0</v>
      </c>
      <c r="I73" s="21"/>
      <c r="J73" s="23"/>
      <c r="K73" s="48"/>
      <c r="L73" s="48"/>
      <c r="M73" s="49"/>
    </row>
    <row r="74" spans="1:13" x14ac:dyDescent="0.25">
      <c r="A74" s="86"/>
      <c r="B74" s="89"/>
      <c r="C74" s="89"/>
      <c r="D74" s="21" t="s">
        <v>143</v>
      </c>
      <c r="E74" s="21"/>
      <c r="F74" s="22">
        <v>355.4</v>
      </c>
      <c r="G74" s="22">
        <v>0</v>
      </c>
      <c r="H74" s="22">
        <v>0</v>
      </c>
      <c r="I74" s="21"/>
      <c r="J74" s="23"/>
      <c r="K74" s="48"/>
      <c r="L74" s="48"/>
      <c r="M74" s="49"/>
    </row>
    <row r="75" spans="1:13" ht="15.75" thickBot="1" x14ac:dyDescent="0.3">
      <c r="A75" s="87"/>
      <c r="B75" s="90"/>
      <c r="C75" s="90"/>
      <c r="D75" s="21" t="s">
        <v>29</v>
      </c>
      <c r="E75" s="21"/>
      <c r="F75" s="22">
        <v>660.5</v>
      </c>
      <c r="G75" s="22">
        <v>0</v>
      </c>
      <c r="H75" s="22">
        <v>0</v>
      </c>
      <c r="I75" s="21"/>
      <c r="J75" s="23"/>
      <c r="K75" s="48"/>
      <c r="L75" s="48"/>
      <c r="M75" s="49"/>
    </row>
    <row r="76" spans="1:13" ht="17.25" customHeight="1" x14ac:dyDescent="0.25">
      <c r="A76" s="85" t="s">
        <v>144</v>
      </c>
      <c r="B76" s="88" t="s">
        <v>145</v>
      </c>
      <c r="C76" s="88" t="s">
        <v>146</v>
      </c>
      <c r="D76" s="17"/>
      <c r="E76" s="17" t="s">
        <v>147</v>
      </c>
      <c r="F76" s="18">
        <f>SUM(F77:F78)</f>
        <v>146.5</v>
      </c>
      <c r="G76" s="18">
        <f>SUM(G77:G78)</f>
        <v>0</v>
      </c>
      <c r="H76" s="18">
        <f>SUM(H77:H78)</f>
        <v>0</v>
      </c>
      <c r="I76" s="17" t="s">
        <v>139</v>
      </c>
      <c r="J76" s="19" t="s">
        <v>19</v>
      </c>
      <c r="K76" s="46">
        <v>100</v>
      </c>
      <c r="L76" s="46"/>
      <c r="M76" s="47"/>
    </row>
    <row r="77" spans="1:13" x14ac:dyDescent="0.25">
      <c r="A77" s="86"/>
      <c r="B77" s="89"/>
      <c r="C77" s="89"/>
      <c r="D77" s="21" t="s">
        <v>29</v>
      </c>
      <c r="E77" s="21"/>
      <c r="F77" s="22">
        <v>20</v>
      </c>
      <c r="G77" s="22">
        <v>0</v>
      </c>
      <c r="H77" s="22">
        <v>0</v>
      </c>
      <c r="I77" s="21"/>
      <c r="J77" s="23"/>
      <c r="K77" s="48"/>
      <c r="L77" s="48"/>
      <c r="M77" s="49"/>
    </row>
    <row r="78" spans="1:13" ht="15.75" thickBot="1" x14ac:dyDescent="0.3">
      <c r="A78" s="87"/>
      <c r="B78" s="90"/>
      <c r="C78" s="90"/>
      <c r="D78" s="21" t="s">
        <v>35</v>
      </c>
      <c r="E78" s="21"/>
      <c r="F78" s="22">
        <v>126.5</v>
      </c>
      <c r="G78" s="22">
        <v>0</v>
      </c>
      <c r="H78" s="22">
        <v>0</v>
      </c>
      <c r="I78" s="21"/>
      <c r="J78" s="23"/>
      <c r="K78" s="48"/>
      <c r="L78" s="48"/>
      <c r="M78" s="49"/>
    </row>
    <row r="79" spans="1:13" x14ac:dyDescent="0.25">
      <c r="A79" s="85" t="s">
        <v>148</v>
      </c>
      <c r="B79" s="88" t="s">
        <v>149</v>
      </c>
      <c r="C79" s="88" t="s">
        <v>150</v>
      </c>
      <c r="D79" s="17"/>
      <c r="E79" s="17"/>
      <c r="F79" s="18">
        <f>SUM(F80:F82)</f>
        <v>808.09999999999991</v>
      </c>
      <c r="G79" s="18">
        <f>SUM(G80:G82)</f>
        <v>0</v>
      </c>
      <c r="H79" s="18">
        <f>SUM(H80:H82)</f>
        <v>0</v>
      </c>
      <c r="I79" s="17" t="s">
        <v>139</v>
      </c>
      <c r="J79" s="19" t="s">
        <v>19</v>
      </c>
      <c r="K79" s="46">
        <v>100</v>
      </c>
      <c r="L79" s="46"/>
      <c r="M79" s="47"/>
    </row>
    <row r="80" spans="1:13" x14ac:dyDescent="0.25">
      <c r="A80" s="86"/>
      <c r="B80" s="89"/>
      <c r="C80" s="89"/>
      <c r="D80" s="21" t="s">
        <v>127</v>
      </c>
      <c r="E80" s="21"/>
      <c r="F80" s="22">
        <v>74.7</v>
      </c>
      <c r="G80" s="22">
        <v>0</v>
      </c>
      <c r="H80" s="22">
        <v>0</v>
      </c>
      <c r="I80" s="21"/>
      <c r="J80" s="23"/>
      <c r="K80" s="48"/>
      <c r="L80" s="48"/>
      <c r="M80" s="49"/>
    </row>
    <row r="81" spans="1:13" x14ac:dyDescent="0.25">
      <c r="A81" s="86"/>
      <c r="B81" s="89"/>
      <c r="C81" s="89"/>
      <c r="D81" s="21" t="s">
        <v>143</v>
      </c>
      <c r="E81" s="21"/>
      <c r="F81" s="22">
        <v>249</v>
      </c>
      <c r="G81" s="22">
        <v>0</v>
      </c>
      <c r="H81" s="22">
        <v>0</v>
      </c>
      <c r="I81" s="21"/>
      <c r="J81" s="23"/>
      <c r="K81" s="48"/>
      <c r="L81" s="48"/>
      <c r="M81" s="49"/>
    </row>
    <row r="82" spans="1:13" ht="15" customHeight="1" thickBot="1" x14ac:dyDescent="0.3">
      <c r="A82" s="87"/>
      <c r="B82" s="90"/>
      <c r="C82" s="90"/>
      <c r="D82" s="21" t="s">
        <v>29</v>
      </c>
      <c r="E82" s="21"/>
      <c r="F82" s="22">
        <v>484.4</v>
      </c>
      <c r="G82" s="22">
        <v>0</v>
      </c>
      <c r="H82" s="22">
        <v>0</v>
      </c>
      <c r="I82" s="21"/>
      <c r="J82" s="23"/>
      <c r="K82" s="48"/>
      <c r="L82" s="48"/>
      <c r="M82" s="49"/>
    </row>
    <row r="83" spans="1:13" ht="51.75" hidden="1" thickBot="1" x14ac:dyDescent="0.3">
      <c r="A83" s="15" t="s">
        <v>151</v>
      </c>
      <c r="B83" s="16" t="s">
        <v>152</v>
      </c>
      <c r="C83" s="17" t="s">
        <v>153</v>
      </c>
      <c r="D83" s="17" t="s">
        <v>35</v>
      </c>
      <c r="E83" s="17"/>
      <c r="F83" s="24">
        <v>0</v>
      </c>
      <c r="G83" s="24">
        <v>0</v>
      </c>
      <c r="H83" s="24">
        <v>0</v>
      </c>
      <c r="I83" s="17"/>
      <c r="J83" s="19"/>
      <c r="K83" s="46"/>
      <c r="L83" s="46"/>
      <c r="M83" s="47"/>
    </row>
    <row r="84" spans="1:13" ht="39" thickBot="1" x14ac:dyDescent="0.3">
      <c r="A84" s="15" t="s">
        <v>154</v>
      </c>
      <c r="B84" s="16" t="s">
        <v>155</v>
      </c>
      <c r="C84" s="17" t="s">
        <v>156</v>
      </c>
      <c r="D84" s="17" t="s">
        <v>29</v>
      </c>
      <c r="E84" s="17"/>
      <c r="F84" s="24">
        <v>20.2</v>
      </c>
      <c r="G84" s="24">
        <v>0</v>
      </c>
      <c r="H84" s="24">
        <v>0</v>
      </c>
      <c r="I84" s="17" t="s">
        <v>139</v>
      </c>
      <c r="J84" s="19" t="s">
        <v>19</v>
      </c>
      <c r="K84" s="46">
        <v>100</v>
      </c>
      <c r="L84" s="46"/>
      <c r="M84" s="47"/>
    </row>
    <row r="85" spans="1:13" x14ac:dyDescent="0.25">
      <c r="A85" s="100" t="s">
        <v>157</v>
      </c>
      <c r="B85" s="103" t="s">
        <v>158</v>
      </c>
      <c r="C85" s="104"/>
      <c r="D85" s="104"/>
      <c r="E85" s="105"/>
      <c r="F85" s="9">
        <f>F86+F87+F96</f>
        <v>456.8</v>
      </c>
      <c r="G85" s="9">
        <f>G86+G87+G96</f>
        <v>184</v>
      </c>
      <c r="H85" s="9">
        <f>H86+H87+H96</f>
        <v>201.2</v>
      </c>
      <c r="I85" s="8" t="s">
        <v>159</v>
      </c>
      <c r="J85" s="10" t="s">
        <v>19</v>
      </c>
      <c r="K85" s="50">
        <v>3</v>
      </c>
      <c r="L85" s="50">
        <v>3</v>
      </c>
      <c r="M85" s="51">
        <v>3</v>
      </c>
    </row>
    <row r="86" spans="1:13" ht="26.25" thickBot="1" x14ac:dyDescent="0.3">
      <c r="A86" s="102"/>
      <c r="B86" s="109"/>
      <c r="C86" s="110"/>
      <c r="D86" s="110"/>
      <c r="E86" s="111"/>
      <c r="F86" s="36">
        <v>0</v>
      </c>
      <c r="G86" s="36">
        <v>0</v>
      </c>
      <c r="H86" s="36">
        <v>0</v>
      </c>
      <c r="I86" s="37" t="s">
        <v>160</v>
      </c>
      <c r="J86" s="38" t="s">
        <v>23</v>
      </c>
      <c r="K86" s="52">
        <v>15</v>
      </c>
      <c r="L86" s="52">
        <v>15</v>
      </c>
      <c r="M86" s="53">
        <v>12</v>
      </c>
    </row>
    <row r="87" spans="1:13" ht="26.25" customHeight="1" thickBot="1" x14ac:dyDescent="0.3">
      <c r="A87" s="11" t="s">
        <v>161</v>
      </c>
      <c r="B87" s="65" t="s">
        <v>162</v>
      </c>
      <c r="C87" s="66"/>
      <c r="D87" s="66"/>
      <c r="E87" s="67"/>
      <c r="F87" s="13">
        <f>F88+F91+F93+F95</f>
        <v>445.3</v>
      </c>
      <c r="G87" s="13">
        <f>G88+G91+G93+G95</f>
        <v>172.5</v>
      </c>
      <c r="H87" s="13">
        <f>H88+H91+H93+H95</f>
        <v>189.7</v>
      </c>
      <c r="I87" s="82"/>
      <c r="J87" s="83"/>
      <c r="K87" s="83"/>
      <c r="L87" s="83"/>
      <c r="M87" s="84"/>
    </row>
    <row r="88" spans="1:13" ht="35.25" customHeight="1" x14ac:dyDescent="0.25">
      <c r="A88" s="85" t="s">
        <v>163</v>
      </c>
      <c r="B88" s="88" t="s">
        <v>164</v>
      </c>
      <c r="C88" s="88" t="s">
        <v>165</v>
      </c>
      <c r="D88" s="17"/>
      <c r="E88" s="17"/>
      <c r="F88" s="18">
        <f>SUM(F89:F90)</f>
        <v>71.900000000000006</v>
      </c>
      <c r="G88" s="18">
        <f>SUM(G89:G90)</f>
        <v>0</v>
      </c>
      <c r="H88" s="18">
        <f>SUM(H89:H90)</f>
        <v>0</v>
      </c>
      <c r="I88" s="17" t="s">
        <v>166</v>
      </c>
      <c r="J88" s="19" t="s">
        <v>23</v>
      </c>
      <c r="K88" s="19">
        <v>1</v>
      </c>
      <c r="L88" s="19"/>
      <c r="M88" s="40"/>
    </row>
    <row r="89" spans="1:13" x14ac:dyDescent="0.25">
      <c r="A89" s="86"/>
      <c r="B89" s="89"/>
      <c r="C89" s="89"/>
      <c r="D89" s="21" t="s">
        <v>135</v>
      </c>
      <c r="E89" s="21"/>
      <c r="F89" s="22">
        <v>71.7</v>
      </c>
      <c r="G89" s="22">
        <v>0</v>
      </c>
      <c r="H89" s="22">
        <v>0</v>
      </c>
      <c r="I89" s="21"/>
      <c r="J89" s="23"/>
      <c r="K89" s="23"/>
      <c r="L89" s="23"/>
      <c r="M89" s="41"/>
    </row>
    <row r="90" spans="1:13" ht="15.75" thickBot="1" x14ac:dyDescent="0.3">
      <c r="A90" s="87"/>
      <c r="B90" s="90"/>
      <c r="C90" s="90"/>
      <c r="D90" s="21" t="s">
        <v>35</v>
      </c>
      <c r="E90" s="21"/>
      <c r="F90" s="22">
        <v>0.2</v>
      </c>
      <c r="G90" s="22">
        <v>0</v>
      </c>
      <c r="H90" s="22">
        <v>0</v>
      </c>
      <c r="I90" s="21"/>
      <c r="J90" s="23"/>
      <c r="K90" s="23"/>
      <c r="L90" s="23"/>
      <c r="M90" s="41"/>
    </row>
    <row r="91" spans="1:13" ht="40.5" customHeight="1" x14ac:dyDescent="0.25">
      <c r="A91" s="85" t="s">
        <v>167</v>
      </c>
      <c r="B91" s="88" t="s">
        <v>168</v>
      </c>
      <c r="C91" s="88" t="s">
        <v>169</v>
      </c>
      <c r="D91" s="17"/>
      <c r="E91" s="17"/>
      <c r="F91" s="18">
        <f>SUM(F92:F92)</f>
        <v>46</v>
      </c>
      <c r="G91" s="18">
        <f>SUM(G92:G92)</f>
        <v>0</v>
      </c>
      <c r="H91" s="18">
        <f>SUM(H92:H92)</f>
        <v>0</v>
      </c>
      <c r="I91" s="17" t="s">
        <v>170</v>
      </c>
      <c r="J91" s="19" t="s">
        <v>19</v>
      </c>
      <c r="K91" s="19">
        <v>100</v>
      </c>
      <c r="L91" s="19"/>
      <c r="M91" s="40"/>
    </row>
    <row r="92" spans="1:13" ht="15.75" thickBot="1" x14ac:dyDescent="0.3">
      <c r="A92" s="87"/>
      <c r="B92" s="90"/>
      <c r="C92" s="90"/>
      <c r="D92" s="21" t="s">
        <v>35</v>
      </c>
      <c r="E92" s="21"/>
      <c r="F92" s="22">
        <v>46</v>
      </c>
      <c r="G92" s="22">
        <v>0</v>
      </c>
      <c r="H92" s="22">
        <v>0</v>
      </c>
      <c r="I92" s="21"/>
      <c r="J92" s="23"/>
      <c r="K92" s="23"/>
      <c r="L92" s="23"/>
      <c r="M92" s="41"/>
    </row>
    <row r="93" spans="1:13" x14ac:dyDescent="0.25">
      <c r="A93" s="85" t="s">
        <v>171</v>
      </c>
      <c r="B93" s="88" t="s">
        <v>172</v>
      </c>
      <c r="C93" s="88" t="s">
        <v>169</v>
      </c>
      <c r="D93" s="17"/>
      <c r="E93" s="17"/>
      <c r="F93" s="18">
        <f>SUM(F94:F94)</f>
        <v>170.6</v>
      </c>
      <c r="G93" s="18">
        <f>SUM(G94:G94)</f>
        <v>0</v>
      </c>
      <c r="H93" s="18">
        <f>SUM(H94:H94)</f>
        <v>0</v>
      </c>
      <c r="I93" s="17" t="s">
        <v>170</v>
      </c>
      <c r="J93" s="19" t="s">
        <v>19</v>
      </c>
      <c r="K93" s="19">
        <v>100</v>
      </c>
      <c r="L93" s="19"/>
      <c r="M93" s="40"/>
    </row>
    <row r="94" spans="1:13" ht="15.75" thickBot="1" x14ac:dyDescent="0.3">
      <c r="A94" s="87"/>
      <c r="B94" s="90"/>
      <c r="C94" s="90"/>
      <c r="D94" s="21" t="s">
        <v>35</v>
      </c>
      <c r="E94" s="21"/>
      <c r="F94" s="22">
        <v>170.6</v>
      </c>
      <c r="G94" s="22">
        <v>0</v>
      </c>
      <c r="H94" s="22">
        <v>0</v>
      </c>
      <c r="I94" s="21"/>
      <c r="J94" s="23"/>
      <c r="K94" s="23"/>
      <c r="L94" s="23"/>
      <c r="M94" s="41"/>
    </row>
    <row r="95" spans="1:13" ht="64.5" thickBot="1" x14ac:dyDescent="0.3">
      <c r="A95" s="15" t="s">
        <v>173</v>
      </c>
      <c r="B95" s="16" t="s">
        <v>174</v>
      </c>
      <c r="C95" s="17" t="s">
        <v>175</v>
      </c>
      <c r="D95" s="17" t="s">
        <v>29</v>
      </c>
      <c r="E95" s="17" t="s">
        <v>147</v>
      </c>
      <c r="F95" s="24">
        <v>156.80000000000001</v>
      </c>
      <c r="G95" s="24">
        <v>172.5</v>
      </c>
      <c r="H95" s="24">
        <v>189.7</v>
      </c>
      <c r="I95" s="17" t="s">
        <v>176</v>
      </c>
      <c r="J95" s="19" t="s">
        <v>23</v>
      </c>
      <c r="K95" s="19">
        <v>15</v>
      </c>
      <c r="L95" s="19">
        <v>15</v>
      </c>
      <c r="M95" s="40">
        <v>12</v>
      </c>
    </row>
    <row r="96" spans="1:13" ht="26.25" customHeight="1" thickBot="1" x14ac:dyDescent="0.3">
      <c r="A96" s="11" t="s">
        <v>177</v>
      </c>
      <c r="B96" s="65" t="s">
        <v>178</v>
      </c>
      <c r="C96" s="66"/>
      <c r="D96" s="66"/>
      <c r="E96" s="67"/>
      <c r="F96" s="13">
        <f>SUM(F97:F98)</f>
        <v>11.5</v>
      </c>
      <c r="G96" s="13">
        <f>SUM(G97:G98)</f>
        <v>11.5</v>
      </c>
      <c r="H96" s="13">
        <f>SUM(H97:H98)</f>
        <v>11.5</v>
      </c>
      <c r="I96" s="82"/>
      <c r="J96" s="83"/>
      <c r="K96" s="83"/>
      <c r="L96" s="83"/>
      <c r="M96" s="84"/>
    </row>
    <row r="97" spans="1:13" ht="39" thickBot="1" x14ac:dyDescent="0.3">
      <c r="A97" s="15" t="s">
        <v>179</v>
      </c>
      <c r="B97" s="16" t="s">
        <v>180</v>
      </c>
      <c r="C97" s="17" t="s">
        <v>169</v>
      </c>
      <c r="D97" s="17" t="s">
        <v>29</v>
      </c>
      <c r="E97" s="17"/>
      <c r="F97" s="24">
        <v>1.5</v>
      </c>
      <c r="G97" s="24">
        <v>1.5</v>
      </c>
      <c r="H97" s="24">
        <v>1.5</v>
      </c>
      <c r="I97" s="17" t="s">
        <v>181</v>
      </c>
      <c r="J97" s="19" t="s">
        <v>23</v>
      </c>
      <c r="K97" s="19">
        <v>1</v>
      </c>
      <c r="L97" s="19">
        <v>1</v>
      </c>
      <c r="M97" s="40">
        <v>1</v>
      </c>
    </row>
    <row r="98" spans="1:13" ht="39" thickBot="1" x14ac:dyDescent="0.3">
      <c r="A98" s="15" t="s">
        <v>182</v>
      </c>
      <c r="B98" s="16" t="s">
        <v>183</v>
      </c>
      <c r="C98" s="17" t="s">
        <v>169</v>
      </c>
      <c r="D98" s="17" t="s">
        <v>29</v>
      </c>
      <c r="E98" s="17"/>
      <c r="F98" s="24">
        <v>10</v>
      </c>
      <c r="G98" s="24">
        <v>10</v>
      </c>
      <c r="H98" s="24">
        <v>10</v>
      </c>
      <c r="I98" s="17" t="s">
        <v>184</v>
      </c>
      <c r="J98" s="19" t="s">
        <v>23</v>
      </c>
      <c r="K98" s="19">
        <v>4</v>
      </c>
      <c r="L98" s="19">
        <v>4</v>
      </c>
      <c r="M98" s="40">
        <v>4</v>
      </c>
    </row>
    <row r="99" spans="1:13" ht="27" customHeight="1" thickBot="1" x14ac:dyDescent="0.3">
      <c r="A99" s="4" t="s">
        <v>185</v>
      </c>
      <c r="B99" s="5" t="s">
        <v>186</v>
      </c>
      <c r="C99" s="91" t="s">
        <v>187</v>
      </c>
      <c r="D99" s="92"/>
      <c r="E99" s="93"/>
      <c r="F99" s="6">
        <f>SUM(F100:F100)</f>
        <v>8203.5999999999985</v>
      </c>
      <c r="G99" s="6">
        <f>SUM(G100:G100)</f>
        <v>5518.5</v>
      </c>
      <c r="H99" s="6">
        <f>SUM(H100:H100)</f>
        <v>5503.3</v>
      </c>
      <c r="I99" s="68"/>
      <c r="J99" s="69"/>
      <c r="K99" s="69"/>
      <c r="L99" s="69"/>
      <c r="M99" s="70"/>
    </row>
    <row r="100" spans="1:13" ht="28.5" customHeight="1" thickBot="1" x14ac:dyDescent="0.3">
      <c r="A100" s="7" t="s">
        <v>188</v>
      </c>
      <c r="B100" s="94" t="s">
        <v>189</v>
      </c>
      <c r="C100" s="95"/>
      <c r="D100" s="95"/>
      <c r="E100" s="96"/>
      <c r="F100" s="9">
        <f>F101+F111+F118+F138+F143+0.1</f>
        <v>8203.5999999999985</v>
      </c>
      <c r="G100" s="9">
        <f>G101+G111+G118+G138+G143</f>
        <v>5518.5</v>
      </c>
      <c r="H100" s="9">
        <f>H101+H111+H118+H138+H143</f>
        <v>5503.3</v>
      </c>
      <c r="I100" s="8" t="s">
        <v>190</v>
      </c>
      <c r="J100" s="10" t="s">
        <v>191</v>
      </c>
      <c r="K100" s="10">
        <v>38</v>
      </c>
      <c r="L100" s="10">
        <v>38</v>
      </c>
      <c r="M100" s="45">
        <v>0</v>
      </c>
    </row>
    <row r="101" spans="1:13" ht="27" customHeight="1" thickBot="1" x14ac:dyDescent="0.3">
      <c r="A101" s="11" t="s">
        <v>192</v>
      </c>
      <c r="B101" s="65" t="s">
        <v>193</v>
      </c>
      <c r="C101" s="66"/>
      <c r="D101" s="66"/>
      <c r="E101" s="67"/>
      <c r="F101" s="13">
        <f>F102+F103+F106+F108</f>
        <v>5700.1999999999989</v>
      </c>
      <c r="G101" s="13">
        <f>G102+G103+G106+G108</f>
        <v>5015.7</v>
      </c>
      <c r="H101" s="13">
        <f>H102+H103+H106+H108</f>
        <v>5000.5</v>
      </c>
      <c r="I101" s="82"/>
      <c r="J101" s="83"/>
      <c r="K101" s="83"/>
      <c r="L101" s="83"/>
      <c r="M101" s="84"/>
    </row>
    <row r="102" spans="1:13" ht="39" thickBot="1" x14ac:dyDescent="0.3">
      <c r="A102" s="15" t="s">
        <v>194</v>
      </c>
      <c r="B102" s="16" t="s">
        <v>195</v>
      </c>
      <c r="C102" s="17" t="s">
        <v>196</v>
      </c>
      <c r="D102" s="17" t="s">
        <v>29</v>
      </c>
      <c r="E102" s="17" t="s">
        <v>197</v>
      </c>
      <c r="F102" s="24">
        <v>5013.8999999999996</v>
      </c>
      <c r="G102" s="24">
        <v>5005.7</v>
      </c>
      <c r="H102" s="24">
        <v>4990.5</v>
      </c>
      <c r="I102" s="17" t="s">
        <v>198</v>
      </c>
      <c r="J102" s="19" t="s">
        <v>191</v>
      </c>
      <c r="K102" s="54">
        <v>38000</v>
      </c>
      <c r="L102" s="54">
        <v>38000</v>
      </c>
      <c r="M102" s="55">
        <v>38000</v>
      </c>
    </row>
    <row r="103" spans="1:13" ht="16.5" customHeight="1" x14ac:dyDescent="0.25">
      <c r="A103" s="85" t="s">
        <v>199</v>
      </c>
      <c r="B103" s="88" t="s">
        <v>200</v>
      </c>
      <c r="C103" s="88" t="s">
        <v>187</v>
      </c>
      <c r="D103" s="17"/>
      <c r="E103" s="17"/>
      <c r="F103" s="18">
        <f>SUM(F104:F105)</f>
        <v>19.899999999999999</v>
      </c>
      <c r="G103" s="18">
        <f>SUM(G104:G105)</f>
        <v>10</v>
      </c>
      <c r="H103" s="18">
        <f>SUM(H104:H105)</f>
        <v>10</v>
      </c>
      <c r="I103" s="17" t="s">
        <v>201</v>
      </c>
      <c r="J103" s="19" t="s">
        <v>19</v>
      </c>
      <c r="K103" s="54">
        <v>100</v>
      </c>
      <c r="L103" s="54">
        <v>100</v>
      </c>
      <c r="M103" s="55">
        <v>100</v>
      </c>
    </row>
    <row r="104" spans="1:13" x14ac:dyDescent="0.25">
      <c r="A104" s="86"/>
      <c r="B104" s="89"/>
      <c r="C104" s="89"/>
      <c r="D104" s="21" t="s">
        <v>202</v>
      </c>
      <c r="E104" s="21"/>
      <c r="F104" s="22">
        <v>5</v>
      </c>
      <c r="G104" s="22">
        <v>10</v>
      </c>
      <c r="H104" s="22">
        <v>10</v>
      </c>
      <c r="I104" s="21" t="s">
        <v>203</v>
      </c>
      <c r="J104" s="23" t="s">
        <v>191</v>
      </c>
      <c r="K104" s="56">
        <v>200</v>
      </c>
      <c r="L104" s="56">
        <v>100</v>
      </c>
      <c r="M104" s="57">
        <v>100</v>
      </c>
    </row>
    <row r="105" spans="1:13" ht="15.75" thickBot="1" x14ac:dyDescent="0.3">
      <c r="A105" s="87"/>
      <c r="B105" s="90"/>
      <c r="C105" s="90"/>
      <c r="D105" s="21" t="s">
        <v>127</v>
      </c>
      <c r="E105" s="21"/>
      <c r="F105" s="22">
        <v>14.9</v>
      </c>
      <c r="G105" s="22"/>
      <c r="H105" s="22"/>
      <c r="I105" s="21"/>
      <c r="J105" s="23"/>
      <c r="K105" s="56"/>
      <c r="L105" s="56"/>
      <c r="M105" s="57"/>
    </row>
    <row r="106" spans="1:13" ht="27.75" customHeight="1" x14ac:dyDescent="0.25">
      <c r="A106" s="85" t="s">
        <v>204</v>
      </c>
      <c r="B106" s="88" t="s">
        <v>205</v>
      </c>
      <c r="C106" s="88" t="s">
        <v>206</v>
      </c>
      <c r="D106" s="17"/>
      <c r="E106" s="17"/>
      <c r="F106" s="18">
        <f>SUM(F107:F107)</f>
        <v>565.4</v>
      </c>
      <c r="G106" s="18">
        <f>SUM(G107:G107)</f>
        <v>0</v>
      </c>
      <c r="H106" s="18">
        <f>SUM(H107:H107)</f>
        <v>0</v>
      </c>
      <c r="I106" s="17" t="s">
        <v>207</v>
      </c>
      <c r="J106" s="19" t="s">
        <v>23</v>
      </c>
      <c r="K106" s="54">
        <v>204</v>
      </c>
      <c r="L106" s="54"/>
      <c r="M106" s="55"/>
    </row>
    <row r="107" spans="1:13" ht="26.25" thickBot="1" x14ac:dyDescent="0.3">
      <c r="A107" s="87"/>
      <c r="B107" s="90"/>
      <c r="C107" s="90"/>
      <c r="D107" s="21" t="s">
        <v>29</v>
      </c>
      <c r="E107" s="21"/>
      <c r="F107" s="22">
        <v>565.4</v>
      </c>
      <c r="G107" s="22">
        <v>0</v>
      </c>
      <c r="H107" s="22">
        <v>0</v>
      </c>
      <c r="I107" s="21" t="s">
        <v>208</v>
      </c>
      <c r="J107" s="23" t="s">
        <v>23</v>
      </c>
      <c r="K107" s="56">
        <v>2</v>
      </c>
      <c r="L107" s="56"/>
      <c r="M107" s="57"/>
    </row>
    <row r="108" spans="1:13" ht="37.5" customHeight="1" x14ac:dyDescent="0.25">
      <c r="A108" s="85" t="s">
        <v>209</v>
      </c>
      <c r="B108" s="88" t="s">
        <v>210</v>
      </c>
      <c r="C108" s="88" t="s">
        <v>206</v>
      </c>
      <c r="D108" s="17"/>
      <c r="E108" s="17"/>
      <c r="F108" s="18">
        <f>SUM(F109:F110)</f>
        <v>101</v>
      </c>
      <c r="G108" s="18">
        <f>SUM(G109:G110)</f>
        <v>0</v>
      </c>
      <c r="H108" s="18">
        <f>SUM(H109:H110)</f>
        <v>0</v>
      </c>
      <c r="I108" s="17" t="s">
        <v>211</v>
      </c>
      <c r="J108" s="19" t="s">
        <v>23</v>
      </c>
      <c r="K108" s="54">
        <v>1</v>
      </c>
      <c r="L108" s="54"/>
      <c r="M108" s="55"/>
    </row>
    <row r="109" spans="1:13" x14ac:dyDescent="0.25">
      <c r="A109" s="86"/>
      <c r="B109" s="89"/>
      <c r="C109" s="89"/>
      <c r="D109" s="21" t="s">
        <v>35</v>
      </c>
      <c r="E109" s="21"/>
      <c r="F109" s="22">
        <v>39</v>
      </c>
      <c r="G109" s="22">
        <v>0</v>
      </c>
      <c r="H109" s="22">
        <v>0</v>
      </c>
      <c r="I109" s="21" t="s">
        <v>212</v>
      </c>
      <c r="J109" s="23" t="s">
        <v>213</v>
      </c>
      <c r="K109" s="56">
        <v>1</v>
      </c>
      <c r="L109" s="56"/>
      <c r="M109" s="57"/>
    </row>
    <row r="110" spans="1:13" ht="15.75" thickBot="1" x14ac:dyDescent="0.3">
      <c r="A110" s="87"/>
      <c r="B110" s="90"/>
      <c r="C110" s="90"/>
      <c r="D110" s="21" t="s">
        <v>29</v>
      </c>
      <c r="E110" s="21"/>
      <c r="F110" s="22">
        <v>62</v>
      </c>
      <c r="G110" s="22">
        <v>0</v>
      </c>
      <c r="H110" s="22">
        <v>0</v>
      </c>
      <c r="I110" s="21" t="s">
        <v>214</v>
      </c>
      <c r="J110" s="23" t="s">
        <v>23</v>
      </c>
      <c r="K110" s="56">
        <v>1</v>
      </c>
      <c r="L110" s="56"/>
      <c r="M110" s="57"/>
    </row>
    <row r="111" spans="1:13" ht="26.25" customHeight="1" thickBot="1" x14ac:dyDescent="0.3">
      <c r="A111" s="11" t="s">
        <v>215</v>
      </c>
      <c r="B111" s="65" t="s">
        <v>216</v>
      </c>
      <c r="C111" s="66"/>
      <c r="D111" s="66"/>
      <c r="E111" s="67"/>
      <c r="F111" s="13">
        <f>F112+F114</f>
        <v>457.9</v>
      </c>
      <c r="G111" s="13">
        <f>G112+G114</f>
        <v>141</v>
      </c>
      <c r="H111" s="13">
        <f>H112+H114</f>
        <v>141</v>
      </c>
      <c r="I111" s="82"/>
      <c r="J111" s="83"/>
      <c r="K111" s="83"/>
      <c r="L111" s="83"/>
      <c r="M111" s="84"/>
    </row>
    <row r="112" spans="1:13" ht="25.5" customHeight="1" x14ac:dyDescent="0.25">
      <c r="A112" s="85" t="s">
        <v>217</v>
      </c>
      <c r="B112" s="88" t="s">
        <v>218</v>
      </c>
      <c r="C112" s="88" t="s">
        <v>187</v>
      </c>
      <c r="D112" s="17" t="s">
        <v>202</v>
      </c>
      <c r="E112" s="17"/>
      <c r="F112" s="18">
        <f>SUM(F113:F113)+50</f>
        <v>50</v>
      </c>
      <c r="G112" s="18">
        <f>SUM(G113:G113)+50</f>
        <v>50</v>
      </c>
      <c r="H112" s="18">
        <f>SUM(H113:H113)+50</f>
        <v>50</v>
      </c>
      <c r="I112" s="17" t="s">
        <v>219</v>
      </c>
      <c r="J112" s="19" t="s">
        <v>23</v>
      </c>
      <c r="K112" s="46">
        <v>1</v>
      </c>
      <c r="L112" s="46">
        <v>1</v>
      </c>
      <c r="M112" s="47">
        <v>0</v>
      </c>
    </row>
    <row r="113" spans="1:13" ht="15.75" thickBot="1" x14ac:dyDescent="0.3">
      <c r="A113" s="87"/>
      <c r="B113" s="90"/>
      <c r="C113" s="90"/>
      <c r="D113" s="21"/>
      <c r="E113" s="21"/>
      <c r="F113" s="22">
        <v>0</v>
      </c>
      <c r="G113" s="22">
        <v>0</v>
      </c>
      <c r="H113" s="22">
        <v>0</v>
      </c>
      <c r="I113" s="21" t="s">
        <v>220</v>
      </c>
      <c r="J113" s="23" t="s">
        <v>23</v>
      </c>
      <c r="K113" s="48">
        <v>3</v>
      </c>
      <c r="L113" s="48">
        <v>3</v>
      </c>
      <c r="M113" s="49">
        <v>3</v>
      </c>
    </row>
    <row r="114" spans="1:13" ht="41.25" customHeight="1" x14ac:dyDescent="0.25">
      <c r="A114" s="85" t="s">
        <v>221</v>
      </c>
      <c r="B114" s="88" t="s">
        <v>222</v>
      </c>
      <c r="C114" s="88" t="s">
        <v>187</v>
      </c>
      <c r="D114" s="17"/>
      <c r="E114" s="17"/>
      <c r="F114" s="18">
        <f>SUM(F115:F117)</f>
        <v>407.9</v>
      </c>
      <c r="G114" s="18">
        <f>SUM(G115:G117)</f>
        <v>91</v>
      </c>
      <c r="H114" s="18">
        <f>SUM(H115:H117)</f>
        <v>91</v>
      </c>
      <c r="I114" s="17" t="s">
        <v>223</v>
      </c>
      <c r="J114" s="19" t="s">
        <v>19</v>
      </c>
      <c r="K114" s="46">
        <v>100</v>
      </c>
      <c r="L114" s="46">
        <v>100</v>
      </c>
      <c r="M114" s="47">
        <v>100</v>
      </c>
    </row>
    <row r="115" spans="1:13" x14ac:dyDescent="0.25">
      <c r="A115" s="86"/>
      <c r="B115" s="89"/>
      <c r="C115" s="89"/>
      <c r="D115" s="21" t="s">
        <v>224</v>
      </c>
      <c r="E115" s="21"/>
      <c r="F115" s="22">
        <v>363.9</v>
      </c>
      <c r="G115" s="22">
        <v>0</v>
      </c>
      <c r="H115" s="22">
        <v>0</v>
      </c>
      <c r="I115" s="21" t="s">
        <v>225</v>
      </c>
      <c r="J115" s="23" t="s">
        <v>226</v>
      </c>
      <c r="K115" s="48">
        <v>9596</v>
      </c>
      <c r="L115" s="48">
        <v>7000</v>
      </c>
      <c r="M115" s="49">
        <v>7000</v>
      </c>
    </row>
    <row r="116" spans="1:13" x14ac:dyDescent="0.25">
      <c r="A116" s="86"/>
      <c r="B116" s="89"/>
      <c r="C116" s="89"/>
      <c r="D116" s="21" t="s">
        <v>202</v>
      </c>
      <c r="E116" s="21"/>
      <c r="F116" s="22">
        <v>42</v>
      </c>
      <c r="G116" s="22">
        <v>91</v>
      </c>
      <c r="H116" s="22">
        <v>91</v>
      </c>
      <c r="I116" s="21" t="s">
        <v>227</v>
      </c>
      <c r="J116" s="23" t="s">
        <v>23</v>
      </c>
      <c r="K116" s="48">
        <v>100</v>
      </c>
      <c r="L116" s="48">
        <v>100</v>
      </c>
      <c r="M116" s="49">
        <v>100</v>
      </c>
    </row>
    <row r="117" spans="1:13" ht="26.25" thickBot="1" x14ac:dyDescent="0.3">
      <c r="A117" s="87"/>
      <c r="B117" s="90"/>
      <c r="C117" s="90"/>
      <c r="D117" s="21" t="s">
        <v>127</v>
      </c>
      <c r="E117" s="21"/>
      <c r="F117" s="22">
        <v>2</v>
      </c>
      <c r="G117" s="22">
        <v>0</v>
      </c>
      <c r="H117" s="22">
        <v>0</v>
      </c>
      <c r="I117" s="21" t="s">
        <v>228</v>
      </c>
      <c r="J117" s="23" t="s">
        <v>226</v>
      </c>
      <c r="K117" s="48">
        <v>10000</v>
      </c>
      <c r="L117" s="48">
        <v>10000</v>
      </c>
      <c r="M117" s="49">
        <v>10000</v>
      </c>
    </row>
    <row r="118" spans="1:13" ht="27" customHeight="1" thickBot="1" x14ac:dyDescent="0.3">
      <c r="A118" s="11" t="s">
        <v>229</v>
      </c>
      <c r="B118" s="65" t="s">
        <v>230</v>
      </c>
      <c r="C118" s="66"/>
      <c r="D118" s="66"/>
      <c r="E118" s="67"/>
      <c r="F118" s="13">
        <f>F119+F122+F124+F125+F129+F132+F136+F137</f>
        <v>1293.5</v>
      </c>
      <c r="G118" s="13">
        <f>G119+G122+G124+G125+G129+G132+G136+G137</f>
        <v>325.7</v>
      </c>
      <c r="H118" s="13">
        <f>H119+H122+H124+H125+H129+H132+H136+H137</f>
        <v>325.7</v>
      </c>
      <c r="I118" s="65"/>
      <c r="J118" s="66"/>
      <c r="K118" s="66"/>
      <c r="L118" s="66"/>
      <c r="M118" s="112"/>
    </row>
    <row r="119" spans="1:13" x14ac:dyDescent="0.25">
      <c r="A119" s="85" t="s">
        <v>231</v>
      </c>
      <c r="B119" s="88" t="s">
        <v>232</v>
      </c>
      <c r="C119" s="88" t="s">
        <v>187</v>
      </c>
      <c r="D119" s="17"/>
      <c r="E119" s="17"/>
      <c r="F119" s="18">
        <f>SUM(F120:F121)</f>
        <v>170</v>
      </c>
      <c r="G119" s="18">
        <f>SUM(G120:G121)</f>
        <v>170</v>
      </c>
      <c r="H119" s="18">
        <f>SUM(H120:H121)</f>
        <v>170</v>
      </c>
      <c r="I119" s="17" t="s">
        <v>233</v>
      </c>
      <c r="J119" s="19" t="s">
        <v>23</v>
      </c>
      <c r="K119" s="19">
        <v>70</v>
      </c>
      <c r="L119" s="19">
        <v>70</v>
      </c>
      <c r="M119" s="40">
        <v>70</v>
      </c>
    </row>
    <row r="120" spans="1:13" ht="25.5" x14ac:dyDescent="0.25">
      <c r="A120" s="86"/>
      <c r="B120" s="89"/>
      <c r="C120" s="89"/>
      <c r="D120" s="21" t="s">
        <v>29</v>
      </c>
      <c r="E120" s="21"/>
      <c r="F120" s="22">
        <v>26</v>
      </c>
      <c r="G120" s="22">
        <v>50</v>
      </c>
      <c r="H120" s="22">
        <v>50</v>
      </c>
      <c r="I120" s="21" t="s">
        <v>234</v>
      </c>
      <c r="J120" s="23" t="s">
        <v>235</v>
      </c>
      <c r="K120" s="23">
        <v>1</v>
      </c>
      <c r="L120" s="23">
        <v>1</v>
      </c>
      <c r="M120" s="41">
        <v>0</v>
      </c>
    </row>
    <row r="121" spans="1:13" ht="15" customHeight="1" thickBot="1" x14ac:dyDescent="0.3">
      <c r="A121" s="87"/>
      <c r="B121" s="90"/>
      <c r="C121" s="90"/>
      <c r="D121" s="21" t="s">
        <v>202</v>
      </c>
      <c r="E121" s="21"/>
      <c r="F121" s="22">
        <v>144</v>
      </c>
      <c r="G121" s="22">
        <v>120</v>
      </c>
      <c r="H121" s="22">
        <v>120</v>
      </c>
      <c r="I121" s="21"/>
      <c r="J121" s="23"/>
      <c r="K121" s="23"/>
      <c r="L121" s="23"/>
      <c r="M121" s="41"/>
    </row>
    <row r="122" spans="1:13" ht="21" hidden="1" customHeight="1" thickBot="1" x14ac:dyDescent="0.3">
      <c r="A122" s="85" t="s">
        <v>236</v>
      </c>
      <c r="B122" s="88" t="s">
        <v>237</v>
      </c>
      <c r="C122" s="88" t="s">
        <v>187</v>
      </c>
      <c r="D122" s="17"/>
      <c r="E122" s="17" t="s">
        <v>197</v>
      </c>
      <c r="F122" s="18">
        <f>SUM(F123:F123)</f>
        <v>0</v>
      </c>
      <c r="G122" s="18">
        <f>SUM(G123:G123)</f>
        <v>0</v>
      </c>
      <c r="H122" s="18">
        <f>SUM(H123:H123)</f>
        <v>0</v>
      </c>
      <c r="I122" s="17"/>
      <c r="J122" s="19"/>
      <c r="K122" s="19">
        <v>0</v>
      </c>
      <c r="L122" s="19">
        <v>0</v>
      </c>
      <c r="M122" s="40">
        <v>0</v>
      </c>
    </row>
    <row r="123" spans="1:13" ht="27.75" hidden="1" customHeight="1" thickBot="1" x14ac:dyDescent="0.3">
      <c r="A123" s="87"/>
      <c r="B123" s="90"/>
      <c r="C123" s="90"/>
      <c r="D123" s="21"/>
      <c r="E123" s="21"/>
      <c r="F123" s="22">
        <v>0</v>
      </c>
      <c r="G123" s="22">
        <v>0</v>
      </c>
      <c r="H123" s="22">
        <v>0</v>
      </c>
      <c r="I123" s="21"/>
      <c r="J123" s="23"/>
      <c r="K123" s="23">
        <v>0</v>
      </c>
      <c r="L123" s="23">
        <v>0</v>
      </c>
      <c r="M123" s="41">
        <v>0</v>
      </c>
    </row>
    <row r="124" spans="1:13" ht="43.5" hidden="1" customHeight="1" thickBot="1" x14ac:dyDescent="0.3">
      <c r="A124" s="15" t="s">
        <v>240</v>
      </c>
      <c r="B124" s="16" t="s">
        <v>241</v>
      </c>
      <c r="C124" s="17" t="s">
        <v>187</v>
      </c>
      <c r="D124" s="17" t="s">
        <v>35</v>
      </c>
      <c r="E124" s="17"/>
      <c r="F124" s="24">
        <v>0</v>
      </c>
      <c r="G124" s="24">
        <v>0</v>
      </c>
      <c r="H124" s="24">
        <v>0</v>
      </c>
      <c r="I124" s="17"/>
      <c r="J124" s="19"/>
      <c r="K124" s="19"/>
      <c r="L124" s="19"/>
      <c r="M124" s="40"/>
    </row>
    <row r="125" spans="1:13" ht="28.5" customHeight="1" x14ac:dyDescent="0.25">
      <c r="A125" s="85" t="s">
        <v>242</v>
      </c>
      <c r="B125" s="88" t="s">
        <v>243</v>
      </c>
      <c r="C125" s="88" t="s">
        <v>244</v>
      </c>
      <c r="D125" s="17"/>
      <c r="E125" s="17"/>
      <c r="F125" s="18">
        <f>SUM(F126:F128)</f>
        <v>177.4</v>
      </c>
      <c r="G125" s="18">
        <f>SUM(G126:G128)</f>
        <v>102.7</v>
      </c>
      <c r="H125" s="18">
        <f>SUM(H126:H128)</f>
        <v>102.7</v>
      </c>
      <c r="I125" s="17" t="s">
        <v>245</v>
      </c>
      <c r="J125" s="19" t="s">
        <v>23</v>
      </c>
      <c r="K125" s="19">
        <v>1</v>
      </c>
      <c r="L125" s="19">
        <v>1</v>
      </c>
      <c r="M125" s="40">
        <v>1</v>
      </c>
    </row>
    <row r="126" spans="1:13" x14ac:dyDescent="0.25">
      <c r="A126" s="86"/>
      <c r="B126" s="89"/>
      <c r="C126" s="89"/>
      <c r="D126" s="21" t="s">
        <v>35</v>
      </c>
      <c r="E126" s="21"/>
      <c r="F126" s="22">
        <v>74.7</v>
      </c>
      <c r="G126" s="22">
        <v>0</v>
      </c>
      <c r="H126" s="22">
        <v>0</v>
      </c>
      <c r="I126" s="21" t="s">
        <v>246</v>
      </c>
      <c r="J126" s="23" t="s">
        <v>23</v>
      </c>
      <c r="K126" s="23">
        <v>1</v>
      </c>
      <c r="L126" s="23">
        <v>1</v>
      </c>
      <c r="M126" s="41">
        <v>1</v>
      </c>
    </row>
    <row r="127" spans="1:13" x14ac:dyDescent="0.25">
      <c r="A127" s="86"/>
      <c r="B127" s="89"/>
      <c r="C127" s="89"/>
      <c r="D127" s="21" t="s">
        <v>29</v>
      </c>
      <c r="E127" s="21"/>
      <c r="F127" s="22">
        <v>99.7</v>
      </c>
      <c r="G127" s="22">
        <v>99.7</v>
      </c>
      <c r="H127" s="22">
        <v>99.7</v>
      </c>
      <c r="I127" s="21"/>
      <c r="J127" s="23"/>
      <c r="K127" s="23"/>
      <c r="L127" s="23"/>
      <c r="M127" s="41"/>
    </row>
    <row r="128" spans="1:13" ht="15.75" thickBot="1" x14ac:dyDescent="0.3">
      <c r="A128" s="87"/>
      <c r="B128" s="90"/>
      <c r="C128" s="90"/>
      <c r="D128" s="21" t="s">
        <v>122</v>
      </c>
      <c r="E128" s="21"/>
      <c r="F128" s="22">
        <v>3</v>
      </c>
      <c r="G128" s="22">
        <v>3</v>
      </c>
      <c r="H128" s="22">
        <v>3</v>
      </c>
      <c r="I128" s="21"/>
      <c r="J128" s="23"/>
      <c r="K128" s="23"/>
      <c r="L128" s="23"/>
      <c r="M128" s="41"/>
    </row>
    <row r="129" spans="1:13" ht="25.5" x14ac:dyDescent="0.25">
      <c r="A129" s="85" t="s">
        <v>247</v>
      </c>
      <c r="B129" s="88" t="s">
        <v>248</v>
      </c>
      <c r="C129" s="88" t="s">
        <v>187</v>
      </c>
      <c r="D129" s="17"/>
      <c r="E129" s="17"/>
      <c r="F129" s="18">
        <f>SUM(F130:F131)</f>
        <v>73</v>
      </c>
      <c r="G129" s="18">
        <f>SUM(G130:G131)</f>
        <v>33</v>
      </c>
      <c r="H129" s="18">
        <f>SUM(H130:H131)</f>
        <v>33</v>
      </c>
      <c r="I129" s="17" t="s">
        <v>249</v>
      </c>
      <c r="J129" s="19" t="s">
        <v>191</v>
      </c>
      <c r="K129" s="19">
        <v>230</v>
      </c>
      <c r="L129" s="19">
        <v>230</v>
      </c>
      <c r="M129" s="40">
        <v>230</v>
      </c>
    </row>
    <row r="130" spans="1:13" x14ac:dyDescent="0.25">
      <c r="A130" s="86"/>
      <c r="B130" s="89"/>
      <c r="C130" s="89"/>
      <c r="D130" s="21" t="s">
        <v>202</v>
      </c>
      <c r="E130" s="21"/>
      <c r="F130" s="22">
        <v>63</v>
      </c>
      <c r="G130" s="22">
        <v>33</v>
      </c>
      <c r="H130" s="22">
        <v>33</v>
      </c>
      <c r="I130" s="21" t="s">
        <v>250</v>
      </c>
      <c r="J130" s="23" t="s">
        <v>23</v>
      </c>
      <c r="K130" s="23">
        <v>1</v>
      </c>
      <c r="L130" s="23"/>
      <c r="M130" s="41"/>
    </row>
    <row r="131" spans="1:13" ht="26.25" thickBot="1" x14ac:dyDescent="0.3">
      <c r="A131" s="87"/>
      <c r="B131" s="90"/>
      <c r="C131" s="90"/>
      <c r="D131" s="21" t="s">
        <v>29</v>
      </c>
      <c r="E131" s="21"/>
      <c r="F131" s="22">
        <v>10</v>
      </c>
      <c r="G131" s="22">
        <v>0</v>
      </c>
      <c r="H131" s="22">
        <v>0</v>
      </c>
      <c r="I131" s="21" t="s">
        <v>251</v>
      </c>
      <c r="J131" s="23" t="s">
        <v>238</v>
      </c>
      <c r="K131" s="56">
        <v>15000</v>
      </c>
      <c r="L131" s="56">
        <v>15000</v>
      </c>
      <c r="M131" s="57">
        <v>15000</v>
      </c>
    </row>
    <row r="132" spans="1:13" ht="25.5" x14ac:dyDescent="0.25">
      <c r="A132" s="85" t="s">
        <v>252</v>
      </c>
      <c r="B132" s="88" t="s">
        <v>253</v>
      </c>
      <c r="C132" s="88" t="s">
        <v>206</v>
      </c>
      <c r="D132" s="17"/>
      <c r="E132" s="17"/>
      <c r="F132" s="18">
        <f>SUM(F133:F135)</f>
        <v>853.1</v>
      </c>
      <c r="G132" s="18">
        <f>SUM(G133:G135)</f>
        <v>0</v>
      </c>
      <c r="H132" s="18">
        <f>SUM(H133:H135)</f>
        <v>0</v>
      </c>
      <c r="I132" s="17" t="s">
        <v>254</v>
      </c>
      <c r="J132" s="19" t="s">
        <v>255</v>
      </c>
      <c r="K132" s="19">
        <v>13</v>
      </c>
      <c r="L132" s="19"/>
      <c r="M132" s="40"/>
    </row>
    <row r="133" spans="1:13" x14ac:dyDescent="0.25">
      <c r="A133" s="86"/>
      <c r="B133" s="89"/>
      <c r="C133" s="89"/>
      <c r="D133" s="21" t="s">
        <v>29</v>
      </c>
      <c r="E133" s="21"/>
      <c r="F133" s="22">
        <v>81.5</v>
      </c>
      <c r="G133" s="22">
        <v>0</v>
      </c>
      <c r="H133" s="22">
        <v>0</v>
      </c>
      <c r="I133" s="21" t="s">
        <v>170</v>
      </c>
      <c r="J133" s="23" t="s">
        <v>19</v>
      </c>
      <c r="K133" s="23">
        <v>100</v>
      </c>
      <c r="L133" s="23"/>
      <c r="M133" s="41"/>
    </row>
    <row r="134" spans="1:13" x14ac:dyDescent="0.25">
      <c r="A134" s="86"/>
      <c r="B134" s="89"/>
      <c r="C134" s="89"/>
      <c r="D134" s="21" t="s">
        <v>135</v>
      </c>
      <c r="E134" s="21"/>
      <c r="F134" s="22">
        <v>625.6</v>
      </c>
      <c r="G134" s="22"/>
      <c r="H134" s="22"/>
      <c r="I134" s="21"/>
      <c r="J134" s="23"/>
      <c r="K134" s="23"/>
      <c r="L134" s="23"/>
      <c r="M134" s="41"/>
    </row>
    <row r="135" spans="1:13" ht="15.75" thickBot="1" x14ac:dyDescent="0.3">
      <c r="A135" s="87"/>
      <c r="B135" s="90"/>
      <c r="C135" s="90"/>
      <c r="D135" s="21" t="s">
        <v>35</v>
      </c>
      <c r="E135" s="21"/>
      <c r="F135" s="22">
        <v>146</v>
      </c>
      <c r="G135" s="22"/>
      <c r="H135" s="22"/>
      <c r="I135" s="21"/>
      <c r="J135" s="23"/>
      <c r="K135" s="23"/>
      <c r="L135" s="23"/>
      <c r="M135" s="41"/>
    </row>
    <row r="136" spans="1:13" ht="51.75" thickBot="1" x14ac:dyDescent="0.3">
      <c r="A136" s="15" t="s">
        <v>256</v>
      </c>
      <c r="B136" s="16" t="s">
        <v>257</v>
      </c>
      <c r="C136" s="17" t="s">
        <v>258</v>
      </c>
      <c r="D136" s="17" t="s">
        <v>202</v>
      </c>
      <c r="E136" s="17"/>
      <c r="F136" s="24">
        <v>5</v>
      </c>
      <c r="G136" s="24">
        <v>5</v>
      </c>
      <c r="H136" s="24">
        <v>5</v>
      </c>
      <c r="I136" s="17" t="s">
        <v>259</v>
      </c>
      <c r="J136" s="19" t="s">
        <v>19</v>
      </c>
      <c r="K136" s="19">
        <v>100</v>
      </c>
      <c r="L136" s="19">
        <v>100</v>
      </c>
      <c r="M136" s="40">
        <v>100</v>
      </c>
    </row>
    <row r="137" spans="1:13" ht="77.25" thickBot="1" x14ac:dyDescent="0.3">
      <c r="A137" s="15" t="s">
        <v>260</v>
      </c>
      <c r="B137" s="16" t="s">
        <v>261</v>
      </c>
      <c r="C137" s="17" t="s">
        <v>187</v>
      </c>
      <c r="D137" s="17" t="s">
        <v>29</v>
      </c>
      <c r="E137" s="17"/>
      <c r="F137" s="24">
        <v>15</v>
      </c>
      <c r="G137" s="24">
        <v>15</v>
      </c>
      <c r="H137" s="24">
        <v>15</v>
      </c>
      <c r="I137" s="17" t="s">
        <v>262</v>
      </c>
      <c r="J137" s="19" t="s">
        <v>239</v>
      </c>
      <c r="K137" s="19">
        <v>16</v>
      </c>
      <c r="L137" s="19">
        <v>16</v>
      </c>
      <c r="M137" s="40">
        <v>17</v>
      </c>
    </row>
    <row r="138" spans="1:13" ht="26.25" customHeight="1" thickBot="1" x14ac:dyDescent="0.3">
      <c r="A138" s="11" t="s">
        <v>263</v>
      </c>
      <c r="B138" s="65" t="s">
        <v>264</v>
      </c>
      <c r="C138" s="66"/>
      <c r="D138" s="66"/>
      <c r="E138" s="67"/>
      <c r="F138" s="13">
        <f>SUM(F139:F140)</f>
        <v>11</v>
      </c>
      <c r="G138" s="13">
        <f>SUM(G139:G140)</f>
        <v>11</v>
      </c>
      <c r="H138" s="13">
        <f>SUM(H139:H140)</f>
        <v>11</v>
      </c>
      <c r="I138" s="82"/>
      <c r="J138" s="83"/>
      <c r="K138" s="83"/>
      <c r="L138" s="83"/>
      <c r="M138" s="84"/>
    </row>
    <row r="139" spans="1:13" ht="39" thickBot="1" x14ac:dyDescent="0.3">
      <c r="A139" s="15" t="s">
        <v>265</v>
      </c>
      <c r="B139" s="16" t="s">
        <v>266</v>
      </c>
      <c r="C139" s="17" t="s">
        <v>187</v>
      </c>
      <c r="D139" s="17" t="s">
        <v>202</v>
      </c>
      <c r="E139" s="17"/>
      <c r="F139" s="24">
        <v>8</v>
      </c>
      <c r="G139" s="24">
        <v>8</v>
      </c>
      <c r="H139" s="24">
        <v>8</v>
      </c>
      <c r="I139" s="17" t="s">
        <v>267</v>
      </c>
      <c r="J139" s="19" t="s">
        <v>23</v>
      </c>
      <c r="K139" s="19">
        <v>5</v>
      </c>
      <c r="L139" s="19">
        <v>5</v>
      </c>
      <c r="M139" s="40">
        <v>5</v>
      </c>
    </row>
    <row r="140" spans="1:13" ht="24" customHeight="1" x14ac:dyDescent="0.25">
      <c r="A140" s="85" t="s">
        <v>268</v>
      </c>
      <c r="B140" s="88" t="s">
        <v>269</v>
      </c>
      <c r="C140" s="88" t="s">
        <v>187</v>
      </c>
      <c r="D140" s="17" t="s">
        <v>202</v>
      </c>
      <c r="E140" s="17"/>
      <c r="F140" s="18">
        <f>SUM(F141:F142)+3</f>
        <v>3</v>
      </c>
      <c r="G140" s="18">
        <f>SUM(G141:G142)+3</f>
        <v>3</v>
      </c>
      <c r="H140" s="18">
        <f>SUM(H141:H142)+3</f>
        <v>3</v>
      </c>
      <c r="I140" s="17" t="s">
        <v>270</v>
      </c>
      <c r="J140" s="19" t="s">
        <v>23</v>
      </c>
      <c r="K140" s="19">
        <v>40</v>
      </c>
      <c r="L140" s="19">
        <v>40</v>
      </c>
      <c r="M140" s="40">
        <v>40</v>
      </c>
    </row>
    <row r="141" spans="1:13" ht="25.5" x14ac:dyDescent="0.25">
      <c r="A141" s="86"/>
      <c r="B141" s="89"/>
      <c r="C141" s="89"/>
      <c r="D141" s="21"/>
      <c r="E141" s="21"/>
      <c r="F141" s="22">
        <v>0</v>
      </c>
      <c r="G141" s="22">
        <v>0</v>
      </c>
      <c r="H141" s="22">
        <v>0</v>
      </c>
      <c r="I141" s="21" t="s">
        <v>271</v>
      </c>
      <c r="J141" s="23" t="s">
        <v>23</v>
      </c>
      <c r="K141" s="23">
        <v>2</v>
      </c>
      <c r="L141" s="23">
        <v>2</v>
      </c>
      <c r="M141" s="41">
        <v>2</v>
      </c>
    </row>
    <row r="142" spans="1:13" ht="15.75" thickBot="1" x14ac:dyDescent="0.3">
      <c r="A142" s="87"/>
      <c r="B142" s="90"/>
      <c r="C142" s="90"/>
      <c r="D142" s="21"/>
      <c r="E142" s="21"/>
      <c r="F142" s="22">
        <v>0</v>
      </c>
      <c r="G142" s="22">
        <v>0</v>
      </c>
      <c r="H142" s="22">
        <v>0</v>
      </c>
      <c r="I142" s="21" t="s">
        <v>272</v>
      </c>
      <c r="J142" s="23" t="s">
        <v>23</v>
      </c>
      <c r="K142" s="23">
        <v>2</v>
      </c>
      <c r="L142" s="23">
        <v>2</v>
      </c>
      <c r="M142" s="41">
        <v>2</v>
      </c>
    </row>
    <row r="143" spans="1:13" ht="26.25" customHeight="1" thickBot="1" x14ac:dyDescent="0.3">
      <c r="A143" s="11" t="s">
        <v>273</v>
      </c>
      <c r="B143" s="65" t="s">
        <v>274</v>
      </c>
      <c r="C143" s="66"/>
      <c r="D143" s="66"/>
      <c r="E143" s="67"/>
      <c r="F143" s="13">
        <f>F144+F146</f>
        <v>740.9</v>
      </c>
      <c r="G143" s="13">
        <f>G144+G146</f>
        <v>25.1</v>
      </c>
      <c r="H143" s="13">
        <f>H144+H146</f>
        <v>25.1</v>
      </c>
      <c r="I143" s="65"/>
      <c r="J143" s="66"/>
      <c r="K143" s="66"/>
      <c r="L143" s="66"/>
      <c r="M143" s="112"/>
    </row>
    <row r="144" spans="1:13" ht="27" customHeight="1" x14ac:dyDescent="0.25">
      <c r="A144" s="85" t="s">
        <v>275</v>
      </c>
      <c r="B144" s="88" t="s">
        <v>276</v>
      </c>
      <c r="C144" s="88" t="s">
        <v>187</v>
      </c>
      <c r="D144" s="17"/>
      <c r="E144" s="17"/>
      <c r="F144" s="18">
        <f>SUM(F145:F145)</f>
        <v>24</v>
      </c>
      <c r="G144" s="18">
        <f>SUM(G145:G145)</f>
        <v>0</v>
      </c>
      <c r="H144" s="18">
        <f>SUM(H145:H145)</f>
        <v>0</v>
      </c>
      <c r="I144" s="17" t="s">
        <v>277</v>
      </c>
      <c r="J144" s="19" t="s">
        <v>23</v>
      </c>
      <c r="K144" s="19">
        <v>1</v>
      </c>
      <c r="L144" s="19">
        <v>0</v>
      </c>
      <c r="M144" s="40">
        <v>0</v>
      </c>
    </row>
    <row r="145" spans="1:13" ht="15.75" thickBot="1" x14ac:dyDescent="0.3">
      <c r="A145" s="87"/>
      <c r="B145" s="90"/>
      <c r="C145" s="90"/>
      <c r="D145" s="21" t="s">
        <v>29</v>
      </c>
      <c r="E145" s="21"/>
      <c r="F145" s="22">
        <v>24</v>
      </c>
      <c r="G145" s="22">
        <v>0</v>
      </c>
      <c r="H145" s="22">
        <v>0</v>
      </c>
      <c r="I145" s="21"/>
      <c r="J145" s="23"/>
      <c r="K145" s="23"/>
      <c r="L145" s="23"/>
      <c r="M145" s="41"/>
    </row>
    <row r="146" spans="1:13" ht="17.25" customHeight="1" x14ac:dyDescent="0.25">
      <c r="A146" s="85" t="s">
        <v>278</v>
      </c>
      <c r="B146" s="88" t="s">
        <v>279</v>
      </c>
      <c r="C146" s="88" t="s">
        <v>280</v>
      </c>
      <c r="D146" s="17"/>
      <c r="E146" s="17"/>
      <c r="F146" s="18">
        <f>SUM(F147:F149)</f>
        <v>716.9</v>
      </c>
      <c r="G146" s="18">
        <f>SUM(G147:G149)</f>
        <v>25.1</v>
      </c>
      <c r="H146" s="18">
        <f>SUM(H147:H149)</f>
        <v>25.1</v>
      </c>
      <c r="I146" s="17" t="s">
        <v>281</v>
      </c>
      <c r="J146" s="19" t="s">
        <v>282</v>
      </c>
      <c r="K146" s="19">
        <v>512</v>
      </c>
      <c r="L146" s="19"/>
      <c r="M146" s="40"/>
    </row>
    <row r="147" spans="1:13" ht="25.5" x14ac:dyDescent="0.25">
      <c r="A147" s="86"/>
      <c r="B147" s="89"/>
      <c r="C147" s="89"/>
      <c r="D147" s="21" t="s">
        <v>127</v>
      </c>
      <c r="E147" s="21"/>
      <c r="F147" s="22">
        <v>122</v>
      </c>
      <c r="G147" s="22">
        <v>0</v>
      </c>
      <c r="H147" s="22">
        <v>0</v>
      </c>
      <c r="I147" s="21" t="s">
        <v>283</v>
      </c>
      <c r="J147" s="23" t="s">
        <v>19</v>
      </c>
      <c r="K147" s="23"/>
      <c r="L147" s="23">
        <v>100</v>
      </c>
      <c r="M147" s="41">
        <v>100</v>
      </c>
    </row>
    <row r="148" spans="1:13" x14ac:dyDescent="0.25">
      <c r="A148" s="86"/>
      <c r="B148" s="89"/>
      <c r="C148" s="89"/>
      <c r="D148" s="21" t="s">
        <v>35</v>
      </c>
      <c r="E148" s="21"/>
      <c r="F148" s="22">
        <v>69.900000000000006</v>
      </c>
      <c r="G148" s="22"/>
      <c r="H148" s="22"/>
      <c r="I148" s="21"/>
      <c r="J148" s="23"/>
      <c r="K148" s="23"/>
      <c r="L148" s="23"/>
      <c r="M148" s="41"/>
    </row>
    <row r="149" spans="1:13" ht="15.75" thickBot="1" x14ac:dyDescent="0.3">
      <c r="A149" s="87"/>
      <c r="B149" s="90"/>
      <c r="C149" s="90"/>
      <c r="D149" s="21" t="s">
        <v>29</v>
      </c>
      <c r="E149" s="21"/>
      <c r="F149" s="22">
        <v>525</v>
      </c>
      <c r="G149" s="22">
        <v>25.1</v>
      </c>
      <c r="H149" s="22">
        <v>25.1</v>
      </c>
      <c r="I149" s="21"/>
      <c r="J149" s="23"/>
      <c r="K149" s="23"/>
      <c r="L149" s="23"/>
      <c r="M149" s="41"/>
    </row>
    <row r="150" spans="1:13" ht="39" thickBot="1" x14ac:dyDescent="0.3">
      <c r="A150" s="4" t="s">
        <v>284</v>
      </c>
      <c r="B150" s="5" t="s">
        <v>285</v>
      </c>
      <c r="C150" s="91" t="s">
        <v>187</v>
      </c>
      <c r="D150" s="92"/>
      <c r="E150" s="93"/>
      <c r="F150" s="6">
        <f>F151+F199</f>
        <v>22232.9</v>
      </c>
      <c r="G150" s="6">
        <f>G151+G199</f>
        <v>20782.5</v>
      </c>
      <c r="H150" s="6">
        <f>H151+H199</f>
        <v>21653.3</v>
      </c>
      <c r="I150" s="68"/>
      <c r="J150" s="69"/>
      <c r="K150" s="69"/>
      <c r="L150" s="69"/>
      <c r="M150" s="70"/>
    </row>
    <row r="151" spans="1:13" ht="28.5" customHeight="1" thickBot="1" x14ac:dyDescent="0.3">
      <c r="A151" s="7" t="s">
        <v>286</v>
      </c>
      <c r="B151" s="94" t="s">
        <v>287</v>
      </c>
      <c r="C151" s="95"/>
      <c r="D151" s="95"/>
      <c r="E151" s="96"/>
      <c r="F151" s="9">
        <f>F152+F160+F170</f>
        <v>11961.1</v>
      </c>
      <c r="G151" s="9">
        <f>G152+G160+G170</f>
        <v>9265.5</v>
      </c>
      <c r="H151" s="9">
        <f>H152+H160+H170</f>
        <v>9706.2999999999993</v>
      </c>
      <c r="I151" s="8" t="s">
        <v>288</v>
      </c>
      <c r="J151" s="10" t="s">
        <v>19</v>
      </c>
      <c r="K151" s="10">
        <v>100</v>
      </c>
      <c r="L151" s="10">
        <v>100</v>
      </c>
      <c r="M151" s="45">
        <v>100</v>
      </c>
    </row>
    <row r="152" spans="1:13" ht="24" customHeight="1" thickBot="1" x14ac:dyDescent="0.3">
      <c r="A152" s="11" t="s">
        <v>289</v>
      </c>
      <c r="B152" s="65" t="s">
        <v>290</v>
      </c>
      <c r="C152" s="66"/>
      <c r="D152" s="66"/>
      <c r="E152" s="67"/>
      <c r="F152" s="13">
        <f>F153+F158</f>
        <v>8255.7000000000007</v>
      </c>
      <c r="G152" s="13">
        <f>G153+G158</f>
        <v>8665.5</v>
      </c>
      <c r="H152" s="13">
        <f>H153+H158</f>
        <v>9106.2999999999993</v>
      </c>
      <c r="I152" s="82"/>
      <c r="J152" s="83"/>
      <c r="K152" s="83"/>
      <c r="L152" s="83"/>
      <c r="M152" s="84"/>
    </row>
    <row r="153" spans="1:13" ht="63.75" x14ac:dyDescent="0.25">
      <c r="A153" s="85" t="s">
        <v>291</v>
      </c>
      <c r="B153" s="88" t="s">
        <v>292</v>
      </c>
      <c r="C153" s="88" t="s">
        <v>293</v>
      </c>
      <c r="D153" s="17"/>
      <c r="E153" s="17"/>
      <c r="F153" s="18">
        <f>SUM(F154:F157)</f>
        <v>7955.7</v>
      </c>
      <c r="G153" s="18">
        <f>SUM(G154:G157)</f>
        <v>7365.5</v>
      </c>
      <c r="H153" s="18">
        <f>SUM(H154:H157)</f>
        <v>7366.3</v>
      </c>
      <c r="I153" s="17" t="s">
        <v>294</v>
      </c>
      <c r="J153" s="19" t="s">
        <v>19</v>
      </c>
      <c r="K153" s="19">
        <v>100</v>
      </c>
      <c r="L153" s="19">
        <v>100</v>
      </c>
      <c r="M153" s="40">
        <v>100</v>
      </c>
    </row>
    <row r="154" spans="1:13" ht="51" x14ac:dyDescent="0.25">
      <c r="A154" s="86"/>
      <c r="B154" s="89"/>
      <c r="C154" s="89"/>
      <c r="D154" s="21" t="s">
        <v>35</v>
      </c>
      <c r="E154" s="21"/>
      <c r="F154" s="22">
        <v>550</v>
      </c>
      <c r="G154" s="22">
        <v>0</v>
      </c>
      <c r="H154" s="22">
        <v>0</v>
      </c>
      <c r="I154" s="21" t="s">
        <v>295</v>
      </c>
      <c r="J154" s="23" t="s">
        <v>19</v>
      </c>
      <c r="K154" s="23">
        <v>100</v>
      </c>
      <c r="L154" s="23">
        <v>100</v>
      </c>
      <c r="M154" s="41">
        <v>100</v>
      </c>
    </row>
    <row r="155" spans="1:13" x14ac:dyDescent="0.25">
      <c r="A155" s="86"/>
      <c r="B155" s="89"/>
      <c r="C155" s="89"/>
      <c r="D155" s="21" t="s">
        <v>296</v>
      </c>
      <c r="E155" s="21"/>
      <c r="F155" s="22">
        <v>355</v>
      </c>
      <c r="G155" s="22">
        <v>360</v>
      </c>
      <c r="H155" s="22">
        <v>360</v>
      </c>
      <c r="I155" s="21" t="s">
        <v>297</v>
      </c>
      <c r="J155" s="23" t="s">
        <v>255</v>
      </c>
      <c r="K155" s="23">
        <v>0</v>
      </c>
      <c r="L155" s="23">
        <v>0</v>
      </c>
      <c r="M155" s="41">
        <v>0</v>
      </c>
    </row>
    <row r="156" spans="1:13" x14ac:dyDescent="0.25">
      <c r="A156" s="86"/>
      <c r="B156" s="89"/>
      <c r="C156" s="89"/>
      <c r="D156" s="21" t="s">
        <v>29</v>
      </c>
      <c r="E156" s="21"/>
      <c r="F156" s="22">
        <v>7039.9</v>
      </c>
      <c r="G156" s="22">
        <v>7005.5</v>
      </c>
      <c r="H156" s="22">
        <v>7006.3</v>
      </c>
      <c r="I156" s="21" t="s">
        <v>298</v>
      </c>
      <c r="J156" s="23" t="s">
        <v>23</v>
      </c>
      <c r="K156" s="23">
        <v>12</v>
      </c>
      <c r="L156" s="23">
        <v>12</v>
      </c>
      <c r="M156" s="41">
        <v>0</v>
      </c>
    </row>
    <row r="157" spans="1:13" ht="15.75" thickBot="1" x14ac:dyDescent="0.3">
      <c r="A157" s="87"/>
      <c r="B157" s="90"/>
      <c r="C157" s="90"/>
      <c r="D157" s="21" t="s">
        <v>127</v>
      </c>
      <c r="E157" s="21"/>
      <c r="F157" s="22">
        <v>10.8</v>
      </c>
      <c r="G157" s="22"/>
      <c r="H157" s="22"/>
      <c r="I157" s="21"/>
      <c r="J157" s="23"/>
      <c r="K157" s="23"/>
      <c r="L157" s="23"/>
      <c r="M157" s="41"/>
    </row>
    <row r="158" spans="1:13" ht="25.5" x14ac:dyDescent="0.25">
      <c r="A158" s="85" t="s">
        <v>299</v>
      </c>
      <c r="B158" s="88" t="s">
        <v>300</v>
      </c>
      <c r="C158" s="88" t="s">
        <v>187</v>
      </c>
      <c r="D158" s="17" t="s">
        <v>29</v>
      </c>
      <c r="E158" s="17"/>
      <c r="F158" s="18">
        <f>SUM(F159:F159)+300</f>
        <v>300</v>
      </c>
      <c r="G158" s="18">
        <f>SUM(G159:G159)+1300</f>
        <v>1300</v>
      </c>
      <c r="H158" s="18">
        <f>SUM(H159:H159)+1740</f>
        <v>1740</v>
      </c>
      <c r="I158" s="17" t="s">
        <v>301</v>
      </c>
      <c r="J158" s="19" t="s">
        <v>23</v>
      </c>
      <c r="K158" s="19">
        <v>100</v>
      </c>
      <c r="L158" s="19">
        <v>100</v>
      </c>
      <c r="M158" s="40">
        <v>100</v>
      </c>
    </row>
    <row r="159" spans="1:13" ht="26.25" thickBot="1" x14ac:dyDescent="0.3">
      <c r="A159" s="87"/>
      <c r="B159" s="90"/>
      <c r="C159" s="90"/>
      <c r="D159" s="21"/>
      <c r="E159" s="21"/>
      <c r="F159" s="22">
        <v>0</v>
      </c>
      <c r="G159" s="22">
        <v>0</v>
      </c>
      <c r="H159" s="22">
        <v>0</v>
      </c>
      <c r="I159" s="21" t="s">
        <v>302</v>
      </c>
      <c r="J159" s="23" t="s">
        <v>19</v>
      </c>
      <c r="K159" s="23"/>
      <c r="L159" s="23">
        <v>25</v>
      </c>
      <c r="M159" s="41">
        <v>35</v>
      </c>
    </row>
    <row r="160" spans="1:13" ht="26.25" customHeight="1" thickBot="1" x14ac:dyDescent="0.3">
      <c r="A160" s="11" t="s">
        <v>303</v>
      </c>
      <c r="B160" s="65" t="s">
        <v>304</v>
      </c>
      <c r="C160" s="66"/>
      <c r="D160" s="66"/>
      <c r="E160" s="67"/>
      <c r="F160" s="13">
        <f>F161+F164+F167</f>
        <v>968.3</v>
      </c>
      <c r="G160" s="13">
        <f>G161+G164+G167</f>
        <v>300</v>
      </c>
      <c r="H160" s="13">
        <f>H161+H164+H167</f>
        <v>300</v>
      </c>
      <c r="I160" s="82"/>
      <c r="J160" s="83"/>
      <c r="K160" s="83"/>
      <c r="L160" s="83"/>
      <c r="M160" s="84"/>
    </row>
    <row r="161" spans="1:13" x14ac:dyDescent="0.25">
      <c r="A161" s="85" t="s">
        <v>305</v>
      </c>
      <c r="B161" s="88" t="s">
        <v>306</v>
      </c>
      <c r="C161" s="88" t="s">
        <v>187</v>
      </c>
      <c r="D161" s="17" t="s">
        <v>29</v>
      </c>
      <c r="E161" s="17"/>
      <c r="F161" s="18">
        <f>SUM(F162:F163)+333</f>
        <v>333</v>
      </c>
      <c r="G161" s="18">
        <f>SUM(G162:G163)+300</f>
        <v>300</v>
      </c>
      <c r="H161" s="18">
        <f>SUM(H162:H163)+300</f>
        <v>300</v>
      </c>
      <c r="I161" s="17" t="s">
        <v>307</v>
      </c>
      <c r="J161" s="19" t="s">
        <v>23</v>
      </c>
      <c r="K161" s="19">
        <v>1</v>
      </c>
      <c r="L161" s="19">
        <v>1</v>
      </c>
      <c r="M161" s="40">
        <v>0</v>
      </c>
    </row>
    <row r="162" spans="1:13" x14ac:dyDescent="0.25">
      <c r="A162" s="86"/>
      <c r="B162" s="89"/>
      <c r="C162" s="89"/>
      <c r="D162" s="21"/>
      <c r="E162" s="21"/>
      <c r="F162" s="22">
        <v>0</v>
      </c>
      <c r="G162" s="22">
        <v>0</v>
      </c>
      <c r="H162" s="22">
        <v>0</v>
      </c>
      <c r="I162" s="21" t="s">
        <v>308</v>
      </c>
      <c r="J162" s="23" t="s">
        <v>309</v>
      </c>
      <c r="K162" s="23">
        <v>0.5</v>
      </c>
      <c r="L162" s="23">
        <v>0.5</v>
      </c>
      <c r="M162" s="41">
        <v>0.5</v>
      </c>
    </row>
    <row r="163" spans="1:13" ht="26.25" thickBot="1" x14ac:dyDescent="0.3">
      <c r="A163" s="87"/>
      <c r="B163" s="90"/>
      <c r="C163" s="90"/>
      <c r="D163" s="21"/>
      <c r="E163" s="21"/>
      <c r="F163" s="22">
        <v>0</v>
      </c>
      <c r="G163" s="22">
        <v>0</v>
      </c>
      <c r="H163" s="22">
        <v>0</v>
      </c>
      <c r="I163" s="21" t="s">
        <v>310</v>
      </c>
      <c r="J163" s="23" t="s">
        <v>19</v>
      </c>
      <c r="K163" s="23">
        <v>100</v>
      </c>
      <c r="L163" s="23">
        <v>100</v>
      </c>
      <c r="M163" s="41">
        <v>100</v>
      </c>
    </row>
    <row r="164" spans="1:13" x14ac:dyDescent="0.25">
      <c r="A164" s="85" t="s">
        <v>311</v>
      </c>
      <c r="B164" s="88" t="s">
        <v>312</v>
      </c>
      <c r="C164" s="88" t="s">
        <v>313</v>
      </c>
      <c r="D164" s="17"/>
      <c r="E164" s="17"/>
      <c r="F164" s="18">
        <f>SUM(F165:F166)</f>
        <v>200.10000000000002</v>
      </c>
      <c r="G164" s="18">
        <f>SUM(G165:G166)</f>
        <v>0</v>
      </c>
      <c r="H164" s="18">
        <f>SUM(H165:H166)</f>
        <v>0</v>
      </c>
      <c r="I164" s="17" t="s">
        <v>314</v>
      </c>
      <c r="J164" s="19" t="s">
        <v>19</v>
      </c>
      <c r="K164" s="19">
        <v>100</v>
      </c>
      <c r="L164" s="19">
        <v>0</v>
      </c>
      <c r="M164" s="40">
        <v>0</v>
      </c>
    </row>
    <row r="165" spans="1:13" ht="25.5" x14ac:dyDescent="0.25">
      <c r="A165" s="86"/>
      <c r="B165" s="89"/>
      <c r="C165" s="89"/>
      <c r="D165" s="21" t="s">
        <v>35</v>
      </c>
      <c r="E165" s="21"/>
      <c r="F165" s="22">
        <v>147.9</v>
      </c>
      <c r="G165" s="22">
        <v>0</v>
      </c>
      <c r="H165" s="22">
        <v>0</v>
      </c>
      <c r="I165" s="21" t="s">
        <v>315</v>
      </c>
      <c r="J165" s="23" t="s">
        <v>19</v>
      </c>
      <c r="K165" s="23">
        <v>100</v>
      </c>
      <c r="L165" s="23">
        <v>100</v>
      </c>
      <c r="M165" s="41">
        <v>100</v>
      </c>
    </row>
    <row r="166" spans="1:13" ht="15.75" thickBot="1" x14ac:dyDescent="0.3">
      <c r="A166" s="87"/>
      <c r="B166" s="90"/>
      <c r="C166" s="90"/>
      <c r="D166" s="21" t="s">
        <v>29</v>
      </c>
      <c r="E166" s="21"/>
      <c r="F166" s="22">
        <v>52.2</v>
      </c>
      <c r="G166" s="22"/>
      <c r="H166" s="22"/>
      <c r="I166" s="21"/>
      <c r="J166" s="23"/>
      <c r="K166" s="23"/>
      <c r="L166" s="23"/>
      <c r="M166" s="41"/>
    </row>
    <row r="167" spans="1:13" ht="38.25" x14ac:dyDescent="0.25">
      <c r="A167" s="85" t="s">
        <v>316</v>
      </c>
      <c r="B167" s="88" t="s">
        <v>317</v>
      </c>
      <c r="C167" s="88" t="s">
        <v>318</v>
      </c>
      <c r="D167" s="17"/>
      <c r="E167" s="17"/>
      <c r="F167" s="18">
        <f>SUM(F168:F169)</f>
        <v>435.2</v>
      </c>
      <c r="G167" s="18">
        <f>SUM(G168:G169)</f>
        <v>0</v>
      </c>
      <c r="H167" s="18">
        <f>SUM(H168:H169)</f>
        <v>0</v>
      </c>
      <c r="I167" s="17" t="s">
        <v>319</v>
      </c>
      <c r="J167" s="19" t="s">
        <v>19</v>
      </c>
      <c r="K167" s="19">
        <v>0</v>
      </c>
      <c r="L167" s="19">
        <v>0</v>
      </c>
      <c r="M167" s="40">
        <v>0</v>
      </c>
    </row>
    <row r="168" spans="1:13" x14ac:dyDescent="0.25">
      <c r="A168" s="86"/>
      <c r="B168" s="89"/>
      <c r="C168" s="89"/>
      <c r="D168" s="21" t="s">
        <v>35</v>
      </c>
      <c r="E168" s="21"/>
      <c r="F168" s="22">
        <v>287.39999999999998</v>
      </c>
      <c r="G168" s="22">
        <v>0</v>
      </c>
      <c r="H168" s="22">
        <v>0</v>
      </c>
      <c r="I168" s="21"/>
      <c r="J168" s="23"/>
      <c r="K168" s="23"/>
      <c r="L168" s="23"/>
      <c r="M168" s="41"/>
    </row>
    <row r="169" spans="1:13" ht="15.75" thickBot="1" x14ac:dyDescent="0.3">
      <c r="A169" s="87"/>
      <c r="B169" s="90"/>
      <c r="C169" s="90"/>
      <c r="D169" s="21" t="s">
        <v>29</v>
      </c>
      <c r="E169" s="21"/>
      <c r="F169" s="22">
        <v>147.80000000000001</v>
      </c>
      <c r="G169" s="22">
        <v>0</v>
      </c>
      <c r="H169" s="22">
        <v>0</v>
      </c>
      <c r="I169" s="21"/>
      <c r="J169" s="23"/>
      <c r="K169" s="23"/>
      <c r="L169" s="23"/>
      <c r="M169" s="41"/>
    </row>
    <row r="170" spans="1:13" ht="25.5" customHeight="1" thickBot="1" x14ac:dyDescent="0.3">
      <c r="A170" s="11" t="s">
        <v>320</v>
      </c>
      <c r="B170" s="65" t="s">
        <v>321</v>
      </c>
      <c r="C170" s="66"/>
      <c r="D170" s="66"/>
      <c r="E170" s="67"/>
      <c r="F170" s="13">
        <f>F171+F175+F179+F183+F187+F192+F195</f>
        <v>2737.1</v>
      </c>
      <c r="G170" s="13">
        <f>G171+G175+G179+G183+G187+G192+G195</f>
        <v>300</v>
      </c>
      <c r="H170" s="13">
        <f>H171+H175+H179+H183+H187+H192+H195</f>
        <v>300</v>
      </c>
      <c r="I170" s="82"/>
      <c r="J170" s="83"/>
      <c r="K170" s="83"/>
      <c r="L170" s="83"/>
      <c r="M170" s="84"/>
    </row>
    <row r="171" spans="1:13" x14ac:dyDescent="0.25">
      <c r="A171" s="85" t="s">
        <v>322</v>
      </c>
      <c r="B171" s="88" t="s">
        <v>323</v>
      </c>
      <c r="C171" s="88" t="s">
        <v>324</v>
      </c>
      <c r="D171" s="17"/>
      <c r="E171" s="17"/>
      <c r="F171" s="18">
        <f>SUM(F172:F174)</f>
        <v>313.2</v>
      </c>
      <c r="G171" s="18">
        <f>SUM(G172:G174)</f>
        <v>0</v>
      </c>
      <c r="H171" s="18">
        <f>SUM(H172:H174)</f>
        <v>0</v>
      </c>
      <c r="I171" s="17" t="s">
        <v>166</v>
      </c>
      <c r="J171" s="19" t="s">
        <v>23</v>
      </c>
      <c r="K171" s="19">
        <v>1</v>
      </c>
      <c r="L171" s="19"/>
      <c r="M171" s="40"/>
    </row>
    <row r="172" spans="1:13" x14ac:dyDescent="0.25">
      <c r="A172" s="86"/>
      <c r="B172" s="89"/>
      <c r="C172" s="89"/>
      <c r="D172" s="21" t="s">
        <v>35</v>
      </c>
      <c r="E172" s="21"/>
      <c r="F172" s="22">
        <v>209.6</v>
      </c>
      <c r="G172" s="22">
        <v>0</v>
      </c>
      <c r="H172" s="22">
        <v>0</v>
      </c>
      <c r="I172" s="21"/>
      <c r="J172" s="23"/>
      <c r="K172" s="23"/>
      <c r="L172" s="23"/>
      <c r="M172" s="41"/>
    </row>
    <row r="173" spans="1:13" x14ac:dyDescent="0.25">
      <c r="A173" s="86"/>
      <c r="B173" s="89"/>
      <c r="C173" s="89"/>
      <c r="D173" s="21" t="s">
        <v>135</v>
      </c>
      <c r="E173" s="21"/>
      <c r="F173" s="22">
        <v>95.2</v>
      </c>
      <c r="G173" s="22">
        <v>0</v>
      </c>
      <c r="H173" s="22">
        <v>0</v>
      </c>
      <c r="I173" s="21"/>
      <c r="J173" s="23"/>
      <c r="K173" s="23"/>
      <c r="L173" s="23"/>
      <c r="M173" s="41"/>
    </row>
    <row r="174" spans="1:13" ht="15.75" thickBot="1" x14ac:dyDescent="0.3">
      <c r="A174" s="87"/>
      <c r="B174" s="90"/>
      <c r="C174" s="90"/>
      <c r="D174" s="21" t="s">
        <v>127</v>
      </c>
      <c r="E174" s="21"/>
      <c r="F174" s="22">
        <v>8.4</v>
      </c>
      <c r="G174" s="22">
        <v>0</v>
      </c>
      <c r="H174" s="22">
        <v>0</v>
      </c>
      <c r="I174" s="21"/>
      <c r="J174" s="23"/>
      <c r="K174" s="23"/>
      <c r="L174" s="23"/>
      <c r="M174" s="41"/>
    </row>
    <row r="175" spans="1:13" x14ac:dyDescent="0.25">
      <c r="A175" s="85" t="s">
        <v>325</v>
      </c>
      <c r="B175" s="88" t="s">
        <v>326</v>
      </c>
      <c r="C175" s="88" t="s">
        <v>324</v>
      </c>
      <c r="D175" s="17"/>
      <c r="E175" s="17"/>
      <c r="F175" s="18">
        <f>SUM(F176:F178)</f>
        <v>74.600000000000009</v>
      </c>
      <c r="G175" s="18">
        <f>SUM(G176:G178)</f>
        <v>0</v>
      </c>
      <c r="H175" s="18">
        <f>SUM(H176:H178)</f>
        <v>0</v>
      </c>
      <c r="I175" s="17" t="s">
        <v>166</v>
      </c>
      <c r="J175" s="19" t="s">
        <v>23</v>
      </c>
      <c r="K175" s="19">
        <v>1</v>
      </c>
      <c r="L175" s="19"/>
      <c r="M175" s="40"/>
    </row>
    <row r="176" spans="1:13" x14ac:dyDescent="0.25">
      <c r="A176" s="86"/>
      <c r="B176" s="89"/>
      <c r="C176" s="89"/>
      <c r="D176" s="21" t="s">
        <v>29</v>
      </c>
      <c r="E176" s="21"/>
      <c r="F176" s="22">
        <v>2</v>
      </c>
      <c r="G176" s="22">
        <v>0</v>
      </c>
      <c r="H176" s="22">
        <v>0</v>
      </c>
      <c r="I176" s="21"/>
      <c r="J176" s="23"/>
      <c r="K176" s="23"/>
      <c r="L176" s="23"/>
      <c r="M176" s="41"/>
    </row>
    <row r="177" spans="1:13" x14ac:dyDescent="0.25">
      <c r="A177" s="86"/>
      <c r="B177" s="89"/>
      <c r="C177" s="89"/>
      <c r="D177" s="21" t="s">
        <v>127</v>
      </c>
      <c r="E177" s="21"/>
      <c r="F177" s="22">
        <v>5.9</v>
      </c>
      <c r="G177" s="22">
        <v>0</v>
      </c>
      <c r="H177" s="22">
        <v>0</v>
      </c>
      <c r="I177" s="21"/>
      <c r="J177" s="23"/>
      <c r="K177" s="23"/>
      <c r="L177" s="23"/>
      <c r="M177" s="41"/>
    </row>
    <row r="178" spans="1:13" ht="15.75" thickBot="1" x14ac:dyDescent="0.3">
      <c r="A178" s="87"/>
      <c r="B178" s="90"/>
      <c r="C178" s="90"/>
      <c r="D178" s="21" t="s">
        <v>135</v>
      </c>
      <c r="E178" s="21"/>
      <c r="F178" s="22">
        <v>66.7</v>
      </c>
      <c r="G178" s="22">
        <v>0</v>
      </c>
      <c r="H178" s="22">
        <v>0</v>
      </c>
      <c r="I178" s="21"/>
      <c r="J178" s="23"/>
      <c r="K178" s="23"/>
      <c r="L178" s="23"/>
      <c r="M178" s="41"/>
    </row>
    <row r="179" spans="1:13" ht="33.75" customHeight="1" x14ac:dyDescent="0.25">
      <c r="A179" s="85" t="s">
        <v>327</v>
      </c>
      <c r="B179" s="88" t="s">
        <v>328</v>
      </c>
      <c r="C179" s="88" t="s">
        <v>329</v>
      </c>
      <c r="D179" s="17"/>
      <c r="E179" s="17"/>
      <c r="F179" s="18">
        <f>SUM(F180:F182)</f>
        <v>1075.3</v>
      </c>
      <c r="G179" s="18">
        <f>SUM(G180:G182)</f>
        <v>0</v>
      </c>
      <c r="H179" s="18">
        <f>SUM(H180:H182)</f>
        <v>0</v>
      </c>
      <c r="I179" s="17" t="s">
        <v>166</v>
      </c>
      <c r="J179" s="19" t="s">
        <v>23</v>
      </c>
      <c r="K179" s="19">
        <v>1</v>
      </c>
      <c r="L179" s="19"/>
      <c r="M179" s="40"/>
    </row>
    <row r="180" spans="1:13" x14ac:dyDescent="0.25">
      <c r="A180" s="86"/>
      <c r="B180" s="89"/>
      <c r="C180" s="89"/>
      <c r="D180" s="21" t="s">
        <v>35</v>
      </c>
      <c r="E180" s="21"/>
      <c r="F180" s="22">
        <v>0.3</v>
      </c>
      <c r="G180" s="22">
        <v>0</v>
      </c>
      <c r="H180" s="22">
        <v>0</v>
      </c>
      <c r="I180" s="21"/>
      <c r="J180" s="23"/>
      <c r="K180" s="23"/>
      <c r="L180" s="23"/>
      <c r="M180" s="41"/>
    </row>
    <row r="181" spans="1:13" x14ac:dyDescent="0.25">
      <c r="A181" s="86"/>
      <c r="B181" s="89"/>
      <c r="C181" s="89"/>
      <c r="D181" s="21" t="s">
        <v>127</v>
      </c>
      <c r="E181" s="21"/>
      <c r="F181" s="22">
        <v>87.2</v>
      </c>
      <c r="G181" s="22">
        <v>0</v>
      </c>
      <c r="H181" s="22">
        <v>0</v>
      </c>
      <c r="I181" s="21"/>
      <c r="J181" s="23"/>
      <c r="K181" s="23"/>
      <c r="L181" s="23"/>
      <c r="M181" s="41"/>
    </row>
    <row r="182" spans="1:13" ht="15.75" thickBot="1" x14ac:dyDescent="0.3">
      <c r="A182" s="87"/>
      <c r="B182" s="90"/>
      <c r="C182" s="90"/>
      <c r="D182" s="21" t="s">
        <v>135</v>
      </c>
      <c r="E182" s="21"/>
      <c r="F182" s="22">
        <v>987.8</v>
      </c>
      <c r="G182" s="22">
        <v>0</v>
      </c>
      <c r="H182" s="22">
        <v>0</v>
      </c>
      <c r="I182" s="21"/>
      <c r="J182" s="23"/>
      <c r="K182" s="23"/>
      <c r="L182" s="23"/>
      <c r="M182" s="41"/>
    </row>
    <row r="183" spans="1:13" x14ac:dyDescent="0.25">
      <c r="A183" s="85" t="s">
        <v>330</v>
      </c>
      <c r="B183" s="88" t="s">
        <v>331</v>
      </c>
      <c r="C183" s="88" t="s">
        <v>324</v>
      </c>
      <c r="D183" s="17"/>
      <c r="E183" s="17"/>
      <c r="F183" s="18">
        <f>SUM(F184:F186)</f>
        <v>5.8000000000000007</v>
      </c>
      <c r="G183" s="18">
        <f>SUM(G184:G186)</f>
        <v>0</v>
      </c>
      <c r="H183" s="18">
        <f>SUM(H184:H186)</f>
        <v>0</v>
      </c>
      <c r="I183" s="17" t="s">
        <v>166</v>
      </c>
      <c r="J183" s="19" t="s">
        <v>23</v>
      </c>
      <c r="K183" s="19">
        <v>1</v>
      </c>
      <c r="L183" s="19"/>
      <c r="M183" s="40"/>
    </row>
    <row r="184" spans="1:13" x14ac:dyDescent="0.25">
      <c r="A184" s="86"/>
      <c r="B184" s="89"/>
      <c r="C184" s="89"/>
      <c r="D184" s="21" t="s">
        <v>35</v>
      </c>
      <c r="E184" s="21"/>
      <c r="F184" s="22">
        <v>0.3</v>
      </c>
      <c r="G184" s="22">
        <v>0</v>
      </c>
      <c r="H184" s="22">
        <v>0</v>
      </c>
      <c r="I184" s="21"/>
      <c r="J184" s="23"/>
      <c r="K184" s="23"/>
      <c r="L184" s="23"/>
      <c r="M184" s="41"/>
    </row>
    <row r="185" spans="1:13" x14ac:dyDescent="0.25">
      <c r="A185" s="86"/>
      <c r="B185" s="89"/>
      <c r="C185" s="89"/>
      <c r="D185" s="21" t="s">
        <v>127</v>
      </c>
      <c r="E185" s="21"/>
      <c r="F185" s="22">
        <v>0.6</v>
      </c>
      <c r="G185" s="22">
        <v>0</v>
      </c>
      <c r="H185" s="22">
        <v>0</v>
      </c>
      <c r="I185" s="21"/>
      <c r="J185" s="23"/>
      <c r="K185" s="23"/>
      <c r="L185" s="23"/>
      <c r="M185" s="41"/>
    </row>
    <row r="186" spans="1:13" ht="15.75" thickBot="1" x14ac:dyDescent="0.3">
      <c r="A186" s="87"/>
      <c r="B186" s="90"/>
      <c r="C186" s="90"/>
      <c r="D186" s="21" t="s">
        <v>135</v>
      </c>
      <c r="E186" s="21"/>
      <c r="F186" s="22">
        <v>4.9000000000000004</v>
      </c>
      <c r="G186" s="22">
        <v>0</v>
      </c>
      <c r="H186" s="22">
        <v>0</v>
      </c>
      <c r="I186" s="21"/>
      <c r="J186" s="23"/>
      <c r="K186" s="23"/>
      <c r="L186" s="23"/>
      <c r="M186" s="41"/>
    </row>
    <row r="187" spans="1:13" x14ac:dyDescent="0.25">
      <c r="A187" s="85" t="s">
        <v>332</v>
      </c>
      <c r="B187" s="88" t="s">
        <v>333</v>
      </c>
      <c r="C187" s="88" t="s">
        <v>334</v>
      </c>
      <c r="D187" s="17"/>
      <c r="E187" s="17"/>
      <c r="F187" s="18">
        <f>SUM(F188:F191)</f>
        <v>955.6</v>
      </c>
      <c r="G187" s="18">
        <f>SUM(G188:G191)</f>
        <v>0</v>
      </c>
      <c r="H187" s="18">
        <f>SUM(H188:H191)</f>
        <v>0</v>
      </c>
      <c r="I187" s="17" t="s">
        <v>335</v>
      </c>
      <c r="J187" s="19" t="s">
        <v>19</v>
      </c>
      <c r="K187" s="19">
        <v>100</v>
      </c>
      <c r="L187" s="19"/>
      <c r="M187" s="40"/>
    </row>
    <row r="188" spans="1:13" x14ac:dyDescent="0.25">
      <c r="A188" s="86"/>
      <c r="B188" s="89"/>
      <c r="C188" s="89"/>
      <c r="D188" s="21" t="s">
        <v>135</v>
      </c>
      <c r="E188" s="21"/>
      <c r="F188" s="22">
        <v>130.1</v>
      </c>
      <c r="G188" s="22">
        <v>0</v>
      </c>
      <c r="H188" s="22">
        <v>0</v>
      </c>
      <c r="I188" s="21" t="s">
        <v>166</v>
      </c>
      <c r="J188" s="23" t="s">
        <v>23</v>
      </c>
      <c r="K188" s="23">
        <v>1</v>
      </c>
      <c r="L188" s="23"/>
      <c r="M188" s="41"/>
    </row>
    <row r="189" spans="1:13" x14ac:dyDescent="0.25">
      <c r="A189" s="86"/>
      <c r="B189" s="89"/>
      <c r="C189" s="89"/>
      <c r="D189" s="21" t="s">
        <v>29</v>
      </c>
      <c r="E189" s="21"/>
      <c r="F189" s="22">
        <v>475</v>
      </c>
      <c r="G189" s="22"/>
      <c r="H189" s="22"/>
      <c r="I189" s="21"/>
      <c r="J189" s="23"/>
      <c r="K189" s="23"/>
      <c r="L189" s="23"/>
      <c r="M189" s="41"/>
    </row>
    <row r="190" spans="1:13" x14ac:dyDescent="0.25">
      <c r="A190" s="86"/>
      <c r="B190" s="89"/>
      <c r="C190" s="89"/>
      <c r="D190" s="21" t="s">
        <v>127</v>
      </c>
      <c r="E190" s="21"/>
      <c r="F190" s="22">
        <v>11.5</v>
      </c>
      <c r="G190" s="22"/>
      <c r="H190" s="22"/>
      <c r="I190" s="21"/>
      <c r="J190" s="23"/>
      <c r="K190" s="23"/>
      <c r="L190" s="23"/>
      <c r="M190" s="41"/>
    </row>
    <row r="191" spans="1:13" ht="15.75" thickBot="1" x14ac:dyDescent="0.3">
      <c r="A191" s="87"/>
      <c r="B191" s="90"/>
      <c r="C191" s="90"/>
      <c r="D191" s="21" t="s">
        <v>35</v>
      </c>
      <c r="E191" s="21"/>
      <c r="F191" s="22">
        <v>339</v>
      </c>
      <c r="G191" s="22"/>
      <c r="H191" s="22"/>
      <c r="I191" s="21"/>
      <c r="J191" s="23"/>
      <c r="K191" s="23"/>
      <c r="L191" s="23"/>
      <c r="M191" s="41"/>
    </row>
    <row r="192" spans="1:13" ht="31.5" customHeight="1" x14ac:dyDescent="0.25">
      <c r="A192" s="85" t="s">
        <v>336</v>
      </c>
      <c r="B192" s="88" t="s">
        <v>337</v>
      </c>
      <c r="C192" s="88" t="s">
        <v>206</v>
      </c>
      <c r="D192" s="17"/>
      <c r="E192" s="17"/>
      <c r="F192" s="18">
        <f>SUM(F193:F194)</f>
        <v>12.1</v>
      </c>
      <c r="G192" s="18">
        <f>SUM(G193:G194)</f>
        <v>0</v>
      </c>
      <c r="H192" s="18">
        <f>SUM(H193:H194)</f>
        <v>0</v>
      </c>
      <c r="I192" s="17" t="s">
        <v>166</v>
      </c>
      <c r="J192" s="19" t="s">
        <v>23</v>
      </c>
      <c r="K192" s="19">
        <v>1</v>
      </c>
      <c r="L192" s="19"/>
      <c r="M192" s="40"/>
    </row>
    <row r="193" spans="1:13" x14ac:dyDescent="0.25">
      <c r="A193" s="86"/>
      <c r="B193" s="89"/>
      <c r="C193" s="89"/>
      <c r="D193" s="21" t="s">
        <v>127</v>
      </c>
      <c r="E193" s="21"/>
      <c r="F193" s="22">
        <v>1</v>
      </c>
      <c r="G193" s="22">
        <v>0</v>
      </c>
      <c r="H193" s="22">
        <v>0</v>
      </c>
      <c r="I193" s="21"/>
      <c r="J193" s="23"/>
      <c r="K193" s="23"/>
      <c r="L193" s="23"/>
      <c r="M193" s="41"/>
    </row>
    <row r="194" spans="1:13" ht="15.75" thickBot="1" x14ac:dyDescent="0.3">
      <c r="A194" s="87"/>
      <c r="B194" s="90"/>
      <c r="C194" s="90"/>
      <c r="D194" s="21" t="s">
        <v>135</v>
      </c>
      <c r="E194" s="21"/>
      <c r="F194" s="22">
        <v>11.1</v>
      </c>
      <c r="G194" s="22">
        <v>0</v>
      </c>
      <c r="H194" s="22">
        <v>0</v>
      </c>
      <c r="I194" s="21"/>
      <c r="J194" s="23"/>
      <c r="K194" s="23"/>
      <c r="L194" s="23"/>
      <c r="M194" s="41"/>
    </row>
    <row r="195" spans="1:13" ht="38.25" x14ac:dyDescent="0.25">
      <c r="A195" s="85" t="s">
        <v>338</v>
      </c>
      <c r="B195" s="88" t="s">
        <v>339</v>
      </c>
      <c r="C195" s="88" t="s">
        <v>340</v>
      </c>
      <c r="D195" s="17"/>
      <c r="E195" s="17" t="s">
        <v>341</v>
      </c>
      <c r="F195" s="18">
        <f>SUM(F196:F198)</f>
        <v>300.5</v>
      </c>
      <c r="G195" s="18">
        <f>SUM(G196:G198)</f>
        <v>300</v>
      </c>
      <c r="H195" s="18">
        <f>SUM(H196:H198)</f>
        <v>300</v>
      </c>
      <c r="I195" s="17" t="s">
        <v>342</v>
      </c>
      <c r="J195" s="19" t="s">
        <v>239</v>
      </c>
      <c r="K195" s="19">
        <v>21</v>
      </c>
      <c r="L195" s="19">
        <v>0</v>
      </c>
      <c r="M195" s="40">
        <v>0</v>
      </c>
    </row>
    <row r="196" spans="1:13" ht="25.5" x14ac:dyDescent="0.25">
      <c r="A196" s="86"/>
      <c r="B196" s="89"/>
      <c r="C196" s="89"/>
      <c r="D196" s="21" t="s">
        <v>29</v>
      </c>
      <c r="E196" s="21"/>
      <c r="F196" s="22">
        <v>200</v>
      </c>
      <c r="G196" s="22">
        <v>300</v>
      </c>
      <c r="H196" s="22">
        <v>300</v>
      </c>
      <c r="I196" s="21" t="s">
        <v>343</v>
      </c>
      <c r="J196" s="23" t="s">
        <v>239</v>
      </c>
      <c r="K196" s="23">
        <v>81</v>
      </c>
      <c r="L196" s="23">
        <v>110</v>
      </c>
      <c r="M196" s="41">
        <v>114</v>
      </c>
    </row>
    <row r="197" spans="1:13" x14ac:dyDescent="0.25">
      <c r="A197" s="86"/>
      <c r="B197" s="89"/>
      <c r="C197" s="89"/>
      <c r="D197" s="21" t="s">
        <v>35</v>
      </c>
      <c r="E197" s="21"/>
      <c r="F197" s="22">
        <v>100.5</v>
      </c>
      <c r="G197" s="22">
        <v>0</v>
      </c>
      <c r="H197" s="22">
        <v>0</v>
      </c>
      <c r="I197" s="21" t="s">
        <v>344</v>
      </c>
      <c r="J197" s="23" t="s">
        <v>239</v>
      </c>
      <c r="K197" s="23">
        <v>1</v>
      </c>
      <c r="L197" s="23">
        <v>0</v>
      </c>
      <c r="M197" s="41">
        <v>0</v>
      </c>
    </row>
    <row r="198" spans="1:13" ht="15.75" thickBot="1" x14ac:dyDescent="0.3">
      <c r="A198" s="87"/>
      <c r="B198" s="90"/>
      <c r="C198" s="90"/>
      <c r="D198" s="21"/>
      <c r="E198" s="21"/>
      <c r="F198" s="22">
        <v>0</v>
      </c>
      <c r="G198" s="22">
        <v>0</v>
      </c>
      <c r="H198" s="22">
        <v>0</v>
      </c>
      <c r="I198" s="21" t="s">
        <v>345</v>
      </c>
      <c r="J198" s="23" t="s">
        <v>239</v>
      </c>
      <c r="K198" s="23">
        <v>5</v>
      </c>
      <c r="L198" s="23">
        <v>4</v>
      </c>
      <c r="M198" s="41">
        <v>4</v>
      </c>
    </row>
    <row r="199" spans="1:13" ht="26.25" customHeight="1" thickBot="1" x14ac:dyDescent="0.3">
      <c r="A199" s="7" t="s">
        <v>346</v>
      </c>
      <c r="B199" s="94" t="s">
        <v>347</v>
      </c>
      <c r="C199" s="95"/>
      <c r="D199" s="95"/>
      <c r="E199" s="96"/>
      <c r="F199" s="9">
        <f>F200+F215</f>
        <v>10271.799999999999</v>
      </c>
      <c r="G199" s="9">
        <f>G200+G215</f>
        <v>11517</v>
      </c>
      <c r="H199" s="9">
        <f>H200+H215</f>
        <v>11947</v>
      </c>
      <c r="I199" s="8" t="s">
        <v>348</v>
      </c>
      <c r="J199" s="10" t="s">
        <v>309</v>
      </c>
      <c r="K199" s="10">
        <v>3</v>
      </c>
      <c r="L199" s="10">
        <v>3</v>
      </c>
      <c r="M199" s="45">
        <v>3</v>
      </c>
    </row>
    <row r="200" spans="1:13" ht="26.25" customHeight="1" thickBot="1" x14ac:dyDescent="0.3">
      <c r="A200" s="11" t="s">
        <v>349</v>
      </c>
      <c r="B200" s="65" t="s">
        <v>350</v>
      </c>
      <c r="C200" s="66"/>
      <c r="D200" s="66"/>
      <c r="E200" s="67"/>
      <c r="F200" s="13">
        <f>F201+F205+F208+F209+F210+F213+F214+0.1</f>
        <v>8207</v>
      </c>
      <c r="G200" s="13">
        <f>G201+G205+G208+G209+G210+G213+G214</f>
        <v>9297</v>
      </c>
      <c r="H200" s="13">
        <f>H201+H205+H208+H209+H210+H213+H214</f>
        <v>9697</v>
      </c>
      <c r="I200" s="82"/>
      <c r="J200" s="83"/>
      <c r="K200" s="83"/>
      <c r="L200" s="83"/>
      <c r="M200" s="84"/>
    </row>
    <row r="201" spans="1:13" ht="40.5" customHeight="1" x14ac:dyDescent="0.25">
      <c r="A201" s="85" t="s">
        <v>351</v>
      </c>
      <c r="B201" s="88" t="s">
        <v>352</v>
      </c>
      <c r="C201" s="88" t="s">
        <v>353</v>
      </c>
      <c r="D201" s="17"/>
      <c r="E201" s="17" t="s">
        <v>197</v>
      </c>
      <c r="F201" s="18">
        <f>SUM(F202:F204)</f>
        <v>6023.9</v>
      </c>
      <c r="G201" s="18">
        <f>SUM(G202:G204)</f>
        <v>7100</v>
      </c>
      <c r="H201" s="18">
        <f>SUM(H202:H204)</f>
        <v>7200</v>
      </c>
      <c r="I201" s="17" t="s">
        <v>354</v>
      </c>
      <c r="J201" s="19" t="s">
        <v>19</v>
      </c>
      <c r="K201" s="19">
        <v>100</v>
      </c>
      <c r="L201" s="19">
        <v>100</v>
      </c>
      <c r="M201" s="40">
        <v>100</v>
      </c>
    </row>
    <row r="202" spans="1:13" x14ac:dyDescent="0.25">
      <c r="A202" s="86"/>
      <c r="B202" s="89"/>
      <c r="C202" s="89"/>
      <c r="D202" s="21" t="s">
        <v>35</v>
      </c>
      <c r="E202" s="21"/>
      <c r="F202" s="22">
        <v>1628.9</v>
      </c>
      <c r="G202" s="22">
        <v>0</v>
      </c>
      <c r="H202" s="22">
        <v>0</v>
      </c>
      <c r="I202" s="21" t="s">
        <v>355</v>
      </c>
      <c r="J202" s="23" t="s">
        <v>19</v>
      </c>
      <c r="K202" s="23">
        <v>100</v>
      </c>
      <c r="L202" s="23">
        <v>100</v>
      </c>
      <c r="M202" s="41">
        <v>100</v>
      </c>
    </row>
    <row r="203" spans="1:13" ht="25.5" x14ac:dyDescent="0.25">
      <c r="A203" s="86"/>
      <c r="B203" s="89"/>
      <c r="C203" s="89"/>
      <c r="D203" s="21" t="s">
        <v>296</v>
      </c>
      <c r="E203" s="21"/>
      <c r="F203" s="22">
        <v>3445</v>
      </c>
      <c r="G203" s="22">
        <v>3840</v>
      </c>
      <c r="H203" s="22">
        <v>3840</v>
      </c>
      <c r="I203" s="21" t="s">
        <v>356</v>
      </c>
      <c r="J203" s="23" t="s">
        <v>238</v>
      </c>
      <c r="K203" s="23">
        <v>281</v>
      </c>
      <c r="L203" s="23">
        <v>0</v>
      </c>
      <c r="M203" s="41">
        <v>0</v>
      </c>
    </row>
    <row r="204" spans="1:13" ht="15.75" thickBot="1" x14ac:dyDescent="0.3">
      <c r="A204" s="87"/>
      <c r="B204" s="90"/>
      <c r="C204" s="90"/>
      <c r="D204" s="21" t="s">
        <v>29</v>
      </c>
      <c r="E204" s="21"/>
      <c r="F204" s="22">
        <v>950</v>
      </c>
      <c r="G204" s="22">
        <v>3260</v>
      </c>
      <c r="H204" s="22">
        <v>3360</v>
      </c>
      <c r="I204" s="21"/>
      <c r="J204" s="23"/>
      <c r="K204" s="23"/>
      <c r="L204" s="23"/>
      <c r="M204" s="41"/>
    </row>
    <row r="205" spans="1:13" ht="18" customHeight="1" x14ac:dyDescent="0.25">
      <c r="A205" s="85" t="s">
        <v>357</v>
      </c>
      <c r="B205" s="88" t="s">
        <v>358</v>
      </c>
      <c r="C205" s="88" t="s">
        <v>359</v>
      </c>
      <c r="D205" s="17"/>
      <c r="E205" s="17"/>
      <c r="F205" s="18">
        <f>SUM(F206:F207)</f>
        <v>971.7</v>
      </c>
      <c r="G205" s="18">
        <f>SUM(G206:G207)</f>
        <v>0</v>
      </c>
      <c r="H205" s="18">
        <f>SUM(H206:H207)</f>
        <v>0</v>
      </c>
      <c r="I205" s="17" t="s">
        <v>166</v>
      </c>
      <c r="J205" s="19" t="s">
        <v>23</v>
      </c>
      <c r="K205" s="19">
        <v>1</v>
      </c>
      <c r="L205" s="19"/>
      <c r="M205" s="40"/>
    </row>
    <row r="206" spans="1:13" x14ac:dyDescent="0.25">
      <c r="A206" s="86"/>
      <c r="B206" s="89"/>
      <c r="C206" s="89"/>
      <c r="D206" s="21" t="s">
        <v>35</v>
      </c>
      <c r="E206" s="21"/>
      <c r="F206" s="22">
        <v>841.7</v>
      </c>
      <c r="G206" s="22">
        <v>0</v>
      </c>
      <c r="H206" s="22">
        <v>0</v>
      </c>
      <c r="I206" s="21"/>
      <c r="J206" s="23"/>
      <c r="K206" s="23"/>
      <c r="L206" s="23"/>
      <c r="M206" s="41"/>
    </row>
    <row r="207" spans="1:13" ht="15" customHeight="1" thickBot="1" x14ac:dyDescent="0.3">
      <c r="A207" s="87"/>
      <c r="B207" s="90"/>
      <c r="C207" s="90"/>
      <c r="D207" s="21" t="s">
        <v>29</v>
      </c>
      <c r="E207" s="21"/>
      <c r="F207" s="22">
        <v>130</v>
      </c>
      <c r="G207" s="22">
        <v>0</v>
      </c>
      <c r="H207" s="22">
        <v>0</v>
      </c>
      <c r="I207" s="21"/>
      <c r="J207" s="23"/>
      <c r="K207" s="23"/>
      <c r="L207" s="23"/>
      <c r="M207" s="41"/>
    </row>
    <row r="208" spans="1:13" ht="39" hidden="1" thickBot="1" x14ac:dyDescent="0.3">
      <c r="A208" s="15" t="s">
        <v>360</v>
      </c>
      <c r="B208" s="16" t="s">
        <v>361</v>
      </c>
      <c r="C208" s="17" t="s">
        <v>187</v>
      </c>
      <c r="D208" s="17"/>
      <c r="E208" s="17"/>
      <c r="F208" s="24">
        <v>0</v>
      </c>
      <c r="G208" s="24">
        <v>0</v>
      </c>
      <c r="H208" s="24">
        <v>0</v>
      </c>
      <c r="I208" s="17"/>
      <c r="J208" s="19"/>
      <c r="K208" s="19"/>
      <c r="L208" s="19"/>
      <c r="M208" s="40"/>
    </row>
    <row r="209" spans="1:13" ht="39" hidden="1" thickBot="1" x14ac:dyDescent="0.3">
      <c r="A209" s="15" t="s">
        <v>362</v>
      </c>
      <c r="B209" s="16" t="s">
        <v>363</v>
      </c>
      <c r="C209" s="17" t="s">
        <v>206</v>
      </c>
      <c r="D209" s="17" t="s">
        <v>135</v>
      </c>
      <c r="E209" s="17"/>
      <c r="F209" s="24">
        <v>0</v>
      </c>
      <c r="G209" s="24">
        <v>0</v>
      </c>
      <c r="H209" s="24">
        <v>0</v>
      </c>
      <c r="I209" s="17"/>
      <c r="J209" s="19"/>
      <c r="K209" s="19"/>
      <c r="L209" s="19"/>
      <c r="M209" s="40"/>
    </row>
    <row r="210" spans="1:13" ht="17.25" customHeight="1" x14ac:dyDescent="0.25">
      <c r="A210" s="85" t="s">
        <v>364</v>
      </c>
      <c r="B210" s="88" t="s">
        <v>365</v>
      </c>
      <c r="C210" s="88" t="s">
        <v>206</v>
      </c>
      <c r="D210" s="17"/>
      <c r="E210" s="17" t="s">
        <v>197</v>
      </c>
      <c r="F210" s="18">
        <f>SUM(F211:F212)</f>
        <v>132.80000000000001</v>
      </c>
      <c r="G210" s="18">
        <f>SUM(G211:G212)</f>
        <v>1500</v>
      </c>
      <c r="H210" s="18">
        <f>SUM(H211:H212)</f>
        <v>1800</v>
      </c>
      <c r="I210" s="17" t="s">
        <v>366</v>
      </c>
      <c r="J210" s="19" t="s">
        <v>23</v>
      </c>
      <c r="K210" s="19">
        <v>4</v>
      </c>
      <c r="L210" s="19">
        <v>4</v>
      </c>
      <c r="M210" s="40">
        <v>5</v>
      </c>
    </row>
    <row r="211" spans="1:13" x14ac:dyDescent="0.25">
      <c r="A211" s="86"/>
      <c r="B211" s="89"/>
      <c r="C211" s="89"/>
      <c r="D211" s="21" t="s">
        <v>29</v>
      </c>
      <c r="E211" s="21"/>
      <c r="F211" s="22">
        <v>100</v>
      </c>
      <c r="G211" s="22">
        <v>1500</v>
      </c>
      <c r="H211" s="22">
        <v>1800</v>
      </c>
      <c r="I211" s="21"/>
      <c r="J211" s="23"/>
      <c r="K211" s="23"/>
      <c r="L211" s="23"/>
      <c r="M211" s="41"/>
    </row>
    <row r="212" spans="1:13" ht="15.75" thickBot="1" x14ac:dyDescent="0.3">
      <c r="A212" s="87"/>
      <c r="B212" s="90"/>
      <c r="C212" s="90"/>
      <c r="D212" s="21" t="s">
        <v>35</v>
      </c>
      <c r="E212" s="21"/>
      <c r="F212" s="22">
        <v>32.799999999999997</v>
      </c>
      <c r="G212" s="22">
        <v>0</v>
      </c>
      <c r="H212" s="22">
        <v>0</v>
      </c>
      <c r="I212" s="21"/>
      <c r="J212" s="23"/>
      <c r="K212" s="23"/>
      <c r="L212" s="23"/>
      <c r="M212" s="41"/>
    </row>
    <row r="213" spans="1:13" ht="39" thickBot="1" x14ac:dyDescent="0.3">
      <c r="A213" s="15" t="s">
        <v>367</v>
      </c>
      <c r="B213" s="16" t="s">
        <v>368</v>
      </c>
      <c r="C213" s="17" t="s">
        <v>206</v>
      </c>
      <c r="D213" s="17" t="s">
        <v>135</v>
      </c>
      <c r="E213" s="17"/>
      <c r="F213" s="24">
        <v>383.7</v>
      </c>
      <c r="G213" s="24">
        <v>0</v>
      </c>
      <c r="H213" s="24">
        <v>0</v>
      </c>
      <c r="I213" s="17" t="s">
        <v>166</v>
      </c>
      <c r="J213" s="19" t="s">
        <v>23</v>
      </c>
      <c r="K213" s="19">
        <v>1</v>
      </c>
      <c r="L213" s="19"/>
      <c r="M213" s="40"/>
    </row>
    <row r="214" spans="1:13" ht="39" thickBot="1" x14ac:dyDescent="0.3">
      <c r="A214" s="15" t="s">
        <v>369</v>
      </c>
      <c r="B214" s="16" t="s">
        <v>370</v>
      </c>
      <c r="C214" s="17" t="s">
        <v>187</v>
      </c>
      <c r="D214" s="17" t="s">
        <v>29</v>
      </c>
      <c r="E214" s="17"/>
      <c r="F214" s="24">
        <v>694.8</v>
      </c>
      <c r="G214" s="24">
        <v>697</v>
      </c>
      <c r="H214" s="24">
        <v>697</v>
      </c>
      <c r="I214" s="17" t="s">
        <v>371</v>
      </c>
      <c r="J214" s="19" t="s">
        <v>309</v>
      </c>
      <c r="K214" s="19">
        <v>600</v>
      </c>
      <c r="L214" s="19">
        <v>600</v>
      </c>
      <c r="M214" s="40">
        <v>600</v>
      </c>
    </row>
    <row r="215" spans="1:13" ht="26.25" customHeight="1" thickBot="1" x14ac:dyDescent="0.3">
      <c r="A215" s="11" t="s">
        <v>372</v>
      </c>
      <c r="B215" s="65" t="s">
        <v>373</v>
      </c>
      <c r="C215" s="66"/>
      <c r="D215" s="66"/>
      <c r="E215" s="67"/>
      <c r="F215" s="13">
        <f>F216+F220</f>
        <v>2064.8000000000002</v>
      </c>
      <c r="G215" s="13">
        <f>G216+G220</f>
        <v>2220</v>
      </c>
      <c r="H215" s="13">
        <f>H216+H220</f>
        <v>2250</v>
      </c>
      <c r="I215" s="82"/>
      <c r="J215" s="83"/>
      <c r="K215" s="83"/>
      <c r="L215" s="83"/>
      <c r="M215" s="84"/>
    </row>
    <row r="216" spans="1:13" ht="15.75" customHeight="1" x14ac:dyDescent="0.25">
      <c r="A216" s="85" t="s">
        <v>374</v>
      </c>
      <c r="B216" s="88" t="s">
        <v>375</v>
      </c>
      <c r="C216" s="88" t="s">
        <v>187</v>
      </c>
      <c r="D216" s="17"/>
      <c r="E216" s="17" t="s">
        <v>197</v>
      </c>
      <c r="F216" s="18">
        <f>SUM(F217:F219)</f>
        <v>1650</v>
      </c>
      <c r="G216" s="18">
        <f>SUM(G217:G219)</f>
        <v>2000</v>
      </c>
      <c r="H216" s="18">
        <f>SUM(H217:H219)</f>
        <v>2000</v>
      </c>
      <c r="I216" s="17" t="s">
        <v>376</v>
      </c>
      <c r="J216" s="19" t="s">
        <v>23</v>
      </c>
      <c r="K216" s="19">
        <v>6</v>
      </c>
      <c r="L216" s="19">
        <v>7</v>
      </c>
      <c r="M216" s="40">
        <v>4</v>
      </c>
    </row>
    <row r="217" spans="1:13" x14ac:dyDescent="0.25">
      <c r="A217" s="86"/>
      <c r="B217" s="89"/>
      <c r="C217" s="89"/>
      <c r="D217" s="21" t="s">
        <v>29</v>
      </c>
      <c r="E217" s="21"/>
      <c r="F217" s="22">
        <v>250</v>
      </c>
      <c r="G217" s="22">
        <v>1200</v>
      </c>
      <c r="H217" s="22">
        <v>1200</v>
      </c>
      <c r="I217" s="21"/>
      <c r="J217" s="23"/>
      <c r="K217" s="23"/>
      <c r="L217" s="23"/>
      <c r="M217" s="41"/>
    </row>
    <row r="218" spans="1:13" x14ac:dyDescent="0.25">
      <c r="A218" s="86"/>
      <c r="B218" s="89"/>
      <c r="C218" s="89"/>
      <c r="D218" s="21" t="s">
        <v>296</v>
      </c>
      <c r="E218" s="21"/>
      <c r="F218" s="22">
        <v>1200</v>
      </c>
      <c r="G218" s="22">
        <v>800</v>
      </c>
      <c r="H218" s="22">
        <v>800</v>
      </c>
      <c r="I218" s="21"/>
      <c r="J218" s="23"/>
      <c r="K218" s="23"/>
      <c r="L218" s="23"/>
      <c r="M218" s="41"/>
    </row>
    <row r="219" spans="1:13" ht="15.75" thickBot="1" x14ac:dyDescent="0.3">
      <c r="A219" s="87"/>
      <c r="B219" s="90"/>
      <c r="C219" s="90"/>
      <c r="D219" s="21" t="s">
        <v>35</v>
      </c>
      <c r="E219" s="21"/>
      <c r="F219" s="22">
        <v>200</v>
      </c>
      <c r="G219" s="22">
        <v>0</v>
      </c>
      <c r="H219" s="22">
        <v>0</v>
      </c>
      <c r="I219" s="21"/>
      <c r="J219" s="23"/>
      <c r="K219" s="23"/>
      <c r="L219" s="23"/>
      <c r="M219" s="41"/>
    </row>
    <row r="220" spans="1:13" ht="28.5" customHeight="1" x14ac:dyDescent="0.25">
      <c r="A220" s="85" t="s">
        <v>377</v>
      </c>
      <c r="B220" s="88" t="s">
        <v>378</v>
      </c>
      <c r="C220" s="88" t="s">
        <v>187</v>
      </c>
      <c r="D220" s="17"/>
      <c r="E220" s="17"/>
      <c r="F220" s="18">
        <f>SUM(F221:F222)</f>
        <v>414.8</v>
      </c>
      <c r="G220" s="18">
        <f>SUM(G221:G222)</f>
        <v>220</v>
      </c>
      <c r="H220" s="18">
        <f>SUM(H221:H222)</f>
        <v>250</v>
      </c>
      <c r="I220" s="17" t="s">
        <v>379</v>
      </c>
      <c r="J220" s="19" t="s">
        <v>23</v>
      </c>
      <c r="K220" s="19">
        <v>9</v>
      </c>
      <c r="L220" s="19">
        <v>15</v>
      </c>
      <c r="M220" s="40">
        <v>30</v>
      </c>
    </row>
    <row r="221" spans="1:13" x14ac:dyDescent="0.25">
      <c r="A221" s="86"/>
      <c r="B221" s="89"/>
      <c r="C221" s="89"/>
      <c r="D221" s="21" t="s">
        <v>35</v>
      </c>
      <c r="E221" s="21"/>
      <c r="F221" s="22">
        <v>314.8</v>
      </c>
      <c r="G221" s="22">
        <v>0</v>
      </c>
      <c r="H221" s="22">
        <v>0</v>
      </c>
      <c r="I221" s="21"/>
      <c r="J221" s="23"/>
      <c r="K221" s="23"/>
      <c r="L221" s="23"/>
      <c r="M221" s="41"/>
    </row>
    <row r="222" spans="1:13" ht="15.75" thickBot="1" x14ac:dyDescent="0.3">
      <c r="A222" s="87"/>
      <c r="B222" s="90"/>
      <c r="C222" s="90"/>
      <c r="D222" s="21" t="s">
        <v>29</v>
      </c>
      <c r="E222" s="21"/>
      <c r="F222" s="22">
        <v>100</v>
      </c>
      <c r="G222" s="22">
        <v>220</v>
      </c>
      <c r="H222" s="22">
        <v>250</v>
      </c>
      <c r="I222" s="21"/>
      <c r="J222" s="23"/>
      <c r="K222" s="23"/>
      <c r="L222" s="23"/>
      <c r="M222" s="41"/>
    </row>
    <row r="223" spans="1:13" ht="26.25" thickBot="1" x14ac:dyDescent="0.3">
      <c r="A223" s="4" t="s">
        <v>380</v>
      </c>
      <c r="B223" s="5" t="s">
        <v>381</v>
      </c>
      <c r="C223" s="91" t="s">
        <v>382</v>
      </c>
      <c r="D223" s="92"/>
      <c r="E223" s="93"/>
      <c r="F223" s="6">
        <f>SUM(F224:F224)</f>
        <v>5422.8</v>
      </c>
      <c r="G223" s="6">
        <f>SUM(G224:G224)</f>
        <v>3317</v>
      </c>
      <c r="H223" s="6">
        <f>SUM(H224:H224)</f>
        <v>491</v>
      </c>
      <c r="I223" s="68"/>
      <c r="J223" s="69"/>
      <c r="K223" s="69"/>
      <c r="L223" s="69"/>
      <c r="M223" s="70"/>
    </row>
    <row r="224" spans="1:13" x14ac:dyDescent="0.25">
      <c r="A224" s="100" t="s">
        <v>383</v>
      </c>
      <c r="B224" s="103" t="s">
        <v>384</v>
      </c>
      <c r="C224" s="104"/>
      <c r="D224" s="104"/>
      <c r="E224" s="105"/>
      <c r="F224" s="9">
        <f>F225+F226+F227+F228+F235</f>
        <v>5422.8</v>
      </c>
      <c r="G224" s="9">
        <f>G225+G226+G227+G228+G235</f>
        <v>3317</v>
      </c>
      <c r="H224" s="9">
        <f>H225+H226+H227+H228+H235</f>
        <v>491</v>
      </c>
      <c r="I224" s="8" t="s">
        <v>385</v>
      </c>
      <c r="J224" s="10" t="s">
        <v>19</v>
      </c>
      <c r="K224" s="10">
        <v>2</v>
      </c>
      <c r="L224" s="10">
        <v>2.5</v>
      </c>
      <c r="M224" s="45">
        <v>2.7</v>
      </c>
    </row>
    <row r="225" spans="1:13" x14ac:dyDescent="0.25">
      <c r="A225" s="101"/>
      <c r="B225" s="106"/>
      <c r="C225" s="107"/>
      <c r="D225" s="107"/>
      <c r="E225" s="108"/>
      <c r="F225" s="36">
        <v>0</v>
      </c>
      <c r="G225" s="36">
        <v>0</v>
      </c>
      <c r="H225" s="36">
        <v>0</v>
      </c>
      <c r="I225" s="37" t="s">
        <v>386</v>
      </c>
      <c r="J225" s="38" t="s">
        <v>23</v>
      </c>
      <c r="K225" s="38">
        <v>12</v>
      </c>
      <c r="L225" s="38">
        <v>12</v>
      </c>
      <c r="M225" s="42">
        <v>14</v>
      </c>
    </row>
    <row r="226" spans="1:13" x14ac:dyDescent="0.25">
      <c r="A226" s="101"/>
      <c r="B226" s="106"/>
      <c r="C226" s="107"/>
      <c r="D226" s="107"/>
      <c r="E226" s="108"/>
      <c r="F226" s="36">
        <v>0</v>
      </c>
      <c r="G226" s="36">
        <v>0</v>
      </c>
      <c r="H226" s="36">
        <v>0</v>
      </c>
      <c r="I226" s="37" t="s">
        <v>387</v>
      </c>
      <c r="J226" s="38" t="s">
        <v>19</v>
      </c>
      <c r="K226" s="38">
        <v>4.2</v>
      </c>
      <c r="L226" s="38">
        <v>4.5</v>
      </c>
      <c r="M226" s="42">
        <v>4.8</v>
      </c>
    </row>
    <row r="227" spans="1:13" ht="15.75" thickBot="1" x14ac:dyDescent="0.3">
      <c r="A227" s="102"/>
      <c r="B227" s="109"/>
      <c r="C227" s="110"/>
      <c r="D227" s="110"/>
      <c r="E227" s="111"/>
      <c r="F227" s="36">
        <v>0</v>
      </c>
      <c r="G227" s="36">
        <v>0</v>
      </c>
      <c r="H227" s="36">
        <v>0</v>
      </c>
      <c r="I227" s="37" t="s">
        <v>388</v>
      </c>
      <c r="J227" s="38" t="s">
        <v>19</v>
      </c>
      <c r="K227" s="38">
        <v>10</v>
      </c>
      <c r="L227" s="38">
        <v>15</v>
      </c>
      <c r="M227" s="42">
        <v>18</v>
      </c>
    </row>
    <row r="228" spans="1:13" ht="27.75" customHeight="1" thickBot="1" x14ac:dyDescent="0.3">
      <c r="A228" s="11" t="s">
        <v>389</v>
      </c>
      <c r="B228" s="65" t="s">
        <v>390</v>
      </c>
      <c r="C228" s="66"/>
      <c r="D228" s="66"/>
      <c r="E228" s="67"/>
      <c r="F228" s="13">
        <f>F229+F230+F233</f>
        <v>115.4</v>
      </c>
      <c r="G228" s="13">
        <f>G229+G230+G233</f>
        <v>118</v>
      </c>
      <c r="H228" s="13">
        <f>H229+H230+H233</f>
        <v>119</v>
      </c>
      <c r="I228" s="82"/>
      <c r="J228" s="83"/>
      <c r="K228" s="83"/>
      <c r="L228" s="83"/>
      <c r="M228" s="84"/>
    </row>
    <row r="229" spans="1:13" ht="26.25" thickBot="1" x14ac:dyDescent="0.3">
      <c r="A229" s="15" t="s">
        <v>391</v>
      </c>
      <c r="B229" s="16" t="s">
        <v>392</v>
      </c>
      <c r="C229" s="17" t="s">
        <v>382</v>
      </c>
      <c r="D229" s="17" t="s">
        <v>29</v>
      </c>
      <c r="E229" s="17"/>
      <c r="F229" s="24">
        <v>48.7</v>
      </c>
      <c r="G229" s="24">
        <v>49.7</v>
      </c>
      <c r="H229" s="24">
        <v>50</v>
      </c>
      <c r="I229" s="17" t="s">
        <v>393</v>
      </c>
      <c r="J229" s="19" t="s">
        <v>23</v>
      </c>
      <c r="K229" s="19">
        <v>8</v>
      </c>
      <c r="L229" s="19">
        <v>8</v>
      </c>
      <c r="M229" s="40">
        <v>8</v>
      </c>
    </row>
    <row r="230" spans="1:13" x14ac:dyDescent="0.25">
      <c r="A230" s="85" t="s">
        <v>394</v>
      </c>
      <c r="B230" s="88" t="s">
        <v>395</v>
      </c>
      <c r="C230" s="88" t="s">
        <v>382</v>
      </c>
      <c r="D230" s="17" t="s">
        <v>29</v>
      </c>
      <c r="E230" s="17"/>
      <c r="F230" s="18">
        <f>SUM(F231:F232)+22.2</f>
        <v>22.2</v>
      </c>
      <c r="G230" s="18">
        <f>SUM(G231:G232)+22.8</f>
        <v>22.8</v>
      </c>
      <c r="H230" s="18">
        <f>SUM(H231:H232)+23</f>
        <v>23</v>
      </c>
      <c r="I230" s="17" t="s">
        <v>396</v>
      </c>
      <c r="J230" s="19" t="s">
        <v>23</v>
      </c>
      <c r="K230" s="19">
        <v>5</v>
      </c>
      <c r="L230" s="19">
        <v>5</v>
      </c>
      <c r="M230" s="40">
        <v>5</v>
      </c>
    </row>
    <row r="231" spans="1:13" x14ac:dyDescent="0.25">
      <c r="A231" s="86"/>
      <c r="B231" s="89"/>
      <c r="C231" s="89"/>
      <c r="D231" s="21"/>
      <c r="E231" s="21"/>
      <c r="F231" s="22">
        <v>0</v>
      </c>
      <c r="G231" s="22">
        <v>0</v>
      </c>
      <c r="H231" s="22">
        <v>0</v>
      </c>
      <c r="I231" s="21" t="s">
        <v>397</v>
      </c>
      <c r="J231" s="23" t="s">
        <v>23</v>
      </c>
      <c r="K231" s="23">
        <v>6</v>
      </c>
      <c r="L231" s="23">
        <v>6</v>
      </c>
      <c r="M231" s="41">
        <v>6</v>
      </c>
    </row>
    <row r="232" spans="1:13" ht="15.75" thickBot="1" x14ac:dyDescent="0.3">
      <c r="A232" s="87"/>
      <c r="B232" s="90"/>
      <c r="C232" s="90"/>
      <c r="D232" s="21"/>
      <c r="E232" s="21"/>
      <c r="F232" s="22">
        <v>0</v>
      </c>
      <c r="G232" s="22">
        <v>0</v>
      </c>
      <c r="H232" s="22">
        <v>0</v>
      </c>
      <c r="I232" s="21" t="s">
        <v>398</v>
      </c>
      <c r="J232" s="23" t="s">
        <v>399</v>
      </c>
      <c r="K232" s="23">
        <v>280</v>
      </c>
      <c r="L232" s="23">
        <v>280</v>
      </c>
      <c r="M232" s="41">
        <v>280</v>
      </c>
    </row>
    <row r="233" spans="1:13" ht="25.5" customHeight="1" x14ac:dyDescent="0.25">
      <c r="A233" s="85" t="s">
        <v>400</v>
      </c>
      <c r="B233" s="88" t="s">
        <v>401</v>
      </c>
      <c r="C233" s="88" t="s">
        <v>382</v>
      </c>
      <c r="D233" s="17" t="s">
        <v>29</v>
      </c>
      <c r="E233" s="17"/>
      <c r="F233" s="18">
        <f>SUM(F234:F234)+44.5</f>
        <v>44.5</v>
      </c>
      <c r="G233" s="18">
        <f>SUM(G234:G234)+45.5</f>
        <v>45.5</v>
      </c>
      <c r="H233" s="18">
        <f>SUM(H234:H234)+46</f>
        <v>46</v>
      </c>
      <c r="I233" s="17" t="s">
        <v>402</v>
      </c>
      <c r="J233" s="19" t="s">
        <v>239</v>
      </c>
      <c r="K233" s="19">
        <v>35</v>
      </c>
      <c r="L233" s="19">
        <v>35</v>
      </c>
      <c r="M233" s="40">
        <v>35</v>
      </c>
    </row>
    <row r="234" spans="1:13" ht="15.75" thickBot="1" x14ac:dyDescent="0.3">
      <c r="A234" s="87"/>
      <c r="B234" s="90"/>
      <c r="C234" s="90"/>
      <c r="D234" s="21"/>
      <c r="E234" s="21"/>
      <c r="F234" s="22">
        <v>0</v>
      </c>
      <c r="G234" s="22">
        <v>0</v>
      </c>
      <c r="H234" s="22">
        <v>0</v>
      </c>
      <c r="I234" s="21" t="s">
        <v>403</v>
      </c>
      <c r="J234" s="23" t="s">
        <v>23</v>
      </c>
      <c r="K234" s="23">
        <v>15</v>
      </c>
      <c r="L234" s="23">
        <v>15</v>
      </c>
      <c r="M234" s="41">
        <v>15</v>
      </c>
    </row>
    <row r="235" spans="1:13" ht="24.75" customHeight="1" thickBot="1" x14ac:dyDescent="0.3">
      <c r="A235" s="11" t="s">
        <v>404</v>
      </c>
      <c r="B235" s="65" t="s">
        <v>405</v>
      </c>
      <c r="C235" s="66"/>
      <c r="D235" s="66"/>
      <c r="E235" s="67"/>
      <c r="F235" s="13">
        <f>F236+F239+F244+F246+F250+F259</f>
        <v>5307.4000000000005</v>
      </c>
      <c r="G235" s="13">
        <f>G236+G239+G244+G246+G250+G259</f>
        <v>3199</v>
      </c>
      <c r="H235" s="13">
        <f>H236+H239+H244+H246+H250+H259</f>
        <v>372</v>
      </c>
      <c r="I235" s="12"/>
      <c r="J235" s="14"/>
      <c r="K235" s="14"/>
      <c r="L235" s="14"/>
      <c r="M235" s="43"/>
    </row>
    <row r="236" spans="1:13" ht="25.5" x14ac:dyDescent="0.25">
      <c r="A236" s="85" t="s">
        <v>406</v>
      </c>
      <c r="B236" s="88" t="s">
        <v>407</v>
      </c>
      <c r="C236" s="88" t="s">
        <v>408</v>
      </c>
      <c r="D236" s="17"/>
      <c r="E236" s="17"/>
      <c r="F236" s="18">
        <f>SUM(F237:F238)</f>
        <v>114</v>
      </c>
      <c r="G236" s="18">
        <f>SUM(G237:G238)</f>
        <v>100</v>
      </c>
      <c r="H236" s="18">
        <f>SUM(H237:H238)</f>
        <v>100</v>
      </c>
      <c r="I236" s="17" t="s">
        <v>409</v>
      </c>
      <c r="J236" s="19" t="s">
        <v>23</v>
      </c>
      <c r="K236" s="19">
        <v>10</v>
      </c>
      <c r="L236" s="19">
        <v>10</v>
      </c>
      <c r="M236" s="40">
        <v>10</v>
      </c>
    </row>
    <row r="237" spans="1:13" x14ac:dyDescent="0.25">
      <c r="A237" s="86"/>
      <c r="B237" s="89"/>
      <c r="C237" s="89"/>
      <c r="D237" s="21" t="s">
        <v>29</v>
      </c>
      <c r="E237" s="21"/>
      <c r="F237" s="22">
        <v>50</v>
      </c>
      <c r="G237" s="22">
        <v>100</v>
      </c>
      <c r="H237" s="22">
        <v>100</v>
      </c>
      <c r="I237" s="21"/>
      <c r="J237" s="23"/>
      <c r="K237" s="23"/>
      <c r="L237" s="23"/>
      <c r="M237" s="41"/>
    </row>
    <row r="238" spans="1:13" ht="15.75" thickBot="1" x14ac:dyDescent="0.3">
      <c r="A238" s="87"/>
      <c r="B238" s="90"/>
      <c r="C238" s="90"/>
      <c r="D238" s="21" t="s">
        <v>35</v>
      </c>
      <c r="E238" s="21"/>
      <c r="F238" s="22">
        <v>64</v>
      </c>
      <c r="G238" s="22">
        <v>0</v>
      </c>
      <c r="H238" s="22">
        <v>0</v>
      </c>
      <c r="I238" s="63"/>
      <c r="J238" s="64"/>
      <c r="K238" s="64"/>
      <c r="L238" s="64"/>
      <c r="M238" s="41"/>
    </row>
    <row r="239" spans="1:13" x14ac:dyDescent="0.25">
      <c r="A239" s="85" t="s">
        <v>410</v>
      </c>
      <c r="B239" s="88" t="s">
        <v>411</v>
      </c>
      <c r="C239" s="88" t="s">
        <v>412</v>
      </c>
      <c r="D239" s="17"/>
      <c r="E239" s="17"/>
      <c r="F239" s="18">
        <f>SUM(F240:F243)</f>
        <v>4567</v>
      </c>
      <c r="G239" s="18">
        <f>SUM(G240:G243)</f>
        <v>2000</v>
      </c>
      <c r="H239" s="18">
        <f>SUM(H240:H243)</f>
        <v>0</v>
      </c>
      <c r="I239" s="17" t="s">
        <v>413</v>
      </c>
      <c r="J239" s="19" t="s">
        <v>23</v>
      </c>
      <c r="K239" s="19">
        <v>1</v>
      </c>
      <c r="L239" s="19">
        <v>1</v>
      </c>
      <c r="M239" s="40"/>
    </row>
    <row r="240" spans="1:13" x14ac:dyDescent="0.25">
      <c r="A240" s="86"/>
      <c r="B240" s="89"/>
      <c r="C240" s="89"/>
      <c r="D240" s="21" t="s">
        <v>135</v>
      </c>
      <c r="E240" s="21"/>
      <c r="F240" s="22">
        <v>3730.5</v>
      </c>
      <c r="G240" s="22">
        <v>0</v>
      </c>
      <c r="H240" s="22">
        <v>0</v>
      </c>
      <c r="I240" s="21" t="s">
        <v>414</v>
      </c>
      <c r="J240" s="23" t="s">
        <v>23</v>
      </c>
      <c r="K240" s="23">
        <v>2</v>
      </c>
      <c r="L240" s="23"/>
      <c r="M240" s="41"/>
    </row>
    <row r="241" spans="1:13" x14ac:dyDescent="0.25">
      <c r="A241" s="86"/>
      <c r="B241" s="89"/>
      <c r="C241" s="89"/>
      <c r="D241" s="21" t="s">
        <v>29</v>
      </c>
      <c r="E241" s="21"/>
      <c r="F241" s="22">
        <v>40</v>
      </c>
      <c r="G241" s="22">
        <v>2000</v>
      </c>
      <c r="H241" s="22">
        <v>0</v>
      </c>
      <c r="I241" s="21" t="s">
        <v>415</v>
      </c>
      <c r="J241" s="23" t="s">
        <v>213</v>
      </c>
      <c r="K241" s="23"/>
      <c r="L241" s="23">
        <v>1</v>
      </c>
      <c r="M241" s="41"/>
    </row>
    <row r="242" spans="1:13" x14ac:dyDescent="0.25">
      <c r="A242" s="86"/>
      <c r="B242" s="89"/>
      <c r="C242" s="89"/>
      <c r="D242" s="21" t="s">
        <v>127</v>
      </c>
      <c r="E242" s="21"/>
      <c r="F242" s="22">
        <v>329.2</v>
      </c>
      <c r="G242" s="22">
        <v>0</v>
      </c>
      <c r="H242" s="22">
        <v>0</v>
      </c>
      <c r="I242" s="21"/>
      <c r="J242" s="23"/>
      <c r="K242" s="23"/>
      <c r="L242" s="23"/>
      <c r="M242" s="41"/>
    </row>
    <row r="243" spans="1:13" ht="15.75" thickBot="1" x14ac:dyDescent="0.3">
      <c r="A243" s="86"/>
      <c r="B243" s="89"/>
      <c r="C243" s="89"/>
      <c r="D243" s="21" t="s">
        <v>35</v>
      </c>
      <c r="E243" s="21"/>
      <c r="F243" s="22">
        <v>467.3</v>
      </c>
      <c r="G243" s="22"/>
      <c r="H243" s="22"/>
      <c r="I243" s="21"/>
      <c r="J243" s="23"/>
      <c r="K243" s="23"/>
      <c r="L243" s="23"/>
      <c r="M243" s="41"/>
    </row>
    <row r="244" spans="1:13" ht="25.5" x14ac:dyDescent="0.25">
      <c r="A244" s="85" t="s">
        <v>416</v>
      </c>
      <c r="B244" s="88" t="s">
        <v>417</v>
      </c>
      <c r="C244" s="88" t="s">
        <v>418</v>
      </c>
      <c r="D244" s="17"/>
      <c r="E244" s="17"/>
      <c r="F244" s="18">
        <f>SUM(F245:F245)</f>
        <v>413.8</v>
      </c>
      <c r="G244" s="18">
        <f>SUM(G245:G245)</f>
        <v>170</v>
      </c>
      <c r="H244" s="18">
        <f>SUM(H245:H245)</f>
        <v>150</v>
      </c>
      <c r="I244" s="17" t="s">
        <v>419</v>
      </c>
      <c r="J244" s="19" t="s">
        <v>19</v>
      </c>
      <c r="K244" s="19">
        <v>100</v>
      </c>
      <c r="L244" s="19">
        <v>100</v>
      </c>
      <c r="M244" s="40">
        <v>100</v>
      </c>
    </row>
    <row r="245" spans="1:13" ht="15.75" thickBot="1" x14ac:dyDescent="0.3">
      <c r="A245" s="87"/>
      <c r="B245" s="90"/>
      <c r="C245" s="90"/>
      <c r="D245" s="21" t="s">
        <v>29</v>
      </c>
      <c r="E245" s="21"/>
      <c r="F245" s="22">
        <v>413.8</v>
      </c>
      <c r="G245" s="22">
        <v>170</v>
      </c>
      <c r="H245" s="22">
        <v>150</v>
      </c>
      <c r="I245" s="21" t="s">
        <v>420</v>
      </c>
      <c r="J245" s="23" t="s">
        <v>23</v>
      </c>
      <c r="K245" s="23">
        <v>1</v>
      </c>
      <c r="L245" s="23">
        <v>0</v>
      </c>
      <c r="M245" s="41">
        <v>0</v>
      </c>
    </row>
    <row r="246" spans="1:13" x14ac:dyDescent="0.25">
      <c r="A246" s="85" t="s">
        <v>421</v>
      </c>
      <c r="B246" s="88" t="s">
        <v>422</v>
      </c>
      <c r="C246" s="88" t="s">
        <v>423</v>
      </c>
      <c r="D246" s="17"/>
      <c r="E246" s="17"/>
      <c r="F246" s="18">
        <f>SUM(F247:F249)</f>
        <v>90</v>
      </c>
      <c r="G246" s="18">
        <f>SUM(G247:G249)</f>
        <v>807</v>
      </c>
      <c r="H246" s="18">
        <f>SUM(H247:H249)</f>
        <v>0</v>
      </c>
      <c r="I246" s="17" t="s">
        <v>424</v>
      </c>
      <c r="J246" s="19" t="s">
        <v>19</v>
      </c>
      <c r="K246" s="19">
        <v>100</v>
      </c>
      <c r="L246" s="19">
        <v>0</v>
      </c>
      <c r="M246" s="40">
        <v>0</v>
      </c>
    </row>
    <row r="247" spans="1:13" x14ac:dyDescent="0.25">
      <c r="A247" s="86"/>
      <c r="B247" s="89"/>
      <c r="C247" s="89"/>
      <c r="D247" s="21" t="s">
        <v>29</v>
      </c>
      <c r="E247" s="21"/>
      <c r="F247" s="22">
        <v>90</v>
      </c>
      <c r="G247" s="22">
        <v>807</v>
      </c>
      <c r="H247" s="22">
        <v>0</v>
      </c>
      <c r="I247" s="21" t="s">
        <v>425</v>
      </c>
      <c r="J247" s="23" t="s">
        <v>23</v>
      </c>
      <c r="K247" s="23">
        <v>1</v>
      </c>
      <c r="L247" s="23">
        <v>0</v>
      </c>
      <c r="M247" s="41">
        <v>0</v>
      </c>
    </row>
    <row r="248" spans="1:13" x14ac:dyDescent="0.25">
      <c r="A248" s="86"/>
      <c r="B248" s="89"/>
      <c r="C248" s="89"/>
      <c r="D248" s="21"/>
      <c r="E248" s="21"/>
      <c r="F248" s="22">
        <v>0</v>
      </c>
      <c r="G248" s="22">
        <v>0</v>
      </c>
      <c r="H248" s="22">
        <v>0</v>
      </c>
      <c r="I248" s="21" t="s">
        <v>426</v>
      </c>
      <c r="J248" s="23" t="s">
        <v>19</v>
      </c>
      <c r="K248" s="23">
        <v>0</v>
      </c>
      <c r="L248" s="23">
        <v>100</v>
      </c>
      <c r="M248" s="41">
        <v>0</v>
      </c>
    </row>
    <row r="249" spans="1:13" ht="26.25" thickBot="1" x14ac:dyDescent="0.3">
      <c r="A249" s="87"/>
      <c r="B249" s="90"/>
      <c r="C249" s="90"/>
      <c r="D249" s="21"/>
      <c r="E249" s="21"/>
      <c r="F249" s="22">
        <v>0</v>
      </c>
      <c r="G249" s="22">
        <v>0</v>
      </c>
      <c r="H249" s="22">
        <v>0</v>
      </c>
      <c r="I249" s="21" t="s">
        <v>427</v>
      </c>
      <c r="J249" s="23" t="s">
        <v>19</v>
      </c>
      <c r="K249" s="23">
        <v>0</v>
      </c>
      <c r="L249" s="23">
        <v>100</v>
      </c>
      <c r="M249" s="41">
        <v>0</v>
      </c>
    </row>
    <row r="250" spans="1:13" x14ac:dyDescent="0.25">
      <c r="A250" s="85" t="s">
        <v>428</v>
      </c>
      <c r="B250" s="88" t="s">
        <v>429</v>
      </c>
      <c r="C250" s="88" t="s">
        <v>382</v>
      </c>
      <c r="D250" s="17"/>
      <c r="E250" s="17"/>
      <c r="F250" s="18">
        <f>SUM(F251:F258)</f>
        <v>49.1</v>
      </c>
      <c r="G250" s="18">
        <f>SUM(G251:G258)</f>
        <v>48.5</v>
      </c>
      <c r="H250" s="18">
        <f>SUM(H251:H258)</f>
        <v>48.5</v>
      </c>
      <c r="I250" s="17" t="s">
        <v>430</v>
      </c>
      <c r="J250" s="19" t="s">
        <v>23</v>
      </c>
      <c r="K250" s="19">
        <v>4</v>
      </c>
      <c r="L250" s="19">
        <v>4</v>
      </c>
      <c r="M250" s="40">
        <v>4</v>
      </c>
    </row>
    <row r="251" spans="1:13" x14ac:dyDescent="0.25">
      <c r="A251" s="86"/>
      <c r="B251" s="89"/>
      <c r="C251" s="89"/>
      <c r="D251" s="21" t="s">
        <v>35</v>
      </c>
      <c r="E251" s="21"/>
      <c r="F251" s="22">
        <v>0.6</v>
      </c>
      <c r="G251" s="22">
        <v>0</v>
      </c>
      <c r="H251" s="22">
        <v>0</v>
      </c>
      <c r="I251" s="21" t="s">
        <v>431</v>
      </c>
      <c r="J251" s="23" t="s">
        <v>23</v>
      </c>
      <c r="K251" s="23">
        <v>1</v>
      </c>
      <c r="L251" s="23">
        <v>1</v>
      </c>
      <c r="M251" s="41">
        <v>1</v>
      </c>
    </row>
    <row r="252" spans="1:13" x14ac:dyDescent="0.25">
      <c r="A252" s="86"/>
      <c r="B252" s="89"/>
      <c r="C252" s="89"/>
      <c r="D252" s="21" t="s">
        <v>29</v>
      </c>
      <c r="E252" s="21"/>
      <c r="F252" s="22">
        <v>48.5</v>
      </c>
      <c r="G252" s="22">
        <v>48.5</v>
      </c>
      <c r="H252" s="22">
        <v>48.5</v>
      </c>
      <c r="I252" s="21" t="s">
        <v>432</v>
      </c>
      <c r="J252" s="23" t="s">
        <v>23</v>
      </c>
      <c r="K252" s="23">
        <v>0</v>
      </c>
      <c r="L252" s="23">
        <v>1</v>
      </c>
      <c r="M252" s="41">
        <v>1</v>
      </c>
    </row>
    <row r="253" spans="1:13" x14ac:dyDescent="0.25">
      <c r="A253" s="86"/>
      <c r="B253" s="89"/>
      <c r="C253" s="89"/>
      <c r="D253" s="21"/>
      <c r="E253" s="21"/>
      <c r="F253" s="22">
        <v>0</v>
      </c>
      <c r="G253" s="22">
        <v>0</v>
      </c>
      <c r="H253" s="22">
        <v>0</v>
      </c>
      <c r="I253" s="21" t="s">
        <v>433</v>
      </c>
      <c r="J253" s="23" t="s">
        <v>23</v>
      </c>
      <c r="K253" s="23">
        <v>6</v>
      </c>
      <c r="L253" s="23">
        <v>6</v>
      </c>
      <c r="M253" s="41">
        <v>6</v>
      </c>
    </row>
    <row r="254" spans="1:13" x14ac:dyDescent="0.25">
      <c r="A254" s="86"/>
      <c r="B254" s="89"/>
      <c r="C254" s="89"/>
      <c r="D254" s="21"/>
      <c r="E254" s="21"/>
      <c r="F254" s="22">
        <v>0</v>
      </c>
      <c r="G254" s="22">
        <v>0</v>
      </c>
      <c r="H254" s="22">
        <v>0</v>
      </c>
      <c r="I254" s="21" t="s">
        <v>434</v>
      </c>
      <c r="J254" s="23" t="s">
        <v>23</v>
      </c>
      <c r="K254" s="23">
        <v>1</v>
      </c>
      <c r="L254" s="23">
        <v>1</v>
      </c>
      <c r="M254" s="41">
        <v>1</v>
      </c>
    </row>
    <row r="255" spans="1:13" x14ac:dyDescent="0.25">
      <c r="A255" s="86"/>
      <c r="B255" s="89"/>
      <c r="C255" s="89"/>
      <c r="D255" s="21"/>
      <c r="E255" s="21"/>
      <c r="F255" s="22">
        <v>0</v>
      </c>
      <c r="G255" s="22">
        <v>0</v>
      </c>
      <c r="H255" s="22">
        <v>0</v>
      </c>
      <c r="I255" s="21" t="s">
        <v>435</v>
      </c>
      <c r="J255" s="23" t="s">
        <v>23</v>
      </c>
      <c r="K255" s="23">
        <v>0</v>
      </c>
      <c r="L255" s="23">
        <v>1</v>
      </c>
      <c r="M255" s="41">
        <v>0</v>
      </c>
    </row>
    <row r="256" spans="1:13" ht="25.5" x14ac:dyDescent="0.25">
      <c r="A256" s="86"/>
      <c r="B256" s="89"/>
      <c r="C256" s="89"/>
      <c r="D256" s="21"/>
      <c r="E256" s="21"/>
      <c r="F256" s="22">
        <v>0</v>
      </c>
      <c r="G256" s="22">
        <v>0</v>
      </c>
      <c r="H256" s="22">
        <v>0</v>
      </c>
      <c r="I256" s="21" t="s">
        <v>436</v>
      </c>
      <c r="J256" s="23" t="s">
        <v>23</v>
      </c>
      <c r="K256" s="23">
        <v>1</v>
      </c>
      <c r="L256" s="23">
        <v>1</v>
      </c>
      <c r="M256" s="41">
        <v>1</v>
      </c>
    </row>
    <row r="257" spans="1:13" ht="25.5" x14ac:dyDescent="0.25">
      <c r="A257" s="86"/>
      <c r="B257" s="89"/>
      <c r="C257" s="89"/>
      <c r="D257" s="21"/>
      <c r="E257" s="21"/>
      <c r="F257" s="22">
        <v>0</v>
      </c>
      <c r="G257" s="22">
        <v>0</v>
      </c>
      <c r="H257" s="22">
        <v>0</v>
      </c>
      <c r="I257" s="21" t="s">
        <v>437</v>
      </c>
      <c r="J257" s="23" t="s">
        <v>23</v>
      </c>
      <c r="K257" s="23">
        <v>1</v>
      </c>
      <c r="L257" s="23">
        <v>0</v>
      </c>
      <c r="M257" s="41">
        <v>1</v>
      </c>
    </row>
    <row r="258" spans="1:13" ht="15.75" thickBot="1" x14ac:dyDescent="0.3">
      <c r="A258" s="87"/>
      <c r="B258" s="90"/>
      <c r="C258" s="90"/>
      <c r="D258" s="21"/>
      <c r="E258" s="21"/>
      <c r="F258" s="22">
        <v>0</v>
      </c>
      <c r="G258" s="22">
        <v>0</v>
      </c>
      <c r="H258" s="22">
        <v>0</v>
      </c>
      <c r="I258" s="21" t="s">
        <v>438</v>
      </c>
      <c r="J258" s="23" t="s">
        <v>23</v>
      </c>
      <c r="K258" s="23">
        <v>1</v>
      </c>
      <c r="L258" s="23">
        <v>1</v>
      </c>
      <c r="M258" s="41">
        <v>1</v>
      </c>
    </row>
    <row r="259" spans="1:13" ht="25.5" x14ac:dyDescent="0.25">
      <c r="A259" s="85" t="s">
        <v>439</v>
      </c>
      <c r="B259" s="88" t="s">
        <v>440</v>
      </c>
      <c r="C259" s="88" t="s">
        <v>382</v>
      </c>
      <c r="D259" s="17"/>
      <c r="E259" s="17"/>
      <c r="F259" s="18">
        <f>SUM(F260:F260)</f>
        <v>73.5</v>
      </c>
      <c r="G259" s="18">
        <f>SUM(G260:G260)</f>
        <v>73.5</v>
      </c>
      <c r="H259" s="18">
        <f>SUM(H260:H260)</f>
        <v>73.5</v>
      </c>
      <c r="I259" s="17" t="s">
        <v>441</v>
      </c>
      <c r="J259" s="19" t="s">
        <v>23</v>
      </c>
      <c r="K259" s="19">
        <v>12</v>
      </c>
      <c r="L259" s="19">
        <v>8</v>
      </c>
      <c r="M259" s="40">
        <v>9</v>
      </c>
    </row>
    <row r="260" spans="1:13" ht="15.75" thickBot="1" x14ac:dyDescent="0.3">
      <c r="A260" s="87"/>
      <c r="B260" s="90"/>
      <c r="C260" s="90"/>
      <c r="D260" s="21" t="s">
        <v>29</v>
      </c>
      <c r="E260" s="21"/>
      <c r="F260" s="22">
        <v>73.5</v>
      </c>
      <c r="G260" s="22">
        <v>73.5</v>
      </c>
      <c r="H260" s="22">
        <v>73.5</v>
      </c>
      <c r="I260" s="21"/>
      <c r="J260" s="23"/>
      <c r="K260" s="23"/>
      <c r="L260" s="23"/>
      <c r="M260" s="41"/>
    </row>
    <row r="261" spans="1:13" ht="26.25" thickBot="1" x14ac:dyDescent="0.3">
      <c r="A261" s="4" t="s">
        <v>442</v>
      </c>
      <c r="B261" s="5" t="s">
        <v>443</v>
      </c>
      <c r="C261" s="91" t="s">
        <v>444</v>
      </c>
      <c r="D261" s="92"/>
      <c r="E261" s="93"/>
      <c r="F261" s="6">
        <f>SUM(F262:F262)</f>
        <v>1624.5</v>
      </c>
      <c r="G261" s="6">
        <f>SUM(G262:G262)</f>
        <v>900.5</v>
      </c>
      <c r="H261" s="6">
        <f>SUM(H262:H262)</f>
        <v>896</v>
      </c>
      <c r="I261" s="68"/>
      <c r="J261" s="69"/>
      <c r="K261" s="69"/>
      <c r="L261" s="69"/>
      <c r="M261" s="70"/>
    </row>
    <row r="262" spans="1:13" ht="27" customHeight="1" thickBot="1" x14ac:dyDescent="0.3">
      <c r="A262" s="7" t="s">
        <v>445</v>
      </c>
      <c r="B262" s="94" t="s">
        <v>446</v>
      </c>
      <c r="C262" s="95"/>
      <c r="D262" s="95"/>
      <c r="E262" s="96"/>
      <c r="F262" s="9">
        <f>F263+F268+F277</f>
        <v>1624.5</v>
      </c>
      <c r="G262" s="9">
        <f>G263+G268+G277</f>
        <v>900.5</v>
      </c>
      <c r="H262" s="9">
        <f>H263+H268+H277</f>
        <v>896</v>
      </c>
      <c r="I262" s="8" t="s">
        <v>447</v>
      </c>
      <c r="J262" s="10" t="s">
        <v>19</v>
      </c>
      <c r="K262" s="10">
        <v>85</v>
      </c>
      <c r="L262" s="10">
        <v>90</v>
      </c>
      <c r="M262" s="45">
        <v>92</v>
      </c>
    </row>
    <row r="263" spans="1:13" ht="27.75" customHeight="1" thickBot="1" x14ac:dyDescent="0.3">
      <c r="A263" s="11" t="s">
        <v>448</v>
      </c>
      <c r="B263" s="65" t="s">
        <v>449</v>
      </c>
      <c r="C263" s="66"/>
      <c r="D263" s="66"/>
      <c r="E263" s="67"/>
      <c r="F263" s="13">
        <f>F264+F266+F267</f>
        <v>85</v>
      </c>
      <c r="G263" s="13">
        <f>G264+G266+G267</f>
        <v>85</v>
      </c>
      <c r="H263" s="13">
        <f>H264+H266+H267</f>
        <v>70</v>
      </c>
      <c r="I263" s="82"/>
      <c r="J263" s="83"/>
      <c r="K263" s="83"/>
      <c r="L263" s="83"/>
      <c r="M263" s="84"/>
    </row>
    <row r="264" spans="1:13" ht="38.25" customHeight="1" x14ac:dyDescent="0.25">
      <c r="A264" s="85" t="s">
        <v>450</v>
      </c>
      <c r="B264" s="88" t="s">
        <v>451</v>
      </c>
      <c r="C264" s="88" t="s">
        <v>444</v>
      </c>
      <c r="D264" s="17"/>
      <c r="E264" s="17"/>
      <c r="F264" s="18">
        <f>SUM(F265:F265)</f>
        <v>35</v>
      </c>
      <c r="G264" s="18">
        <f>SUM(G265:G265)</f>
        <v>35</v>
      </c>
      <c r="H264" s="18">
        <f>SUM(H265:H265)</f>
        <v>20</v>
      </c>
      <c r="I264" s="17" t="s">
        <v>452</v>
      </c>
      <c r="J264" s="19" t="s">
        <v>23</v>
      </c>
      <c r="K264" s="19">
        <v>100</v>
      </c>
      <c r="L264" s="19">
        <v>100</v>
      </c>
      <c r="M264" s="40">
        <v>100</v>
      </c>
    </row>
    <row r="265" spans="1:13" ht="15.75" thickBot="1" x14ac:dyDescent="0.3">
      <c r="A265" s="87"/>
      <c r="B265" s="90"/>
      <c r="C265" s="90"/>
      <c r="D265" s="21" t="s">
        <v>29</v>
      </c>
      <c r="E265" s="21"/>
      <c r="F265" s="22">
        <v>35</v>
      </c>
      <c r="G265" s="22">
        <v>35</v>
      </c>
      <c r="H265" s="22">
        <v>20</v>
      </c>
      <c r="I265" s="21"/>
      <c r="J265" s="23"/>
      <c r="K265" s="23"/>
      <c r="L265" s="23"/>
      <c r="M265" s="41"/>
    </row>
    <row r="266" spans="1:13" ht="26.25" thickBot="1" x14ac:dyDescent="0.3">
      <c r="A266" s="15" t="s">
        <v>453</v>
      </c>
      <c r="B266" s="16" t="s">
        <v>454</v>
      </c>
      <c r="C266" s="17" t="s">
        <v>444</v>
      </c>
      <c r="D266" s="17" t="s">
        <v>29</v>
      </c>
      <c r="E266" s="17"/>
      <c r="F266" s="24">
        <v>20</v>
      </c>
      <c r="G266" s="24">
        <v>20</v>
      </c>
      <c r="H266" s="24">
        <v>20</v>
      </c>
      <c r="I266" s="17" t="s">
        <v>455</v>
      </c>
      <c r="J266" s="19" t="s">
        <v>19</v>
      </c>
      <c r="K266" s="19">
        <v>100</v>
      </c>
      <c r="L266" s="19">
        <v>100</v>
      </c>
      <c r="M266" s="40">
        <v>100</v>
      </c>
    </row>
    <row r="267" spans="1:13" ht="64.5" thickBot="1" x14ac:dyDescent="0.3">
      <c r="A267" s="15" t="s">
        <v>456</v>
      </c>
      <c r="B267" s="16" t="s">
        <v>457</v>
      </c>
      <c r="C267" s="17" t="s">
        <v>458</v>
      </c>
      <c r="D267" s="17" t="s">
        <v>29</v>
      </c>
      <c r="E267" s="17"/>
      <c r="F267" s="24">
        <v>30</v>
      </c>
      <c r="G267" s="24">
        <v>30</v>
      </c>
      <c r="H267" s="24">
        <v>30</v>
      </c>
      <c r="I267" s="17" t="s">
        <v>459</v>
      </c>
      <c r="J267" s="19" t="s">
        <v>23</v>
      </c>
      <c r="K267" s="19">
        <v>5</v>
      </c>
      <c r="L267" s="19">
        <v>5</v>
      </c>
      <c r="M267" s="40">
        <v>5</v>
      </c>
    </row>
    <row r="268" spans="1:13" ht="27" customHeight="1" thickBot="1" x14ac:dyDescent="0.3">
      <c r="A268" s="11" t="s">
        <v>460</v>
      </c>
      <c r="B268" s="65" t="s">
        <v>461</v>
      </c>
      <c r="C268" s="66"/>
      <c r="D268" s="66"/>
      <c r="E268" s="67"/>
      <c r="F268" s="13">
        <f>F269+F271+F272+F273+F275+F276</f>
        <v>853.2</v>
      </c>
      <c r="G268" s="13">
        <f>G269+G271+G272+G273+G275+G276</f>
        <v>741.5</v>
      </c>
      <c r="H268" s="13">
        <f>H269+H271+H272+H273+H275+H276</f>
        <v>752</v>
      </c>
      <c r="I268" s="82"/>
      <c r="J268" s="83"/>
      <c r="K268" s="83"/>
      <c r="L268" s="83"/>
      <c r="M268" s="84"/>
    </row>
    <row r="269" spans="1:13" ht="51" customHeight="1" x14ac:dyDescent="0.25">
      <c r="A269" s="85" t="s">
        <v>462</v>
      </c>
      <c r="B269" s="88" t="s">
        <v>463</v>
      </c>
      <c r="C269" s="88" t="s">
        <v>464</v>
      </c>
      <c r="D269" s="17" t="s">
        <v>29</v>
      </c>
      <c r="E269" s="17"/>
      <c r="F269" s="18">
        <f>SUM(F270:F270)+242.2</f>
        <v>242.2</v>
      </c>
      <c r="G269" s="18">
        <f>SUM(G270:G270)+250</f>
        <v>250</v>
      </c>
      <c r="H269" s="18">
        <f>SUM(H270:H270)+253.5</f>
        <v>253.5</v>
      </c>
      <c r="I269" s="17" t="s">
        <v>465</v>
      </c>
      <c r="J269" s="19" t="s">
        <v>19</v>
      </c>
      <c r="K269" s="19">
        <v>100</v>
      </c>
      <c r="L269" s="19">
        <v>100</v>
      </c>
      <c r="M269" s="40">
        <v>100</v>
      </c>
    </row>
    <row r="270" spans="1:13" ht="15.75" thickBot="1" x14ac:dyDescent="0.3">
      <c r="A270" s="87"/>
      <c r="B270" s="90"/>
      <c r="C270" s="90"/>
      <c r="D270" s="21"/>
      <c r="E270" s="21"/>
      <c r="F270" s="22">
        <v>0</v>
      </c>
      <c r="G270" s="22">
        <v>0</v>
      </c>
      <c r="H270" s="22">
        <v>0</v>
      </c>
      <c r="I270" s="21" t="s">
        <v>466</v>
      </c>
      <c r="J270" s="23" t="s">
        <v>23</v>
      </c>
      <c r="K270" s="23">
        <v>3</v>
      </c>
      <c r="L270" s="23">
        <v>3</v>
      </c>
      <c r="M270" s="41">
        <v>3</v>
      </c>
    </row>
    <row r="271" spans="1:13" ht="40.5" customHeight="1" thickBot="1" x14ac:dyDescent="0.3">
      <c r="A271" s="15" t="s">
        <v>467</v>
      </c>
      <c r="B271" s="16" t="s">
        <v>468</v>
      </c>
      <c r="C271" s="17" t="s">
        <v>444</v>
      </c>
      <c r="D271" s="17" t="s">
        <v>29</v>
      </c>
      <c r="E271" s="17"/>
      <c r="F271" s="24">
        <v>27.5</v>
      </c>
      <c r="G271" s="24">
        <v>52.5</v>
      </c>
      <c r="H271" s="24">
        <v>54.5</v>
      </c>
      <c r="I271" s="17" t="s">
        <v>469</v>
      </c>
      <c r="J271" s="19" t="s">
        <v>19</v>
      </c>
      <c r="K271" s="19">
        <v>100</v>
      </c>
      <c r="L271" s="19">
        <v>100</v>
      </c>
      <c r="M271" s="40">
        <v>100</v>
      </c>
    </row>
    <row r="272" spans="1:13" ht="51.75" thickBot="1" x14ac:dyDescent="0.3">
      <c r="A272" s="15" t="s">
        <v>470</v>
      </c>
      <c r="B272" s="16" t="s">
        <v>471</v>
      </c>
      <c r="C272" s="17" t="s">
        <v>444</v>
      </c>
      <c r="D272" s="17" t="s">
        <v>29</v>
      </c>
      <c r="E272" s="17"/>
      <c r="F272" s="24">
        <v>1.5</v>
      </c>
      <c r="G272" s="24">
        <v>2</v>
      </c>
      <c r="H272" s="24">
        <v>2</v>
      </c>
      <c r="I272" s="17" t="s">
        <v>472</v>
      </c>
      <c r="J272" s="19" t="s">
        <v>23</v>
      </c>
      <c r="K272" s="19">
        <v>5</v>
      </c>
      <c r="L272" s="19">
        <v>5</v>
      </c>
      <c r="M272" s="40">
        <v>3</v>
      </c>
    </row>
    <row r="273" spans="1:13" ht="51" customHeight="1" x14ac:dyDescent="0.25">
      <c r="A273" s="85" t="s">
        <v>473</v>
      </c>
      <c r="B273" s="88" t="s">
        <v>474</v>
      </c>
      <c r="C273" s="88" t="s">
        <v>444</v>
      </c>
      <c r="D273" s="17" t="s">
        <v>29</v>
      </c>
      <c r="E273" s="17"/>
      <c r="F273" s="18">
        <f>SUM(F274:F274)+150</f>
        <v>150</v>
      </c>
      <c r="G273" s="18">
        <f>SUM(G274:G274)</f>
        <v>0</v>
      </c>
      <c r="H273" s="18">
        <f>SUM(H274:H274)</f>
        <v>0</v>
      </c>
      <c r="I273" s="17" t="s">
        <v>475</v>
      </c>
      <c r="J273" s="19" t="s">
        <v>23</v>
      </c>
      <c r="K273" s="19">
        <v>1</v>
      </c>
      <c r="L273" s="19">
        <v>0</v>
      </c>
      <c r="M273" s="40">
        <v>0</v>
      </c>
    </row>
    <row r="274" spans="1:13" ht="15.75" thickBot="1" x14ac:dyDescent="0.3">
      <c r="A274" s="87"/>
      <c r="B274" s="90"/>
      <c r="C274" s="90"/>
      <c r="D274" s="21"/>
      <c r="E274" s="21"/>
      <c r="F274" s="22">
        <v>0</v>
      </c>
      <c r="G274" s="22">
        <v>0</v>
      </c>
      <c r="H274" s="22">
        <v>0</v>
      </c>
      <c r="I274" s="21" t="s">
        <v>476</v>
      </c>
      <c r="J274" s="23" t="s">
        <v>19</v>
      </c>
      <c r="K274" s="23">
        <v>100</v>
      </c>
      <c r="L274" s="23">
        <v>0</v>
      </c>
      <c r="M274" s="41">
        <v>0</v>
      </c>
    </row>
    <row r="275" spans="1:13" ht="77.25" thickBot="1" x14ac:dyDescent="0.3">
      <c r="A275" s="15" t="s">
        <v>477</v>
      </c>
      <c r="B275" s="16" t="s">
        <v>478</v>
      </c>
      <c r="C275" s="17" t="s">
        <v>444</v>
      </c>
      <c r="D275" s="17" t="s">
        <v>29</v>
      </c>
      <c r="E275" s="17"/>
      <c r="F275" s="24">
        <v>430</v>
      </c>
      <c r="G275" s="24">
        <v>435</v>
      </c>
      <c r="H275" s="24">
        <v>440</v>
      </c>
      <c r="I275" s="17" t="s">
        <v>479</v>
      </c>
      <c r="J275" s="19" t="s">
        <v>19</v>
      </c>
      <c r="K275" s="19">
        <v>100</v>
      </c>
      <c r="L275" s="19">
        <v>100</v>
      </c>
      <c r="M275" s="40">
        <v>100</v>
      </c>
    </row>
    <row r="276" spans="1:13" ht="39" thickBot="1" x14ac:dyDescent="0.3">
      <c r="A276" s="15" t="s">
        <v>480</v>
      </c>
      <c r="B276" s="16" t="s">
        <v>481</v>
      </c>
      <c r="C276" s="17" t="s">
        <v>444</v>
      </c>
      <c r="D276" s="17" t="s">
        <v>29</v>
      </c>
      <c r="E276" s="17"/>
      <c r="F276" s="24">
        <v>2</v>
      </c>
      <c r="G276" s="24">
        <v>2</v>
      </c>
      <c r="H276" s="24">
        <v>2</v>
      </c>
      <c r="I276" s="17" t="s">
        <v>482</v>
      </c>
      <c r="J276" s="19" t="s">
        <v>19</v>
      </c>
      <c r="K276" s="19">
        <v>100</v>
      </c>
      <c r="L276" s="19">
        <v>100</v>
      </c>
      <c r="M276" s="40">
        <v>100</v>
      </c>
    </row>
    <row r="277" spans="1:13" ht="27" customHeight="1" thickBot="1" x14ac:dyDescent="0.3">
      <c r="A277" s="11" t="s">
        <v>483</v>
      </c>
      <c r="B277" s="65" t="s">
        <v>484</v>
      </c>
      <c r="C277" s="66"/>
      <c r="D277" s="66"/>
      <c r="E277" s="67"/>
      <c r="F277" s="13">
        <f>F278+F279+F283+F284+F285</f>
        <v>686.3</v>
      </c>
      <c r="G277" s="13">
        <f>G278+G279+G283+G284+G285</f>
        <v>74</v>
      </c>
      <c r="H277" s="13">
        <f>H278+H279+H283+H284+H285</f>
        <v>74</v>
      </c>
      <c r="I277" s="82"/>
      <c r="J277" s="83"/>
      <c r="K277" s="83"/>
      <c r="L277" s="83"/>
      <c r="M277" s="84"/>
    </row>
    <row r="278" spans="1:13" ht="15.75" thickBot="1" x14ac:dyDescent="0.3">
      <c r="A278" s="15" t="s">
        <v>485</v>
      </c>
      <c r="B278" s="16" t="s">
        <v>486</v>
      </c>
      <c r="C278" s="17" t="s">
        <v>444</v>
      </c>
      <c r="D278" s="17" t="s">
        <v>35</v>
      </c>
      <c r="E278" s="17"/>
      <c r="F278" s="24">
        <v>155.19999999999999</v>
      </c>
      <c r="G278" s="24">
        <v>0</v>
      </c>
      <c r="H278" s="24">
        <v>0</v>
      </c>
      <c r="I278" s="17" t="s">
        <v>487</v>
      </c>
      <c r="J278" s="19" t="s">
        <v>23</v>
      </c>
      <c r="K278" s="19">
        <v>3</v>
      </c>
      <c r="L278" s="19">
        <v>0</v>
      </c>
      <c r="M278" s="40">
        <v>0</v>
      </c>
    </row>
    <row r="279" spans="1:13" ht="38.25" customHeight="1" x14ac:dyDescent="0.25">
      <c r="A279" s="85" t="s">
        <v>488</v>
      </c>
      <c r="B279" s="88" t="s">
        <v>489</v>
      </c>
      <c r="C279" s="88" t="s">
        <v>490</v>
      </c>
      <c r="D279" s="17"/>
      <c r="E279" s="17"/>
      <c r="F279" s="18">
        <f>SUM(F280:F282)</f>
        <v>462.2</v>
      </c>
      <c r="G279" s="18">
        <f>SUM(G280:G282)</f>
        <v>0</v>
      </c>
      <c r="H279" s="18">
        <f>SUM(H280:H282)</f>
        <v>0</v>
      </c>
      <c r="I279" s="17" t="s">
        <v>487</v>
      </c>
      <c r="J279" s="19" t="s">
        <v>239</v>
      </c>
      <c r="K279" s="19">
        <v>5</v>
      </c>
      <c r="L279" s="19"/>
      <c r="M279" s="40"/>
    </row>
    <row r="280" spans="1:13" x14ac:dyDescent="0.25">
      <c r="A280" s="86"/>
      <c r="B280" s="89"/>
      <c r="C280" s="89"/>
      <c r="D280" s="21" t="s">
        <v>35</v>
      </c>
      <c r="E280" s="21"/>
      <c r="F280" s="22">
        <v>75.8</v>
      </c>
      <c r="G280" s="22">
        <v>0</v>
      </c>
      <c r="H280" s="22">
        <v>0</v>
      </c>
      <c r="I280" s="21"/>
      <c r="J280" s="23"/>
      <c r="K280" s="23"/>
      <c r="L280" s="23"/>
      <c r="M280" s="41"/>
    </row>
    <row r="281" spans="1:13" x14ac:dyDescent="0.25">
      <c r="A281" s="86"/>
      <c r="B281" s="89"/>
      <c r="C281" s="89"/>
      <c r="D281" s="21" t="s">
        <v>135</v>
      </c>
      <c r="E281" s="21"/>
      <c r="F281" s="22">
        <v>328.7</v>
      </c>
      <c r="G281" s="22">
        <v>0</v>
      </c>
      <c r="H281" s="22">
        <v>0</v>
      </c>
      <c r="I281" s="21"/>
      <c r="J281" s="23"/>
      <c r="K281" s="23"/>
      <c r="L281" s="23"/>
      <c r="M281" s="41"/>
    </row>
    <row r="282" spans="1:13" ht="15.75" thickBot="1" x14ac:dyDescent="0.3">
      <c r="A282" s="87"/>
      <c r="B282" s="90"/>
      <c r="C282" s="90"/>
      <c r="D282" s="21" t="s">
        <v>127</v>
      </c>
      <c r="E282" s="21"/>
      <c r="F282" s="22">
        <v>57.7</v>
      </c>
      <c r="G282" s="22">
        <v>0</v>
      </c>
      <c r="H282" s="22">
        <v>0</v>
      </c>
      <c r="I282" s="21"/>
      <c r="J282" s="23"/>
      <c r="K282" s="23"/>
      <c r="L282" s="23"/>
      <c r="M282" s="41"/>
    </row>
    <row r="283" spans="1:13" ht="37.5" customHeight="1" thickBot="1" x14ac:dyDescent="0.3">
      <c r="A283" s="15" t="s">
        <v>491</v>
      </c>
      <c r="B283" s="16" t="s">
        <v>492</v>
      </c>
      <c r="C283" s="17" t="s">
        <v>444</v>
      </c>
      <c r="D283" s="17" t="s">
        <v>493</v>
      </c>
      <c r="E283" s="17"/>
      <c r="F283" s="24">
        <v>58.9</v>
      </c>
      <c r="G283" s="24">
        <v>60</v>
      </c>
      <c r="H283" s="24">
        <v>60</v>
      </c>
      <c r="I283" s="17" t="s">
        <v>455</v>
      </c>
      <c r="J283" s="19" t="s">
        <v>19</v>
      </c>
      <c r="K283" s="19">
        <v>100</v>
      </c>
      <c r="L283" s="19">
        <v>100</v>
      </c>
      <c r="M283" s="40">
        <v>100</v>
      </c>
    </row>
    <row r="284" spans="1:13" ht="51.75" hidden="1" thickBot="1" x14ac:dyDescent="0.3">
      <c r="A284" s="15" t="s">
        <v>494</v>
      </c>
      <c r="B284" s="16" t="s">
        <v>495</v>
      </c>
      <c r="C284" s="17" t="s">
        <v>444</v>
      </c>
      <c r="D284" s="17" t="s">
        <v>124</v>
      </c>
      <c r="E284" s="17"/>
      <c r="F284" s="24">
        <v>0</v>
      </c>
      <c r="G284" s="24">
        <v>0</v>
      </c>
      <c r="H284" s="24">
        <v>0</v>
      </c>
      <c r="I284" s="17"/>
      <c r="J284" s="19"/>
      <c r="K284" s="19"/>
      <c r="L284" s="19"/>
      <c r="M284" s="40"/>
    </row>
    <row r="285" spans="1:13" ht="26.25" thickBot="1" x14ac:dyDescent="0.3">
      <c r="A285" s="15" t="s">
        <v>496</v>
      </c>
      <c r="B285" s="16" t="s">
        <v>497</v>
      </c>
      <c r="C285" s="17" t="s">
        <v>444</v>
      </c>
      <c r="D285" s="17" t="s">
        <v>29</v>
      </c>
      <c r="E285" s="17"/>
      <c r="F285" s="24">
        <v>10</v>
      </c>
      <c r="G285" s="24">
        <v>14</v>
      </c>
      <c r="H285" s="24">
        <v>14</v>
      </c>
      <c r="I285" s="17" t="s">
        <v>498</v>
      </c>
      <c r="J285" s="19" t="s">
        <v>239</v>
      </c>
      <c r="K285" s="19">
        <v>20</v>
      </c>
      <c r="L285" s="19">
        <v>28</v>
      </c>
      <c r="M285" s="40">
        <v>28</v>
      </c>
    </row>
    <row r="286" spans="1:13" ht="26.25" customHeight="1" thickBot="1" x14ac:dyDescent="0.3">
      <c r="A286" s="4" t="s">
        <v>499</v>
      </c>
      <c r="B286" s="5" t="s">
        <v>500</v>
      </c>
      <c r="C286" s="91" t="s">
        <v>501</v>
      </c>
      <c r="D286" s="92"/>
      <c r="E286" s="93"/>
      <c r="F286" s="6">
        <f>SUM(F287:F287)</f>
        <v>11474.3</v>
      </c>
      <c r="G286" s="6">
        <f>SUM(G287:G287)</f>
        <v>18081.800000000003</v>
      </c>
      <c r="H286" s="6">
        <f>SUM(H287:H287)</f>
        <v>21747.300000000003</v>
      </c>
      <c r="I286" s="68"/>
      <c r="J286" s="69"/>
      <c r="K286" s="69"/>
      <c r="L286" s="69"/>
      <c r="M286" s="70"/>
    </row>
    <row r="287" spans="1:13" x14ac:dyDescent="0.25">
      <c r="A287" s="100" t="s">
        <v>502</v>
      </c>
      <c r="B287" s="103" t="s">
        <v>503</v>
      </c>
      <c r="C287" s="104"/>
      <c r="D287" s="104"/>
      <c r="E287" s="105"/>
      <c r="F287" s="9">
        <f>F288+F289+F320+F334</f>
        <v>11474.3</v>
      </c>
      <c r="G287" s="9">
        <f>G288+G289+G320+G334</f>
        <v>18081.800000000003</v>
      </c>
      <c r="H287" s="9">
        <f>H288+H289+H320+H334</f>
        <v>21747.300000000003</v>
      </c>
      <c r="I287" s="8" t="s">
        <v>504</v>
      </c>
      <c r="J287" s="10" t="s">
        <v>239</v>
      </c>
      <c r="K287" s="10">
        <v>67</v>
      </c>
      <c r="L287" s="10">
        <v>70</v>
      </c>
      <c r="M287" s="45">
        <v>70</v>
      </c>
    </row>
    <row r="288" spans="1:13" ht="15.75" thickBot="1" x14ac:dyDescent="0.3">
      <c r="A288" s="102"/>
      <c r="B288" s="109"/>
      <c r="C288" s="110"/>
      <c r="D288" s="110"/>
      <c r="E288" s="111"/>
      <c r="F288" s="36">
        <v>0</v>
      </c>
      <c r="G288" s="36">
        <v>0</v>
      </c>
      <c r="H288" s="36">
        <v>0</v>
      </c>
      <c r="I288" s="37" t="s">
        <v>505</v>
      </c>
      <c r="J288" s="38" t="s">
        <v>239</v>
      </c>
      <c r="K288" s="38">
        <v>18</v>
      </c>
      <c r="L288" s="38">
        <v>18</v>
      </c>
      <c r="M288" s="42">
        <v>19</v>
      </c>
    </row>
    <row r="289" spans="1:13" ht="26.25" customHeight="1" thickBot="1" x14ac:dyDescent="0.3">
      <c r="A289" s="11" t="s">
        <v>506</v>
      </c>
      <c r="B289" s="65" t="s">
        <v>507</v>
      </c>
      <c r="C289" s="66"/>
      <c r="D289" s="66"/>
      <c r="E289" s="67"/>
      <c r="F289" s="13">
        <f>F290+F298+F303+F305+F308+F312+F319</f>
        <v>9319.4</v>
      </c>
      <c r="G289" s="13">
        <f>G290+G298+G303+G305+G308+G312+G319</f>
        <v>9225.8000000000011</v>
      </c>
      <c r="H289" s="13">
        <f>H290+H298+H303+H305+H308+H312+H319</f>
        <v>9359.3000000000011</v>
      </c>
      <c r="I289" s="82"/>
      <c r="J289" s="83"/>
      <c r="K289" s="83"/>
      <c r="L289" s="83"/>
      <c r="M289" s="84"/>
    </row>
    <row r="290" spans="1:13" ht="25.5" x14ac:dyDescent="0.25">
      <c r="A290" s="85" t="s">
        <v>508</v>
      </c>
      <c r="B290" s="88" t="s">
        <v>509</v>
      </c>
      <c r="C290" s="88" t="s">
        <v>501</v>
      </c>
      <c r="D290" s="17" t="s">
        <v>29</v>
      </c>
      <c r="E290" s="17" t="s">
        <v>147</v>
      </c>
      <c r="F290" s="18">
        <f>SUM(F291:F297)+133</f>
        <v>133</v>
      </c>
      <c r="G290" s="18">
        <f>SUM(G291:G297)+146</f>
        <v>146</v>
      </c>
      <c r="H290" s="18">
        <f>SUM(H291:H297)+160</f>
        <v>160</v>
      </c>
      <c r="I290" s="17" t="s">
        <v>510</v>
      </c>
      <c r="J290" s="19" t="s">
        <v>239</v>
      </c>
      <c r="K290" s="46">
        <v>255</v>
      </c>
      <c r="L290" s="46">
        <v>260</v>
      </c>
      <c r="M290" s="47">
        <v>265</v>
      </c>
    </row>
    <row r="291" spans="1:13" ht="38.25" x14ac:dyDescent="0.25">
      <c r="A291" s="86"/>
      <c r="B291" s="89"/>
      <c r="C291" s="89"/>
      <c r="D291" s="21"/>
      <c r="E291" s="21"/>
      <c r="F291" s="22">
        <v>0</v>
      </c>
      <c r="G291" s="22">
        <v>0</v>
      </c>
      <c r="H291" s="22">
        <v>0</v>
      </c>
      <c r="I291" s="21" t="s">
        <v>511</v>
      </c>
      <c r="J291" s="23" t="s">
        <v>239</v>
      </c>
      <c r="K291" s="48">
        <v>560</v>
      </c>
      <c r="L291" s="48">
        <v>565</v>
      </c>
      <c r="M291" s="49">
        <v>570</v>
      </c>
    </row>
    <row r="292" spans="1:13" ht="38.25" x14ac:dyDescent="0.25">
      <c r="A292" s="86"/>
      <c r="B292" s="89"/>
      <c r="C292" s="89"/>
      <c r="D292" s="21"/>
      <c r="E292" s="21"/>
      <c r="F292" s="22">
        <v>0</v>
      </c>
      <c r="G292" s="22">
        <v>0</v>
      </c>
      <c r="H292" s="22">
        <v>0</v>
      </c>
      <c r="I292" s="21" t="s">
        <v>512</v>
      </c>
      <c r="J292" s="23" t="s">
        <v>239</v>
      </c>
      <c r="K292" s="48">
        <v>36</v>
      </c>
      <c r="L292" s="48">
        <v>37</v>
      </c>
      <c r="M292" s="49">
        <v>38</v>
      </c>
    </row>
    <row r="293" spans="1:13" ht="38.25" x14ac:dyDescent="0.25">
      <c r="A293" s="86"/>
      <c r="B293" s="89"/>
      <c r="C293" s="89"/>
      <c r="D293" s="21"/>
      <c r="E293" s="21"/>
      <c r="F293" s="22">
        <v>0</v>
      </c>
      <c r="G293" s="22">
        <v>0</v>
      </c>
      <c r="H293" s="22">
        <v>0</v>
      </c>
      <c r="I293" s="21" t="s">
        <v>513</v>
      </c>
      <c r="J293" s="23" t="s">
        <v>239</v>
      </c>
      <c r="K293" s="48">
        <v>24</v>
      </c>
      <c r="L293" s="48">
        <v>25</v>
      </c>
      <c r="M293" s="49">
        <v>26</v>
      </c>
    </row>
    <row r="294" spans="1:13" ht="25.5" x14ac:dyDescent="0.25">
      <c r="A294" s="86"/>
      <c r="B294" s="89"/>
      <c r="C294" s="89"/>
      <c r="D294" s="21"/>
      <c r="E294" s="21"/>
      <c r="F294" s="22">
        <v>0</v>
      </c>
      <c r="G294" s="22">
        <v>0</v>
      </c>
      <c r="H294" s="22">
        <v>0</v>
      </c>
      <c r="I294" s="21" t="s">
        <v>514</v>
      </c>
      <c r="J294" s="23" t="s">
        <v>239</v>
      </c>
      <c r="K294" s="48">
        <v>30</v>
      </c>
      <c r="L294" s="48">
        <v>32</v>
      </c>
      <c r="M294" s="49">
        <v>33</v>
      </c>
    </row>
    <row r="295" spans="1:13" x14ac:dyDescent="0.25">
      <c r="A295" s="86"/>
      <c r="B295" s="89"/>
      <c r="C295" s="89"/>
      <c r="D295" s="21"/>
      <c r="E295" s="21"/>
      <c r="F295" s="22">
        <v>0</v>
      </c>
      <c r="G295" s="22">
        <v>0</v>
      </c>
      <c r="H295" s="22">
        <v>0</v>
      </c>
      <c r="I295" s="21" t="s">
        <v>515</v>
      </c>
      <c r="J295" s="23" t="s">
        <v>239</v>
      </c>
      <c r="K295" s="48">
        <v>44</v>
      </c>
      <c r="L295" s="48">
        <v>45</v>
      </c>
      <c r="M295" s="49">
        <v>47</v>
      </c>
    </row>
    <row r="296" spans="1:13" ht="16.5" customHeight="1" x14ac:dyDescent="0.25">
      <c r="A296" s="86"/>
      <c r="B296" s="89"/>
      <c r="C296" s="89"/>
      <c r="D296" s="21"/>
      <c r="E296" s="21"/>
      <c r="F296" s="22">
        <v>0</v>
      </c>
      <c r="G296" s="22">
        <v>0</v>
      </c>
      <c r="H296" s="22">
        <v>0</v>
      </c>
      <c r="I296" s="21" t="s">
        <v>516</v>
      </c>
      <c r="J296" s="23" t="s">
        <v>239</v>
      </c>
      <c r="K296" s="48">
        <v>61</v>
      </c>
      <c r="L296" s="48">
        <v>63</v>
      </c>
      <c r="M296" s="49">
        <v>66</v>
      </c>
    </row>
    <row r="297" spans="1:13" ht="15.75" thickBot="1" x14ac:dyDescent="0.3">
      <c r="A297" s="87"/>
      <c r="B297" s="90"/>
      <c r="C297" s="90"/>
      <c r="D297" s="21"/>
      <c r="E297" s="21"/>
      <c r="F297" s="22">
        <v>0</v>
      </c>
      <c r="G297" s="22">
        <v>0</v>
      </c>
      <c r="H297" s="22">
        <v>0</v>
      </c>
      <c r="I297" s="21" t="s">
        <v>517</v>
      </c>
      <c r="J297" s="23" t="s">
        <v>239</v>
      </c>
      <c r="K297" s="48">
        <v>175</v>
      </c>
      <c r="L297" s="48">
        <v>177</v>
      </c>
      <c r="M297" s="49">
        <v>179</v>
      </c>
    </row>
    <row r="298" spans="1:13" ht="32.25" customHeight="1" x14ac:dyDescent="0.25">
      <c r="A298" s="85" t="s">
        <v>518</v>
      </c>
      <c r="B298" s="88" t="s">
        <v>519</v>
      </c>
      <c r="C298" s="88" t="s">
        <v>501</v>
      </c>
      <c r="D298" s="17" t="s">
        <v>29</v>
      </c>
      <c r="E298" s="17" t="s">
        <v>147</v>
      </c>
      <c r="F298" s="18">
        <f>SUM(F299:F302)+299.9</f>
        <v>299.89999999999998</v>
      </c>
      <c r="G298" s="18">
        <f>SUM(G299:G302)+329.9</f>
        <v>329.9</v>
      </c>
      <c r="H298" s="18">
        <f>SUM(H299:H302)+360</f>
        <v>360</v>
      </c>
      <c r="I298" s="17" t="s">
        <v>520</v>
      </c>
      <c r="J298" s="19" t="s">
        <v>239</v>
      </c>
      <c r="K298" s="46">
        <v>14</v>
      </c>
      <c r="L298" s="46">
        <v>14</v>
      </c>
      <c r="M298" s="47">
        <v>14</v>
      </c>
    </row>
    <row r="299" spans="1:13" x14ac:dyDescent="0.25">
      <c r="A299" s="86"/>
      <c r="B299" s="89"/>
      <c r="C299" s="89"/>
      <c r="D299" s="21"/>
      <c r="E299" s="21"/>
      <c r="F299" s="22">
        <v>0</v>
      </c>
      <c r="G299" s="22">
        <v>0</v>
      </c>
      <c r="H299" s="22">
        <v>0</v>
      </c>
      <c r="I299" s="21" t="s">
        <v>521</v>
      </c>
      <c r="J299" s="23" t="s">
        <v>239</v>
      </c>
      <c r="K299" s="48">
        <v>8</v>
      </c>
      <c r="L299" s="48">
        <v>9</v>
      </c>
      <c r="M299" s="49">
        <v>10</v>
      </c>
    </row>
    <row r="300" spans="1:13" x14ac:dyDescent="0.25">
      <c r="A300" s="86"/>
      <c r="B300" s="89"/>
      <c r="C300" s="89"/>
      <c r="D300" s="21"/>
      <c r="E300" s="21"/>
      <c r="F300" s="22">
        <v>0</v>
      </c>
      <c r="G300" s="22">
        <v>0</v>
      </c>
      <c r="H300" s="22">
        <v>0</v>
      </c>
      <c r="I300" s="21" t="s">
        <v>522</v>
      </c>
      <c r="J300" s="23" t="s">
        <v>239</v>
      </c>
      <c r="K300" s="48">
        <v>10</v>
      </c>
      <c r="L300" s="48">
        <v>10</v>
      </c>
      <c r="M300" s="49">
        <v>10</v>
      </c>
    </row>
    <row r="301" spans="1:13" x14ac:dyDescent="0.25">
      <c r="A301" s="86"/>
      <c r="B301" s="89"/>
      <c r="C301" s="89"/>
      <c r="D301" s="21"/>
      <c r="E301" s="21"/>
      <c r="F301" s="22">
        <v>0</v>
      </c>
      <c r="G301" s="22">
        <v>0</v>
      </c>
      <c r="H301" s="22">
        <v>0</v>
      </c>
      <c r="I301" s="21" t="s">
        <v>523</v>
      </c>
      <c r="J301" s="23" t="s">
        <v>239</v>
      </c>
      <c r="K301" s="48">
        <v>7</v>
      </c>
      <c r="L301" s="48">
        <v>7</v>
      </c>
      <c r="M301" s="49">
        <v>7</v>
      </c>
    </row>
    <row r="302" spans="1:13" ht="15.75" thickBot="1" x14ac:dyDescent="0.3">
      <c r="A302" s="87"/>
      <c r="B302" s="90"/>
      <c r="C302" s="90"/>
      <c r="D302" s="21"/>
      <c r="E302" s="21"/>
      <c r="F302" s="22">
        <v>0</v>
      </c>
      <c r="G302" s="22">
        <v>0</v>
      </c>
      <c r="H302" s="22">
        <v>0</v>
      </c>
      <c r="I302" s="21" t="s">
        <v>524</v>
      </c>
      <c r="J302" s="23" t="s">
        <v>239</v>
      </c>
      <c r="K302" s="48">
        <v>88</v>
      </c>
      <c r="L302" s="48">
        <v>90</v>
      </c>
      <c r="M302" s="49">
        <v>93</v>
      </c>
    </row>
    <row r="303" spans="1:13" x14ac:dyDescent="0.25">
      <c r="A303" s="85" t="s">
        <v>525</v>
      </c>
      <c r="B303" s="88" t="s">
        <v>526</v>
      </c>
      <c r="C303" s="88" t="s">
        <v>527</v>
      </c>
      <c r="D303" s="17"/>
      <c r="E303" s="17" t="s">
        <v>147</v>
      </c>
      <c r="F303" s="18">
        <f>SUM(F304:F304)</f>
        <v>826.7</v>
      </c>
      <c r="G303" s="18">
        <f>SUM(G304:G304)</f>
        <v>832.4</v>
      </c>
      <c r="H303" s="18">
        <f>SUM(H304:H304)</f>
        <v>915.6</v>
      </c>
      <c r="I303" s="17" t="s">
        <v>528</v>
      </c>
      <c r="J303" s="19" t="s">
        <v>239</v>
      </c>
      <c r="K303" s="46">
        <v>8</v>
      </c>
      <c r="L303" s="46">
        <v>8</v>
      </c>
      <c r="M303" s="47">
        <v>8</v>
      </c>
    </row>
    <row r="304" spans="1:13" ht="15.75" thickBot="1" x14ac:dyDescent="0.3">
      <c r="A304" s="87"/>
      <c r="B304" s="90"/>
      <c r="C304" s="90"/>
      <c r="D304" s="21" t="s">
        <v>29</v>
      </c>
      <c r="E304" s="21"/>
      <c r="F304" s="22">
        <v>826.7</v>
      </c>
      <c r="G304" s="22">
        <v>832.4</v>
      </c>
      <c r="H304" s="22">
        <v>915.6</v>
      </c>
      <c r="I304" s="21" t="s">
        <v>529</v>
      </c>
      <c r="J304" s="23" t="s">
        <v>239</v>
      </c>
      <c r="K304" s="48">
        <v>2650</v>
      </c>
      <c r="L304" s="48">
        <v>2750</v>
      </c>
      <c r="M304" s="49">
        <v>2800</v>
      </c>
    </row>
    <row r="305" spans="1:13" x14ac:dyDescent="0.25">
      <c r="A305" s="85" t="s">
        <v>530</v>
      </c>
      <c r="B305" s="88" t="s">
        <v>531</v>
      </c>
      <c r="C305" s="88" t="s">
        <v>501</v>
      </c>
      <c r="D305" s="17" t="s">
        <v>29</v>
      </c>
      <c r="E305" s="17"/>
      <c r="F305" s="18">
        <f>SUM(F306:F307)+53</f>
        <v>53</v>
      </c>
      <c r="G305" s="18">
        <f>SUM(G306:G307)+53</f>
        <v>53</v>
      </c>
      <c r="H305" s="18">
        <f>SUM(H306:H307)+53</f>
        <v>53</v>
      </c>
      <c r="I305" s="17" t="s">
        <v>532</v>
      </c>
      <c r="J305" s="19" t="s">
        <v>239</v>
      </c>
      <c r="K305" s="46">
        <v>20</v>
      </c>
      <c r="L305" s="46">
        <v>23</v>
      </c>
      <c r="M305" s="47">
        <v>25</v>
      </c>
    </row>
    <row r="306" spans="1:13" x14ac:dyDescent="0.25">
      <c r="A306" s="86"/>
      <c r="B306" s="89"/>
      <c r="C306" s="89"/>
      <c r="D306" s="21"/>
      <c r="E306" s="21"/>
      <c r="F306" s="22">
        <v>0</v>
      </c>
      <c r="G306" s="22">
        <v>0</v>
      </c>
      <c r="H306" s="22">
        <v>0</v>
      </c>
      <c r="I306" s="21" t="s">
        <v>533</v>
      </c>
      <c r="J306" s="23" t="s">
        <v>239</v>
      </c>
      <c r="K306" s="48">
        <v>10</v>
      </c>
      <c r="L306" s="48">
        <v>10</v>
      </c>
      <c r="M306" s="49">
        <v>10</v>
      </c>
    </row>
    <row r="307" spans="1:13" ht="15.75" thickBot="1" x14ac:dyDescent="0.3">
      <c r="A307" s="87"/>
      <c r="B307" s="90"/>
      <c r="C307" s="90"/>
      <c r="D307" s="21"/>
      <c r="E307" s="21"/>
      <c r="F307" s="22">
        <v>0</v>
      </c>
      <c r="G307" s="22">
        <v>0</v>
      </c>
      <c r="H307" s="22">
        <v>0</v>
      </c>
      <c r="I307" s="21" t="s">
        <v>534</v>
      </c>
      <c r="J307" s="23" t="s">
        <v>239</v>
      </c>
      <c r="K307" s="48">
        <v>12</v>
      </c>
      <c r="L307" s="48">
        <v>13</v>
      </c>
      <c r="M307" s="49">
        <v>14</v>
      </c>
    </row>
    <row r="308" spans="1:13" x14ac:dyDescent="0.25">
      <c r="A308" s="85" t="s">
        <v>535</v>
      </c>
      <c r="B308" s="88" t="s">
        <v>536</v>
      </c>
      <c r="C308" s="88" t="s">
        <v>537</v>
      </c>
      <c r="D308" s="17" t="s">
        <v>29</v>
      </c>
      <c r="E308" s="17"/>
      <c r="F308" s="18">
        <f>SUM(F309:F311)+2053.8</f>
        <v>2053.8000000000002</v>
      </c>
      <c r="G308" s="18">
        <f>SUM(G309:G311)+2053.8</f>
        <v>2053.8000000000002</v>
      </c>
      <c r="H308" s="18">
        <f>SUM(H309:H311)+2053.8</f>
        <v>2053.8000000000002</v>
      </c>
      <c r="I308" s="17" t="s">
        <v>538</v>
      </c>
      <c r="J308" s="19" t="s">
        <v>239</v>
      </c>
      <c r="K308" s="46">
        <v>3</v>
      </c>
      <c r="L308" s="46">
        <v>3</v>
      </c>
      <c r="M308" s="47">
        <v>3</v>
      </c>
    </row>
    <row r="309" spans="1:13" x14ac:dyDescent="0.25">
      <c r="A309" s="86"/>
      <c r="B309" s="89"/>
      <c r="C309" s="89"/>
      <c r="D309" s="21"/>
      <c r="E309" s="21"/>
      <c r="F309" s="22">
        <v>0</v>
      </c>
      <c r="G309" s="22">
        <v>0</v>
      </c>
      <c r="H309" s="22">
        <v>0</v>
      </c>
      <c r="I309" s="21" t="s">
        <v>539</v>
      </c>
      <c r="J309" s="23" t="s">
        <v>239</v>
      </c>
      <c r="K309" s="48">
        <v>660</v>
      </c>
      <c r="L309" s="48">
        <v>660</v>
      </c>
      <c r="M309" s="49">
        <v>660</v>
      </c>
    </row>
    <row r="310" spans="1:13" x14ac:dyDescent="0.25">
      <c r="A310" s="86"/>
      <c r="B310" s="89"/>
      <c r="C310" s="89"/>
      <c r="D310" s="21"/>
      <c r="E310" s="21"/>
      <c r="F310" s="22">
        <v>0</v>
      </c>
      <c r="G310" s="22">
        <v>0</v>
      </c>
      <c r="H310" s="22">
        <v>0</v>
      </c>
      <c r="I310" s="21" t="s">
        <v>540</v>
      </c>
      <c r="J310" s="23" t="s">
        <v>239</v>
      </c>
      <c r="K310" s="48">
        <v>1</v>
      </c>
      <c r="L310" s="48">
        <v>1</v>
      </c>
      <c r="M310" s="49">
        <v>1</v>
      </c>
    </row>
    <row r="311" spans="1:13" ht="15.75" thickBot="1" x14ac:dyDescent="0.3">
      <c r="A311" s="87"/>
      <c r="B311" s="90"/>
      <c r="C311" s="90"/>
      <c r="D311" s="21"/>
      <c r="E311" s="21"/>
      <c r="F311" s="22">
        <v>0</v>
      </c>
      <c r="G311" s="22">
        <v>0</v>
      </c>
      <c r="H311" s="22">
        <v>0</v>
      </c>
      <c r="I311" s="21" t="s">
        <v>541</v>
      </c>
      <c r="J311" s="23" t="s">
        <v>239</v>
      </c>
      <c r="K311" s="48">
        <v>560</v>
      </c>
      <c r="L311" s="48">
        <v>560</v>
      </c>
      <c r="M311" s="49">
        <v>560</v>
      </c>
    </row>
    <row r="312" spans="1:13" x14ac:dyDescent="0.25">
      <c r="A312" s="85" t="s">
        <v>542</v>
      </c>
      <c r="B312" s="88" t="s">
        <v>543</v>
      </c>
      <c r="C312" s="88" t="s">
        <v>501</v>
      </c>
      <c r="D312" s="17"/>
      <c r="E312" s="17"/>
      <c r="F312" s="18">
        <f>SUM(F313:F318)</f>
        <v>5927</v>
      </c>
      <c r="G312" s="18">
        <f>SUM(G313:G318)</f>
        <v>5784.7000000000007</v>
      </c>
      <c r="H312" s="18">
        <f>SUM(H313:H318)</f>
        <v>5790.9000000000005</v>
      </c>
      <c r="I312" s="17" t="s">
        <v>544</v>
      </c>
      <c r="J312" s="19" t="s">
        <v>239</v>
      </c>
      <c r="K312" s="46">
        <v>2925</v>
      </c>
      <c r="L312" s="46">
        <v>2950</v>
      </c>
      <c r="M312" s="47">
        <v>2975</v>
      </c>
    </row>
    <row r="313" spans="1:13" x14ac:dyDescent="0.25">
      <c r="A313" s="86"/>
      <c r="B313" s="89"/>
      <c r="C313" s="89"/>
      <c r="D313" s="21" t="s">
        <v>122</v>
      </c>
      <c r="E313" s="21"/>
      <c r="F313" s="22">
        <v>513.5</v>
      </c>
      <c r="G313" s="22">
        <v>517.70000000000005</v>
      </c>
      <c r="H313" s="22">
        <v>519</v>
      </c>
      <c r="I313" s="21" t="s">
        <v>515</v>
      </c>
      <c r="J313" s="23" t="s">
        <v>239</v>
      </c>
      <c r="K313" s="48">
        <v>29</v>
      </c>
      <c r="L313" s="48">
        <v>30</v>
      </c>
      <c r="M313" s="49">
        <v>32</v>
      </c>
    </row>
    <row r="314" spans="1:13" ht="25.5" x14ac:dyDescent="0.25">
      <c r="A314" s="86"/>
      <c r="B314" s="89"/>
      <c r="C314" s="89"/>
      <c r="D314" s="21" t="s">
        <v>35</v>
      </c>
      <c r="E314" s="21"/>
      <c r="F314" s="22">
        <v>101.5</v>
      </c>
      <c r="G314" s="22">
        <v>0</v>
      </c>
      <c r="H314" s="22">
        <v>0</v>
      </c>
      <c r="I314" s="21" t="s">
        <v>516</v>
      </c>
      <c r="J314" s="23" t="s">
        <v>239</v>
      </c>
      <c r="K314" s="48">
        <v>108</v>
      </c>
      <c r="L314" s="48">
        <v>110</v>
      </c>
      <c r="M314" s="49">
        <v>118</v>
      </c>
    </row>
    <row r="315" spans="1:13" x14ac:dyDescent="0.25">
      <c r="A315" s="86"/>
      <c r="B315" s="89"/>
      <c r="C315" s="89"/>
      <c r="D315" s="21" t="s">
        <v>120</v>
      </c>
      <c r="E315" s="21"/>
      <c r="F315" s="22">
        <v>87.6</v>
      </c>
      <c r="G315" s="22">
        <v>82.6</v>
      </c>
      <c r="H315" s="22">
        <v>84.5</v>
      </c>
      <c r="I315" s="21"/>
      <c r="J315" s="23"/>
      <c r="K315" s="48"/>
      <c r="L315" s="48"/>
      <c r="M315" s="49"/>
    </row>
    <row r="316" spans="1:13" x14ac:dyDescent="0.25">
      <c r="A316" s="86"/>
      <c r="B316" s="89"/>
      <c r="C316" s="89"/>
      <c r="D316" s="21" t="s">
        <v>124</v>
      </c>
      <c r="E316" s="21"/>
      <c r="F316" s="22">
        <v>49</v>
      </c>
      <c r="G316" s="22">
        <v>54</v>
      </c>
      <c r="H316" s="22">
        <v>57</v>
      </c>
      <c r="I316" s="21"/>
      <c r="J316" s="23"/>
      <c r="K316" s="48"/>
      <c r="L316" s="48"/>
      <c r="M316" s="49"/>
    </row>
    <row r="317" spans="1:13" x14ac:dyDescent="0.25">
      <c r="A317" s="86"/>
      <c r="B317" s="89"/>
      <c r="C317" s="89"/>
      <c r="D317" s="21" t="s">
        <v>118</v>
      </c>
      <c r="E317" s="21"/>
      <c r="F317" s="22">
        <v>68.099999999999994</v>
      </c>
      <c r="G317" s="22">
        <v>23.1</v>
      </c>
      <c r="H317" s="22">
        <v>23.1</v>
      </c>
      <c r="I317" s="21"/>
      <c r="J317" s="23"/>
      <c r="K317" s="48"/>
      <c r="L317" s="48"/>
      <c r="M317" s="49"/>
    </row>
    <row r="318" spans="1:13" ht="15.75" thickBot="1" x14ac:dyDescent="0.3">
      <c r="A318" s="87"/>
      <c r="B318" s="90"/>
      <c r="C318" s="90"/>
      <c r="D318" s="21" t="s">
        <v>29</v>
      </c>
      <c r="E318" s="21"/>
      <c r="F318" s="22">
        <v>5107.3</v>
      </c>
      <c r="G318" s="22">
        <v>5107.3</v>
      </c>
      <c r="H318" s="22">
        <v>5107.3</v>
      </c>
      <c r="I318" s="21"/>
      <c r="J318" s="23"/>
      <c r="K318" s="48"/>
      <c r="L318" s="48"/>
      <c r="M318" s="49"/>
    </row>
    <row r="319" spans="1:13" ht="51.75" thickBot="1" x14ac:dyDescent="0.3">
      <c r="A319" s="15" t="s">
        <v>545</v>
      </c>
      <c r="B319" s="16" t="s">
        <v>546</v>
      </c>
      <c r="C319" s="17" t="s">
        <v>501</v>
      </c>
      <c r="D319" s="17" t="s">
        <v>29</v>
      </c>
      <c r="E319" s="17"/>
      <c r="F319" s="24">
        <v>26</v>
      </c>
      <c r="G319" s="24">
        <v>26</v>
      </c>
      <c r="H319" s="24">
        <v>26</v>
      </c>
      <c r="I319" s="17" t="s">
        <v>547</v>
      </c>
      <c r="J319" s="19" t="s">
        <v>239</v>
      </c>
      <c r="K319" s="46">
        <v>270</v>
      </c>
      <c r="L319" s="46">
        <v>270</v>
      </c>
      <c r="M319" s="47">
        <v>270</v>
      </c>
    </row>
    <row r="320" spans="1:13" ht="26.25" customHeight="1" thickBot="1" x14ac:dyDescent="0.3">
      <c r="A320" s="11" t="s">
        <v>548</v>
      </c>
      <c r="B320" s="65" t="s">
        <v>549</v>
      </c>
      <c r="C320" s="66"/>
      <c r="D320" s="66"/>
      <c r="E320" s="67"/>
      <c r="F320" s="13">
        <f>F321+F325+F328+F330+F333</f>
        <v>2026.5</v>
      </c>
      <c r="G320" s="13">
        <f>G321+G325+G328+G330+G333</f>
        <v>8791</v>
      </c>
      <c r="H320" s="13">
        <f>H321+H325+H328+H330+H333</f>
        <v>12323</v>
      </c>
      <c r="I320" s="82"/>
      <c r="J320" s="83"/>
      <c r="K320" s="83"/>
      <c r="L320" s="83"/>
      <c r="M320" s="84"/>
    </row>
    <row r="321" spans="1:13" ht="19.5" customHeight="1" x14ac:dyDescent="0.25">
      <c r="A321" s="85" t="s">
        <v>550</v>
      </c>
      <c r="B321" s="88" t="s">
        <v>551</v>
      </c>
      <c r="C321" s="88" t="s">
        <v>552</v>
      </c>
      <c r="D321" s="17"/>
      <c r="E321" s="17" t="s">
        <v>553</v>
      </c>
      <c r="F321" s="18">
        <f>SUM(F322:F324)</f>
        <v>1860.2</v>
      </c>
      <c r="G321" s="18">
        <f>SUM(G322:G324)</f>
        <v>6959</v>
      </c>
      <c r="H321" s="18">
        <f>SUM(H322:H324)</f>
        <v>11750</v>
      </c>
      <c r="I321" s="17" t="s">
        <v>554</v>
      </c>
      <c r="J321" s="19" t="s">
        <v>19</v>
      </c>
      <c r="K321" s="19">
        <v>10</v>
      </c>
      <c r="L321" s="19">
        <v>55</v>
      </c>
      <c r="M321" s="40">
        <v>100</v>
      </c>
    </row>
    <row r="322" spans="1:13" x14ac:dyDescent="0.25">
      <c r="A322" s="86"/>
      <c r="B322" s="89"/>
      <c r="C322" s="89"/>
      <c r="D322" s="21" t="s">
        <v>29</v>
      </c>
      <c r="E322" s="21"/>
      <c r="F322" s="22">
        <v>0</v>
      </c>
      <c r="G322" s="22">
        <v>1959</v>
      </c>
      <c r="H322" s="22">
        <v>6750</v>
      </c>
      <c r="I322" s="21" t="s">
        <v>555</v>
      </c>
      <c r="J322" s="23" t="s">
        <v>19</v>
      </c>
      <c r="K322" s="23"/>
      <c r="L322" s="23"/>
      <c r="M322" s="41">
        <v>100</v>
      </c>
    </row>
    <row r="323" spans="1:13" x14ac:dyDescent="0.25">
      <c r="A323" s="86"/>
      <c r="B323" s="89"/>
      <c r="C323" s="89"/>
      <c r="D323" s="21" t="s">
        <v>135</v>
      </c>
      <c r="E323" s="21"/>
      <c r="F323" s="22"/>
      <c r="G323" s="22">
        <v>5000</v>
      </c>
      <c r="H323" s="22">
        <v>5000</v>
      </c>
      <c r="I323" s="21"/>
      <c r="J323" s="23"/>
      <c r="K323" s="23"/>
      <c r="L323" s="23"/>
      <c r="M323" s="41"/>
    </row>
    <row r="324" spans="1:13" ht="15.75" thickBot="1" x14ac:dyDescent="0.3">
      <c r="A324" s="87"/>
      <c r="B324" s="90"/>
      <c r="C324" s="90"/>
      <c r="D324" s="21" t="s">
        <v>556</v>
      </c>
      <c r="E324" s="21"/>
      <c r="F324" s="22">
        <v>1860.2</v>
      </c>
      <c r="G324" s="22"/>
      <c r="H324" s="22"/>
      <c r="I324" s="21"/>
      <c r="J324" s="23"/>
      <c r="K324" s="23"/>
      <c r="L324" s="23"/>
      <c r="M324" s="41"/>
    </row>
    <row r="325" spans="1:13" ht="25.5" x14ac:dyDescent="0.25">
      <c r="A325" s="85" t="s">
        <v>557</v>
      </c>
      <c r="B325" s="88" t="s">
        <v>558</v>
      </c>
      <c r="C325" s="88" t="s">
        <v>559</v>
      </c>
      <c r="D325" s="17"/>
      <c r="E325" s="17" t="s">
        <v>553</v>
      </c>
      <c r="F325" s="18">
        <f>SUM(F326:F327)</f>
        <v>0</v>
      </c>
      <c r="G325" s="18">
        <f>SUM(G326:G327)</f>
        <v>1337</v>
      </c>
      <c r="H325" s="18">
        <f>SUM(H326:H327)</f>
        <v>573</v>
      </c>
      <c r="I325" s="17" t="s">
        <v>560</v>
      </c>
      <c r="J325" s="19" t="s">
        <v>19</v>
      </c>
      <c r="K325" s="19"/>
      <c r="L325" s="19">
        <v>50</v>
      </c>
      <c r="M325" s="40">
        <v>100</v>
      </c>
    </row>
    <row r="326" spans="1:13" x14ac:dyDescent="0.25">
      <c r="A326" s="86"/>
      <c r="B326" s="89"/>
      <c r="C326" s="89"/>
      <c r="D326" s="21" t="s">
        <v>124</v>
      </c>
      <c r="E326" s="21"/>
      <c r="F326" s="22">
        <v>0</v>
      </c>
      <c r="G326" s="22">
        <v>1337</v>
      </c>
      <c r="H326" s="22">
        <v>0</v>
      </c>
      <c r="I326" s="21"/>
      <c r="J326" s="23"/>
      <c r="K326" s="23"/>
      <c r="L326" s="23"/>
      <c r="M326" s="41"/>
    </row>
    <row r="327" spans="1:13" ht="15.75" thickBot="1" x14ac:dyDescent="0.3">
      <c r="A327" s="87"/>
      <c r="B327" s="90"/>
      <c r="C327" s="90"/>
      <c r="D327" s="21" t="s">
        <v>29</v>
      </c>
      <c r="E327" s="21"/>
      <c r="F327" s="22">
        <v>0</v>
      </c>
      <c r="G327" s="22">
        <v>0</v>
      </c>
      <c r="H327" s="22">
        <v>573</v>
      </c>
      <c r="I327" s="21"/>
      <c r="J327" s="23"/>
      <c r="K327" s="23"/>
      <c r="L327" s="23"/>
      <c r="M327" s="41"/>
    </row>
    <row r="328" spans="1:13" ht="37.5" customHeight="1" x14ac:dyDescent="0.25">
      <c r="A328" s="85" t="s">
        <v>561</v>
      </c>
      <c r="B328" s="88" t="s">
        <v>562</v>
      </c>
      <c r="C328" s="88" t="s">
        <v>563</v>
      </c>
      <c r="D328" s="17" t="s">
        <v>29</v>
      </c>
      <c r="E328" s="17" t="s">
        <v>553</v>
      </c>
      <c r="F328" s="18">
        <f>SUM(F329:F329)+30</f>
        <v>30</v>
      </c>
      <c r="G328" s="18">
        <f>SUM(G329:G329)+495</f>
        <v>495</v>
      </c>
      <c r="H328" s="18">
        <f>SUM(H329:H329)</f>
        <v>0</v>
      </c>
      <c r="I328" s="17" t="s">
        <v>564</v>
      </c>
      <c r="J328" s="19" t="s">
        <v>23</v>
      </c>
      <c r="K328" s="19">
        <v>1</v>
      </c>
      <c r="L328" s="19"/>
      <c r="M328" s="40"/>
    </row>
    <row r="329" spans="1:13" ht="15.75" thickBot="1" x14ac:dyDescent="0.3">
      <c r="A329" s="87"/>
      <c r="B329" s="90"/>
      <c r="C329" s="90"/>
      <c r="D329" s="21"/>
      <c r="E329" s="21"/>
      <c r="F329" s="22">
        <v>0</v>
      </c>
      <c r="G329" s="22">
        <v>0</v>
      </c>
      <c r="H329" s="22">
        <v>0</v>
      </c>
      <c r="I329" s="21" t="s">
        <v>554</v>
      </c>
      <c r="J329" s="23" t="s">
        <v>19</v>
      </c>
      <c r="K329" s="23"/>
      <c r="L329" s="23">
        <v>70</v>
      </c>
      <c r="M329" s="41">
        <v>100</v>
      </c>
    </row>
    <row r="330" spans="1:13" ht="28.5" customHeight="1" x14ac:dyDescent="0.25">
      <c r="A330" s="85" t="s">
        <v>565</v>
      </c>
      <c r="B330" s="88" t="s">
        <v>566</v>
      </c>
      <c r="C330" s="88" t="s">
        <v>501</v>
      </c>
      <c r="D330" s="17"/>
      <c r="E330" s="17"/>
      <c r="F330" s="18">
        <f>SUM(F331:F332)</f>
        <v>76.3</v>
      </c>
      <c r="G330" s="18">
        <f>SUM(G331:G332)</f>
        <v>0</v>
      </c>
      <c r="H330" s="18">
        <f>SUM(H331:H332)</f>
        <v>0</v>
      </c>
      <c r="I330" s="17" t="s">
        <v>567</v>
      </c>
      <c r="J330" s="19" t="s">
        <v>19</v>
      </c>
      <c r="K330" s="19">
        <v>100</v>
      </c>
      <c r="L330" s="19">
        <v>0</v>
      </c>
      <c r="M330" s="40">
        <v>0</v>
      </c>
    </row>
    <row r="331" spans="1:13" x14ac:dyDescent="0.25">
      <c r="A331" s="86"/>
      <c r="B331" s="89"/>
      <c r="C331" s="89"/>
      <c r="D331" s="21" t="s">
        <v>35</v>
      </c>
      <c r="E331" s="21"/>
      <c r="F331" s="22">
        <v>26.3</v>
      </c>
      <c r="G331" s="22">
        <v>0</v>
      </c>
      <c r="H331" s="22">
        <v>0</v>
      </c>
      <c r="I331" s="21" t="s">
        <v>568</v>
      </c>
      <c r="J331" s="23" t="s">
        <v>19</v>
      </c>
      <c r="K331" s="23">
        <v>100</v>
      </c>
      <c r="L331" s="23"/>
      <c r="M331" s="41"/>
    </row>
    <row r="332" spans="1:13" ht="15.75" thickBot="1" x14ac:dyDescent="0.3">
      <c r="A332" s="87"/>
      <c r="B332" s="90"/>
      <c r="C332" s="90"/>
      <c r="D332" s="21" t="s">
        <v>29</v>
      </c>
      <c r="E332" s="21"/>
      <c r="F332" s="22">
        <v>50</v>
      </c>
      <c r="G332" s="22"/>
      <c r="H332" s="22"/>
      <c r="I332" s="21"/>
      <c r="J332" s="23"/>
      <c r="K332" s="23"/>
      <c r="L332" s="23"/>
      <c r="M332" s="41"/>
    </row>
    <row r="333" spans="1:13" ht="26.25" thickBot="1" x14ac:dyDescent="0.3">
      <c r="A333" s="15" t="s">
        <v>569</v>
      </c>
      <c r="B333" s="16" t="s">
        <v>570</v>
      </c>
      <c r="C333" s="17" t="s">
        <v>559</v>
      </c>
      <c r="D333" s="17" t="s">
        <v>29</v>
      </c>
      <c r="E333" s="17"/>
      <c r="F333" s="24">
        <v>60</v>
      </c>
      <c r="G333" s="24">
        <v>0</v>
      </c>
      <c r="H333" s="24">
        <v>0</v>
      </c>
      <c r="I333" s="17" t="s">
        <v>571</v>
      </c>
      <c r="J333" s="19" t="s">
        <v>19</v>
      </c>
      <c r="K333" s="19">
        <v>100</v>
      </c>
      <c r="L333" s="19"/>
      <c r="M333" s="40"/>
    </row>
    <row r="334" spans="1:13" ht="26.25" customHeight="1" thickBot="1" x14ac:dyDescent="0.3">
      <c r="A334" s="11" t="s">
        <v>572</v>
      </c>
      <c r="B334" s="65" t="s">
        <v>573</v>
      </c>
      <c r="C334" s="66"/>
      <c r="D334" s="66"/>
      <c r="E334" s="67"/>
      <c r="F334" s="13">
        <f>F335+F337</f>
        <v>128.4</v>
      </c>
      <c r="G334" s="13">
        <f>G335+G337</f>
        <v>65</v>
      </c>
      <c r="H334" s="13">
        <f>H335+H337</f>
        <v>65</v>
      </c>
      <c r="I334" s="82"/>
      <c r="J334" s="83"/>
      <c r="K334" s="83"/>
      <c r="L334" s="83"/>
      <c r="M334" s="84"/>
    </row>
    <row r="335" spans="1:13" ht="25.5" x14ac:dyDescent="0.25">
      <c r="A335" s="85" t="s">
        <v>574</v>
      </c>
      <c r="B335" s="88" t="s">
        <v>575</v>
      </c>
      <c r="C335" s="88" t="s">
        <v>501</v>
      </c>
      <c r="D335" s="17" t="s">
        <v>29</v>
      </c>
      <c r="E335" s="17"/>
      <c r="F335" s="18">
        <f>SUM(F336:F336)+60</f>
        <v>60</v>
      </c>
      <c r="G335" s="18">
        <f>SUM(G336:G336)+30</f>
        <v>30</v>
      </c>
      <c r="H335" s="18">
        <f>SUM(H336:H336)+30</f>
        <v>30</v>
      </c>
      <c r="I335" s="17" t="s">
        <v>576</v>
      </c>
      <c r="J335" s="19" t="s">
        <v>19</v>
      </c>
      <c r="K335" s="19">
        <v>10</v>
      </c>
      <c r="L335" s="19">
        <v>11</v>
      </c>
      <c r="M335" s="40">
        <v>11</v>
      </c>
    </row>
    <row r="336" spans="1:13" ht="15.75" thickBot="1" x14ac:dyDescent="0.3">
      <c r="A336" s="87"/>
      <c r="B336" s="90"/>
      <c r="C336" s="90"/>
      <c r="D336" s="21"/>
      <c r="E336" s="21"/>
      <c r="F336" s="22">
        <v>0</v>
      </c>
      <c r="G336" s="22">
        <v>0</v>
      </c>
      <c r="H336" s="22">
        <v>0</v>
      </c>
      <c r="I336" s="21" t="s">
        <v>577</v>
      </c>
      <c r="J336" s="23" t="s">
        <v>239</v>
      </c>
      <c r="K336" s="23">
        <v>6</v>
      </c>
      <c r="L336" s="23">
        <v>6</v>
      </c>
      <c r="M336" s="41">
        <v>6</v>
      </c>
    </row>
    <row r="337" spans="1:13" ht="39" thickBot="1" x14ac:dyDescent="0.3">
      <c r="A337" s="15" t="s">
        <v>578</v>
      </c>
      <c r="B337" s="16" t="s">
        <v>579</v>
      </c>
      <c r="C337" s="17" t="s">
        <v>580</v>
      </c>
      <c r="D337" s="17" t="s">
        <v>29</v>
      </c>
      <c r="E337" s="17"/>
      <c r="F337" s="24">
        <v>68.400000000000006</v>
      </c>
      <c r="G337" s="24">
        <v>35</v>
      </c>
      <c r="H337" s="24">
        <v>35</v>
      </c>
      <c r="I337" s="17" t="s">
        <v>581</v>
      </c>
      <c r="J337" s="19" t="s">
        <v>19</v>
      </c>
      <c r="K337" s="19">
        <v>18.2</v>
      </c>
      <c r="L337" s="19">
        <v>18.3</v>
      </c>
      <c r="M337" s="40">
        <v>18.399999999999999</v>
      </c>
    </row>
    <row r="338" spans="1:13" ht="26.25" thickBot="1" x14ac:dyDescent="0.3">
      <c r="A338" s="4" t="s">
        <v>582</v>
      </c>
      <c r="B338" s="5" t="s">
        <v>583</v>
      </c>
      <c r="C338" s="91" t="s">
        <v>584</v>
      </c>
      <c r="D338" s="92"/>
      <c r="E338" s="93"/>
      <c r="F338" s="6">
        <f>F339+F419</f>
        <v>111419.8</v>
      </c>
      <c r="G338" s="6">
        <f>G339+G419</f>
        <v>106276.1</v>
      </c>
      <c r="H338" s="6">
        <f>H339+H419</f>
        <v>105908.6</v>
      </c>
      <c r="I338" s="68"/>
      <c r="J338" s="69"/>
      <c r="K338" s="69"/>
      <c r="L338" s="69"/>
      <c r="M338" s="70"/>
    </row>
    <row r="339" spans="1:13" x14ac:dyDescent="0.25">
      <c r="A339" s="100" t="s">
        <v>585</v>
      </c>
      <c r="B339" s="103" t="s">
        <v>586</v>
      </c>
      <c r="C339" s="104"/>
      <c r="D339" s="104"/>
      <c r="E339" s="105"/>
      <c r="F339" s="9">
        <f>F340+F341+F370</f>
        <v>100124.1</v>
      </c>
      <c r="G339" s="9">
        <f>G340+G341+G370</f>
        <v>98539.8</v>
      </c>
      <c r="H339" s="9">
        <f>H340+H341+H370</f>
        <v>98205.1</v>
      </c>
      <c r="I339" s="8" t="s">
        <v>587</v>
      </c>
      <c r="J339" s="10" t="s">
        <v>19</v>
      </c>
      <c r="K339" s="50">
        <v>100</v>
      </c>
      <c r="L339" s="50">
        <v>100</v>
      </c>
      <c r="M339" s="51">
        <v>100</v>
      </c>
    </row>
    <row r="340" spans="1:13" ht="15.75" thickBot="1" x14ac:dyDescent="0.3">
      <c r="A340" s="102"/>
      <c r="B340" s="109"/>
      <c r="C340" s="110"/>
      <c r="D340" s="110"/>
      <c r="E340" s="111"/>
      <c r="F340" s="36">
        <v>0</v>
      </c>
      <c r="G340" s="36">
        <v>0</v>
      </c>
      <c r="H340" s="36">
        <v>0</v>
      </c>
      <c r="I340" s="37" t="s">
        <v>588</v>
      </c>
      <c r="J340" s="38" t="s">
        <v>239</v>
      </c>
      <c r="K340" s="52">
        <v>13500</v>
      </c>
      <c r="L340" s="52">
        <v>13800</v>
      </c>
      <c r="M340" s="53">
        <v>13800</v>
      </c>
    </row>
    <row r="341" spans="1:13" ht="26.25" customHeight="1" thickBot="1" x14ac:dyDescent="0.3">
      <c r="A341" s="11" t="s">
        <v>589</v>
      </c>
      <c r="B341" s="65" t="s">
        <v>590</v>
      </c>
      <c r="C341" s="66"/>
      <c r="D341" s="66"/>
      <c r="E341" s="67"/>
      <c r="F341" s="13">
        <f>F342+F349+F351+F357+F368+F369</f>
        <v>1023.3</v>
      </c>
      <c r="G341" s="13">
        <f>G342+G349+G351+G357+G368+G369</f>
        <v>903.3</v>
      </c>
      <c r="H341" s="13">
        <f>H342+H349+H351+H357+H368+H369</f>
        <v>998.09999999999991</v>
      </c>
      <c r="I341" s="82"/>
      <c r="J341" s="83"/>
      <c r="K341" s="83"/>
      <c r="L341" s="83"/>
      <c r="M341" s="84"/>
    </row>
    <row r="342" spans="1:13" x14ac:dyDescent="0.25">
      <c r="A342" s="85" t="s">
        <v>591</v>
      </c>
      <c r="B342" s="88" t="s">
        <v>592</v>
      </c>
      <c r="C342" s="88" t="s">
        <v>584</v>
      </c>
      <c r="D342" s="17" t="s">
        <v>29</v>
      </c>
      <c r="E342" s="17"/>
      <c r="F342" s="18">
        <f>SUM(F343:F348)+207.3</f>
        <v>207.3</v>
      </c>
      <c r="G342" s="18">
        <f>SUM(G343:G348)+207.3</f>
        <v>207.3</v>
      </c>
      <c r="H342" s="18">
        <f>SUM(H343:H348)+207.3</f>
        <v>207.3</v>
      </c>
      <c r="I342" s="17" t="s">
        <v>593</v>
      </c>
      <c r="J342" s="19" t="s">
        <v>239</v>
      </c>
      <c r="K342" s="46">
        <v>4</v>
      </c>
      <c r="L342" s="46">
        <v>4</v>
      </c>
      <c r="M342" s="47">
        <v>4</v>
      </c>
    </row>
    <row r="343" spans="1:13" x14ac:dyDescent="0.25">
      <c r="A343" s="86"/>
      <c r="B343" s="89"/>
      <c r="C343" s="89"/>
      <c r="D343" s="21"/>
      <c r="E343" s="21"/>
      <c r="F343" s="22">
        <v>0</v>
      </c>
      <c r="G343" s="22">
        <v>0</v>
      </c>
      <c r="H343" s="22">
        <v>0</v>
      </c>
      <c r="I343" s="21" t="s">
        <v>594</v>
      </c>
      <c r="J343" s="23" t="s">
        <v>239</v>
      </c>
      <c r="K343" s="48">
        <v>1200</v>
      </c>
      <c r="L343" s="48">
        <v>1200</v>
      </c>
      <c r="M343" s="49">
        <v>1200</v>
      </c>
    </row>
    <row r="344" spans="1:13" x14ac:dyDescent="0.25">
      <c r="A344" s="86"/>
      <c r="B344" s="89"/>
      <c r="C344" s="89"/>
      <c r="D344" s="21"/>
      <c r="E344" s="21"/>
      <c r="F344" s="22">
        <v>0</v>
      </c>
      <c r="G344" s="22">
        <v>0</v>
      </c>
      <c r="H344" s="22">
        <v>0</v>
      </c>
      <c r="I344" s="21" t="s">
        <v>595</v>
      </c>
      <c r="J344" s="23" t="s">
        <v>239</v>
      </c>
      <c r="K344" s="48">
        <v>10</v>
      </c>
      <c r="L344" s="48">
        <v>10</v>
      </c>
      <c r="M344" s="49">
        <v>10</v>
      </c>
    </row>
    <row r="345" spans="1:13" x14ac:dyDescent="0.25">
      <c r="A345" s="86"/>
      <c r="B345" s="89"/>
      <c r="C345" s="89"/>
      <c r="D345" s="21"/>
      <c r="E345" s="21"/>
      <c r="F345" s="22">
        <v>0</v>
      </c>
      <c r="G345" s="22">
        <v>0</v>
      </c>
      <c r="H345" s="22">
        <v>0</v>
      </c>
      <c r="I345" s="21" t="s">
        <v>596</v>
      </c>
      <c r="J345" s="23" t="s">
        <v>239</v>
      </c>
      <c r="K345" s="48">
        <v>100</v>
      </c>
      <c r="L345" s="48">
        <v>100</v>
      </c>
      <c r="M345" s="49">
        <v>100</v>
      </c>
    </row>
    <row r="346" spans="1:13" x14ac:dyDescent="0.25">
      <c r="A346" s="86"/>
      <c r="B346" s="89"/>
      <c r="C346" s="89"/>
      <c r="D346" s="21"/>
      <c r="E346" s="21"/>
      <c r="F346" s="22">
        <v>0</v>
      </c>
      <c r="G346" s="22">
        <v>0</v>
      </c>
      <c r="H346" s="22">
        <v>0</v>
      </c>
      <c r="I346" s="21" t="s">
        <v>597</v>
      </c>
      <c r="J346" s="23" t="s">
        <v>239</v>
      </c>
      <c r="K346" s="48">
        <v>25</v>
      </c>
      <c r="L346" s="48">
        <v>25</v>
      </c>
      <c r="M346" s="49">
        <v>25</v>
      </c>
    </row>
    <row r="347" spans="1:13" x14ac:dyDescent="0.25">
      <c r="A347" s="86"/>
      <c r="B347" s="89"/>
      <c r="C347" s="89"/>
      <c r="D347" s="21"/>
      <c r="E347" s="21"/>
      <c r="F347" s="22">
        <v>0</v>
      </c>
      <c r="G347" s="22">
        <v>0</v>
      </c>
      <c r="H347" s="22">
        <v>0</v>
      </c>
      <c r="I347" s="21" t="s">
        <v>598</v>
      </c>
      <c r="J347" s="23" t="s">
        <v>239</v>
      </c>
      <c r="K347" s="48">
        <v>1100</v>
      </c>
      <c r="L347" s="48">
        <v>1100</v>
      </c>
      <c r="M347" s="49">
        <v>1100</v>
      </c>
    </row>
    <row r="348" spans="1:13" ht="26.25" thickBot="1" x14ac:dyDescent="0.3">
      <c r="A348" s="87"/>
      <c r="B348" s="90"/>
      <c r="C348" s="90"/>
      <c r="D348" s="21"/>
      <c r="E348" s="21"/>
      <c r="F348" s="22">
        <v>0</v>
      </c>
      <c r="G348" s="22">
        <v>0</v>
      </c>
      <c r="H348" s="22">
        <v>0</v>
      </c>
      <c r="I348" s="21" t="s">
        <v>599</v>
      </c>
      <c r="J348" s="23" t="s">
        <v>239</v>
      </c>
      <c r="K348" s="48">
        <v>1</v>
      </c>
      <c r="L348" s="48">
        <v>1</v>
      </c>
      <c r="M348" s="49">
        <v>1</v>
      </c>
    </row>
    <row r="349" spans="1:13" ht="25.5" x14ac:dyDescent="0.25">
      <c r="A349" s="85" t="s">
        <v>600</v>
      </c>
      <c r="B349" s="88" t="s">
        <v>601</v>
      </c>
      <c r="C349" s="88" t="s">
        <v>584</v>
      </c>
      <c r="D349" s="17" t="s">
        <v>29</v>
      </c>
      <c r="E349" s="17"/>
      <c r="F349" s="18">
        <f>SUM(F350:F350)+192.3</f>
        <v>192.3</v>
      </c>
      <c r="G349" s="18">
        <f>SUM(G350:G350)+87.3</f>
        <v>87.3</v>
      </c>
      <c r="H349" s="18">
        <f>SUM(H350:H350)+152.1</f>
        <v>152.1</v>
      </c>
      <c r="I349" s="17" t="s">
        <v>602</v>
      </c>
      <c r="J349" s="19" t="s">
        <v>23</v>
      </c>
      <c r="K349" s="46">
        <v>32</v>
      </c>
      <c r="L349" s="46">
        <v>32</v>
      </c>
      <c r="M349" s="47">
        <v>32</v>
      </c>
    </row>
    <row r="350" spans="1:13" ht="15.75" thickBot="1" x14ac:dyDescent="0.3">
      <c r="A350" s="87"/>
      <c r="B350" s="90"/>
      <c r="C350" s="90"/>
      <c r="D350" s="21"/>
      <c r="E350" s="21"/>
      <c r="F350" s="22">
        <v>0</v>
      </c>
      <c r="G350" s="22">
        <v>0</v>
      </c>
      <c r="H350" s="22">
        <v>0</v>
      </c>
      <c r="I350" s="21" t="s">
        <v>603</v>
      </c>
      <c r="J350" s="23" t="s">
        <v>23</v>
      </c>
      <c r="K350" s="48">
        <v>14</v>
      </c>
      <c r="L350" s="48">
        <v>14</v>
      </c>
      <c r="M350" s="49">
        <v>14</v>
      </c>
    </row>
    <row r="351" spans="1:13" ht="25.5" x14ac:dyDescent="0.25">
      <c r="A351" s="85" t="s">
        <v>604</v>
      </c>
      <c r="B351" s="88" t="s">
        <v>605</v>
      </c>
      <c r="C351" s="88" t="s">
        <v>584</v>
      </c>
      <c r="D351" s="17"/>
      <c r="E351" s="17"/>
      <c r="F351" s="18">
        <f>SUM(F352:F356)</f>
        <v>71</v>
      </c>
      <c r="G351" s="18">
        <f>SUM(G352:G356)</f>
        <v>56</v>
      </c>
      <c r="H351" s="18">
        <f>SUM(H352:H356)</f>
        <v>56</v>
      </c>
      <c r="I351" s="17" t="s">
        <v>606</v>
      </c>
      <c r="J351" s="19" t="s">
        <v>239</v>
      </c>
      <c r="K351" s="46">
        <v>24</v>
      </c>
      <c r="L351" s="46">
        <v>24</v>
      </c>
      <c r="M351" s="47">
        <v>24</v>
      </c>
    </row>
    <row r="352" spans="1:13" ht="25.5" x14ac:dyDescent="0.25">
      <c r="A352" s="86"/>
      <c r="B352" s="89"/>
      <c r="C352" s="89"/>
      <c r="D352" s="21" t="s">
        <v>35</v>
      </c>
      <c r="E352" s="21"/>
      <c r="F352" s="22">
        <v>15</v>
      </c>
      <c r="G352" s="22">
        <v>0</v>
      </c>
      <c r="H352" s="22">
        <v>0</v>
      </c>
      <c r="I352" s="21" t="s">
        <v>607</v>
      </c>
      <c r="J352" s="23" t="s">
        <v>239</v>
      </c>
      <c r="K352" s="48">
        <v>45</v>
      </c>
      <c r="L352" s="48">
        <v>48</v>
      </c>
      <c r="M352" s="49">
        <v>48</v>
      </c>
    </row>
    <row r="353" spans="1:13" ht="25.5" x14ac:dyDescent="0.25">
      <c r="A353" s="86"/>
      <c r="B353" s="89"/>
      <c r="C353" s="89"/>
      <c r="D353" s="21" t="s">
        <v>29</v>
      </c>
      <c r="E353" s="21"/>
      <c r="F353" s="22">
        <v>56</v>
      </c>
      <c r="G353" s="22">
        <v>56</v>
      </c>
      <c r="H353" s="22">
        <v>56</v>
      </c>
      <c r="I353" s="21" t="s">
        <v>608</v>
      </c>
      <c r="J353" s="23" t="s">
        <v>23</v>
      </c>
      <c r="K353" s="48">
        <v>1</v>
      </c>
      <c r="L353" s="48">
        <v>1</v>
      </c>
      <c r="M353" s="49">
        <v>1</v>
      </c>
    </row>
    <row r="354" spans="1:13" ht="25.5" x14ac:dyDescent="0.25">
      <c r="A354" s="86"/>
      <c r="B354" s="89"/>
      <c r="C354" s="89"/>
      <c r="D354" s="21"/>
      <c r="E354" s="21"/>
      <c r="F354" s="22">
        <v>0</v>
      </c>
      <c r="G354" s="22">
        <v>0</v>
      </c>
      <c r="H354" s="22">
        <v>0</v>
      </c>
      <c r="I354" s="21" t="s">
        <v>609</v>
      </c>
      <c r="J354" s="23" t="s">
        <v>23</v>
      </c>
      <c r="K354" s="48">
        <v>1</v>
      </c>
      <c r="L354" s="48">
        <v>1</v>
      </c>
      <c r="M354" s="49">
        <v>1</v>
      </c>
    </row>
    <row r="355" spans="1:13" ht="25.5" x14ac:dyDescent="0.25">
      <c r="A355" s="86"/>
      <c r="B355" s="89"/>
      <c r="C355" s="89"/>
      <c r="D355" s="21"/>
      <c r="E355" s="21"/>
      <c r="F355" s="22">
        <v>0</v>
      </c>
      <c r="G355" s="22">
        <v>0</v>
      </c>
      <c r="H355" s="22">
        <v>0</v>
      </c>
      <c r="I355" s="21" t="s">
        <v>610</v>
      </c>
      <c r="J355" s="23" t="s">
        <v>23</v>
      </c>
      <c r="K355" s="48">
        <v>1</v>
      </c>
      <c r="L355" s="48">
        <v>1</v>
      </c>
      <c r="M355" s="49">
        <v>1</v>
      </c>
    </row>
    <row r="356" spans="1:13" ht="15.75" thickBot="1" x14ac:dyDescent="0.3">
      <c r="A356" s="87"/>
      <c r="B356" s="90"/>
      <c r="C356" s="90"/>
      <c r="D356" s="21"/>
      <c r="E356" s="21"/>
      <c r="F356" s="22">
        <v>0</v>
      </c>
      <c r="G356" s="22">
        <v>0</v>
      </c>
      <c r="H356" s="22">
        <v>0</v>
      </c>
      <c r="I356" s="21" t="s">
        <v>611</v>
      </c>
      <c r="J356" s="23" t="s">
        <v>239</v>
      </c>
      <c r="K356" s="48">
        <v>1</v>
      </c>
      <c r="L356" s="48">
        <v>1</v>
      </c>
      <c r="M356" s="49">
        <v>1</v>
      </c>
    </row>
    <row r="357" spans="1:13" x14ac:dyDescent="0.25">
      <c r="A357" s="85" t="s">
        <v>612</v>
      </c>
      <c r="B357" s="88" t="s">
        <v>613</v>
      </c>
      <c r="C357" s="88" t="s">
        <v>584</v>
      </c>
      <c r="D357" s="17" t="s">
        <v>29</v>
      </c>
      <c r="E357" s="17" t="s">
        <v>614</v>
      </c>
      <c r="F357" s="18">
        <f>SUM(F358:F367)+423.9</f>
        <v>423.9</v>
      </c>
      <c r="G357" s="18">
        <f>SUM(G358:G367)+423.9</f>
        <v>423.9</v>
      </c>
      <c r="H357" s="18">
        <f>SUM(H358:H367)+450.9</f>
        <v>450.9</v>
      </c>
      <c r="I357" s="17" t="s">
        <v>615</v>
      </c>
      <c r="J357" s="19" t="s">
        <v>239</v>
      </c>
      <c r="K357" s="46">
        <v>120</v>
      </c>
      <c r="L357" s="46">
        <v>120</v>
      </c>
      <c r="M357" s="47">
        <v>120</v>
      </c>
    </row>
    <row r="358" spans="1:13" x14ac:dyDescent="0.25">
      <c r="A358" s="86"/>
      <c r="B358" s="89"/>
      <c r="C358" s="89"/>
      <c r="D358" s="21"/>
      <c r="E358" s="21"/>
      <c r="F358" s="22">
        <v>0</v>
      </c>
      <c r="G358" s="22">
        <v>0</v>
      </c>
      <c r="H358" s="22">
        <v>0</v>
      </c>
      <c r="I358" s="21" t="s">
        <v>616</v>
      </c>
      <c r="J358" s="23" t="s">
        <v>239</v>
      </c>
      <c r="K358" s="48">
        <v>4</v>
      </c>
      <c r="L358" s="48">
        <v>4</v>
      </c>
      <c r="M358" s="49">
        <v>3</v>
      </c>
    </row>
    <row r="359" spans="1:13" ht="38.25" x14ac:dyDescent="0.25">
      <c r="A359" s="86"/>
      <c r="B359" s="89"/>
      <c r="C359" s="89"/>
      <c r="D359" s="21"/>
      <c r="E359" s="21"/>
      <c r="F359" s="22">
        <v>0</v>
      </c>
      <c r="G359" s="22">
        <v>0</v>
      </c>
      <c r="H359" s="22">
        <v>0</v>
      </c>
      <c r="I359" s="21" t="s">
        <v>617</v>
      </c>
      <c r="J359" s="23" t="s">
        <v>239</v>
      </c>
      <c r="K359" s="48">
        <v>6</v>
      </c>
      <c r="L359" s="48">
        <v>6</v>
      </c>
      <c r="M359" s="49">
        <v>6</v>
      </c>
    </row>
    <row r="360" spans="1:13" ht="25.5" x14ac:dyDescent="0.25">
      <c r="A360" s="86"/>
      <c r="B360" s="89"/>
      <c r="C360" s="89"/>
      <c r="D360" s="21"/>
      <c r="E360" s="21"/>
      <c r="F360" s="22">
        <v>0</v>
      </c>
      <c r="G360" s="22">
        <v>0</v>
      </c>
      <c r="H360" s="22">
        <v>0</v>
      </c>
      <c r="I360" s="21" t="s">
        <v>618</v>
      </c>
      <c r="J360" s="23" t="s">
        <v>239</v>
      </c>
      <c r="K360" s="48">
        <v>1</v>
      </c>
      <c r="L360" s="48">
        <v>1</v>
      </c>
      <c r="M360" s="49">
        <v>1</v>
      </c>
    </row>
    <row r="361" spans="1:13" ht="25.5" x14ac:dyDescent="0.25">
      <c r="A361" s="86"/>
      <c r="B361" s="89"/>
      <c r="C361" s="89"/>
      <c r="D361" s="21"/>
      <c r="E361" s="21"/>
      <c r="F361" s="22">
        <v>0</v>
      </c>
      <c r="G361" s="22">
        <v>0</v>
      </c>
      <c r="H361" s="22">
        <v>0</v>
      </c>
      <c r="I361" s="21" t="s">
        <v>619</v>
      </c>
      <c r="J361" s="23" t="s">
        <v>239</v>
      </c>
      <c r="K361" s="48">
        <v>10</v>
      </c>
      <c r="L361" s="48">
        <v>10</v>
      </c>
      <c r="M361" s="49">
        <v>10</v>
      </c>
    </row>
    <row r="362" spans="1:13" x14ac:dyDescent="0.25">
      <c r="A362" s="86"/>
      <c r="B362" s="89"/>
      <c r="C362" s="89"/>
      <c r="D362" s="21"/>
      <c r="E362" s="21"/>
      <c r="F362" s="22">
        <v>0</v>
      </c>
      <c r="G362" s="22">
        <v>0</v>
      </c>
      <c r="H362" s="22">
        <v>0</v>
      </c>
      <c r="I362" s="21" t="s">
        <v>620</v>
      </c>
      <c r="J362" s="23" t="s">
        <v>239</v>
      </c>
      <c r="K362" s="48">
        <v>50</v>
      </c>
      <c r="L362" s="48">
        <v>50</v>
      </c>
      <c r="M362" s="49">
        <v>50</v>
      </c>
    </row>
    <row r="363" spans="1:13" x14ac:dyDescent="0.25">
      <c r="A363" s="86"/>
      <c r="B363" s="89"/>
      <c r="C363" s="89"/>
      <c r="D363" s="21"/>
      <c r="E363" s="21"/>
      <c r="F363" s="22">
        <v>0</v>
      </c>
      <c r="G363" s="22">
        <v>0</v>
      </c>
      <c r="H363" s="22">
        <v>0</v>
      </c>
      <c r="I363" s="21" t="s">
        <v>621</v>
      </c>
      <c r="J363" s="23" t="s">
        <v>239</v>
      </c>
      <c r="K363" s="48">
        <v>2</v>
      </c>
      <c r="L363" s="48">
        <v>2</v>
      </c>
      <c r="M363" s="49">
        <v>2</v>
      </c>
    </row>
    <row r="364" spans="1:13" ht="25.5" x14ac:dyDescent="0.25">
      <c r="A364" s="86"/>
      <c r="B364" s="89"/>
      <c r="C364" s="89"/>
      <c r="D364" s="21"/>
      <c r="E364" s="21"/>
      <c r="F364" s="22">
        <v>0</v>
      </c>
      <c r="G364" s="22">
        <v>0</v>
      </c>
      <c r="H364" s="22">
        <v>0</v>
      </c>
      <c r="I364" s="21" t="s">
        <v>622</v>
      </c>
      <c r="J364" s="23" t="s">
        <v>23</v>
      </c>
      <c r="K364" s="48">
        <v>1</v>
      </c>
      <c r="L364" s="48">
        <v>1</v>
      </c>
      <c r="M364" s="49">
        <v>1</v>
      </c>
    </row>
    <row r="365" spans="1:13" ht="25.5" x14ac:dyDescent="0.25">
      <c r="A365" s="86"/>
      <c r="B365" s="89"/>
      <c r="C365" s="89"/>
      <c r="D365" s="21"/>
      <c r="E365" s="21"/>
      <c r="F365" s="22">
        <v>0</v>
      </c>
      <c r="G365" s="22">
        <v>0</v>
      </c>
      <c r="H365" s="22">
        <v>0</v>
      </c>
      <c r="I365" s="21" t="s">
        <v>623</v>
      </c>
      <c r="J365" s="23" t="s">
        <v>23</v>
      </c>
      <c r="K365" s="48">
        <v>1</v>
      </c>
      <c r="L365" s="48">
        <v>1</v>
      </c>
      <c r="M365" s="49">
        <v>1</v>
      </c>
    </row>
    <row r="366" spans="1:13" x14ac:dyDescent="0.25">
      <c r="A366" s="86"/>
      <c r="B366" s="89"/>
      <c r="C366" s="89"/>
      <c r="D366" s="21"/>
      <c r="E366" s="21"/>
      <c r="F366" s="22">
        <v>0</v>
      </c>
      <c r="G366" s="22">
        <v>0</v>
      </c>
      <c r="H366" s="22">
        <v>0</v>
      </c>
      <c r="I366" s="21" t="s">
        <v>624</v>
      </c>
      <c r="J366" s="23" t="s">
        <v>239</v>
      </c>
      <c r="K366" s="48">
        <v>1</v>
      </c>
      <c r="L366" s="48">
        <v>1</v>
      </c>
      <c r="M366" s="49">
        <v>1</v>
      </c>
    </row>
    <row r="367" spans="1:13" ht="26.25" thickBot="1" x14ac:dyDescent="0.3">
      <c r="A367" s="87"/>
      <c r="B367" s="90"/>
      <c r="C367" s="90"/>
      <c r="D367" s="21"/>
      <c r="E367" s="21"/>
      <c r="F367" s="22">
        <v>0</v>
      </c>
      <c r="G367" s="22">
        <v>0</v>
      </c>
      <c r="H367" s="22">
        <v>0</v>
      </c>
      <c r="I367" s="21" t="s">
        <v>625</v>
      </c>
      <c r="J367" s="23" t="s">
        <v>239</v>
      </c>
      <c r="K367" s="48">
        <v>2</v>
      </c>
      <c r="L367" s="48">
        <v>2</v>
      </c>
      <c r="M367" s="49">
        <v>2</v>
      </c>
    </row>
    <row r="368" spans="1:13" ht="26.25" thickBot="1" x14ac:dyDescent="0.3">
      <c r="A368" s="15" t="s">
        <v>626</v>
      </c>
      <c r="B368" s="16" t="s">
        <v>627</v>
      </c>
      <c r="C368" s="17" t="s">
        <v>584</v>
      </c>
      <c r="D368" s="17" t="s">
        <v>29</v>
      </c>
      <c r="E368" s="17" t="s">
        <v>614</v>
      </c>
      <c r="F368" s="24">
        <v>30</v>
      </c>
      <c r="G368" s="24">
        <v>30</v>
      </c>
      <c r="H368" s="24">
        <v>33</v>
      </c>
      <c r="I368" s="17" t="s">
        <v>628</v>
      </c>
      <c r="J368" s="19" t="s">
        <v>239</v>
      </c>
      <c r="K368" s="46">
        <v>1200</v>
      </c>
      <c r="L368" s="46">
        <v>1200</v>
      </c>
      <c r="M368" s="47">
        <v>1200</v>
      </c>
    </row>
    <row r="369" spans="1:13" ht="39" thickBot="1" x14ac:dyDescent="0.3">
      <c r="A369" s="15" t="s">
        <v>629</v>
      </c>
      <c r="B369" s="16" t="s">
        <v>630</v>
      </c>
      <c r="C369" s="17" t="s">
        <v>584</v>
      </c>
      <c r="D369" s="17" t="s">
        <v>29</v>
      </c>
      <c r="E369" s="17"/>
      <c r="F369" s="24">
        <v>98.8</v>
      </c>
      <c r="G369" s="24">
        <v>98.8</v>
      </c>
      <c r="H369" s="24">
        <v>98.8</v>
      </c>
      <c r="I369" s="17" t="s">
        <v>631</v>
      </c>
      <c r="J369" s="19" t="s">
        <v>239</v>
      </c>
      <c r="K369" s="46">
        <v>6</v>
      </c>
      <c r="L369" s="46">
        <v>6</v>
      </c>
      <c r="M369" s="47">
        <v>6</v>
      </c>
    </row>
    <row r="370" spans="1:13" ht="26.25" customHeight="1" thickBot="1" x14ac:dyDescent="0.3">
      <c r="A370" s="11" t="s">
        <v>632</v>
      </c>
      <c r="B370" s="65" t="s">
        <v>633</v>
      </c>
      <c r="C370" s="66"/>
      <c r="D370" s="66"/>
      <c r="E370" s="67"/>
      <c r="F370" s="13">
        <f>F371+F381+F383+F384+F387+F390+F398+F400+F401+F410+F411+F412+F414+F415+F416+F418</f>
        <v>99100.800000000003</v>
      </c>
      <c r="G370" s="13">
        <f>G371+G381+G383+G384+G387+G390+G398+G400+G401+G410+G411+G412+G414+G415+G416+G418</f>
        <v>97636.5</v>
      </c>
      <c r="H370" s="13">
        <f>H371+H381+H383+H384+H387+H390+H398+H400+H401+H410+H411+H412+H414+H415+H416+H418</f>
        <v>97207</v>
      </c>
      <c r="I370" s="65"/>
      <c r="J370" s="66"/>
      <c r="K370" s="66"/>
      <c r="L370" s="66"/>
      <c r="M370" s="112"/>
    </row>
    <row r="371" spans="1:13" x14ac:dyDescent="0.25">
      <c r="A371" s="85" t="s">
        <v>634</v>
      </c>
      <c r="B371" s="88" t="s">
        <v>635</v>
      </c>
      <c r="C371" s="88" t="s">
        <v>584</v>
      </c>
      <c r="D371" s="17"/>
      <c r="E371" s="17"/>
      <c r="F371" s="18">
        <f>SUM(F372:F380)</f>
        <v>61102.000000000007</v>
      </c>
      <c r="G371" s="18">
        <f>SUM(G372:G380)</f>
        <v>60415.1</v>
      </c>
      <c r="H371" s="18">
        <f>SUM(H372:H380)</f>
        <v>60370.6</v>
      </c>
      <c r="I371" s="17" t="s">
        <v>636</v>
      </c>
      <c r="J371" s="19" t="s">
        <v>239</v>
      </c>
      <c r="K371" s="46">
        <v>32</v>
      </c>
      <c r="L371" s="46">
        <v>32</v>
      </c>
      <c r="M371" s="47">
        <v>32</v>
      </c>
    </row>
    <row r="372" spans="1:13" x14ac:dyDescent="0.25">
      <c r="A372" s="86"/>
      <c r="B372" s="89"/>
      <c r="C372" s="89"/>
      <c r="D372" s="21" t="s">
        <v>637</v>
      </c>
      <c r="E372" s="21"/>
      <c r="F372" s="22">
        <v>36874.9</v>
      </c>
      <c r="G372" s="22">
        <v>36874.9</v>
      </c>
      <c r="H372" s="22">
        <v>36874.9</v>
      </c>
      <c r="I372" s="21" t="s">
        <v>638</v>
      </c>
      <c r="J372" s="23" t="s">
        <v>239</v>
      </c>
      <c r="K372" s="48">
        <v>14000</v>
      </c>
      <c r="L372" s="48">
        <v>14000</v>
      </c>
      <c r="M372" s="49">
        <v>14000</v>
      </c>
    </row>
    <row r="373" spans="1:13" x14ac:dyDescent="0.25">
      <c r="A373" s="86"/>
      <c r="B373" s="89"/>
      <c r="C373" s="89"/>
      <c r="D373" s="21" t="s">
        <v>127</v>
      </c>
      <c r="E373" s="21"/>
      <c r="F373" s="22">
        <v>6273.7</v>
      </c>
      <c r="G373" s="22">
        <v>6273.7</v>
      </c>
      <c r="H373" s="22">
        <v>6273.7</v>
      </c>
      <c r="I373" s="21" t="s">
        <v>639</v>
      </c>
      <c r="J373" s="23" t="s">
        <v>23</v>
      </c>
      <c r="K373" s="48">
        <v>1</v>
      </c>
      <c r="L373" s="48">
        <v>1</v>
      </c>
      <c r="M373" s="49">
        <v>1</v>
      </c>
    </row>
    <row r="374" spans="1:13" ht="25.5" x14ac:dyDescent="0.25">
      <c r="A374" s="86"/>
      <c r="B374" s="89"/>
      <c r="C374" s="89"/>
      <c r="D374" s="21" t="s">
        <v>120</v>
      </c>
      <c r="E374" s="21"/>
      <c r="F374" s="22">
        <v>1134.4000000000001</v>
      </c>
      <c r="G374" s="22">
        <v>1056.9000000000001</v>
      </c>
      <c r="H374" s="22">
        <v>1049.2</v>
      </c>
      <c r="I374" s="21" t="s">
        <v>640</v>
      </c>
      <c r="J374" s="23" t="s">
        <v>239</v>
      </c>
      <c r="K374" s="48">
        <v>5500</v>
      </c>
      <c r="L374" s="48">
        <v>5000</v>
      </c>
      <c r="M374" s="49">
        <v>5500</v>
      </c>
    </row>
    <row r="375" spans="1:13" ht="38.25" x14ac:dyDescent="0.25">
      <c r="A375" s="86"/>
      <c r="B375" s="89"/>
      <c r="C375" s="89"/>
      <c r="D375" s="21" t="s">
        <v>35</v>
      </c>
      <c r="E375" s="21"/>
      <c r="F375" s="22">
        <v>337.4</v>
      </c>
      <c r="G375" s="22">
        <v>0</v>
      </c>
      <c r="H375" s="22">
        <v>0</v>
      </c>
      <c r="I375" s="21" t="s">
        <v>641</v>
      </c>
      <c r="J375" s="23" t="s">
        <v>239</v>
      </c>
      <c r="K375" s="48">
        <v>300</v>
      </c>
      <c r="L375" s="48">
        <v>300</v>
      </c>
      <c r="M375" s="49">
        <v>0</v>
      </c>
    </row>
    <row r="376" spans="1:13" ht="25.5" x14ac:dyDescent="0.25">
      <c r="A376" s="86"/>
      <c r="B376" s="89"/>
      <c r="C376" s="89"/>
      <c r="D376" s="21" t="s">
        <v>122</v>
      </c>
      <c r="E376" s="21"/>
      <c r="F376" s="22">
        <v>1504.5</v>
      </c>
      <c r="G376" s="22">
        <v>1547.2</v>
      </c>
      <c r="H376" s="22">
        <v>1586.8</v>
      </c>
      <c r="I376" s="21" t="s">
        <v>642</v>
      </c>
      <c r="J376" s="23" t="s">
        <v>23</v>
      </c>
      <c r="K376" s="48">
        <v>1</v>
      </c>
      <c r="L376" s="48">
        <v>1</v>
      </c>
      <c r="M376" s="49">
        <v>1</v>
      </c>
    </row>
    <row r="377" spans="1:13" x14ac:dyDescent="0.25">
      <c r="A377" s="86"/>
      <c r="B377" s="89"/>
      <c r="C377" s="89"/>
      <c r="D377" s="21" t="s">
        <v>118</v>
      </c>
      <c r="E377" s="21"/>
      <c r="F377" s="22">
        <v>864.9</v>
      </c>
      <c r="G377" s="22">
        <v>562.5</v>
      </c>
      <c r="H377" s="22">
        <v>486.1</v>
      </c>
      <c r="I377" s="21" t="s">
        <v>643</v>
      </c>
      <c r="J377" s="23" t="s">
        <v>239</v>
      </c>
      <c r="K377" s="48">
        <v>27</v>
      </c>
      <c r="L377" s="48">
        <v>27</v>
      </c>
      <c r="M377" s="49">
        <v>27</v>
      </c>
    </row>
    <row r="378" spans="1:13" x14ac:dyDescent="0.25">
      <c r="A378" s="86"/>
      <c r="B378" s="89"/>
      <c r="C378" s="89"/>
      <c r="D378" s="21" t="s">
        <v>29</v>
      </c>
      <c r="E378" s="21"/>
      <c r="F378" s="22">
        <v>13356.9</v>
      </c>
      <c r="G378" s="22">
        <v>13356.9</v>
      </c>
      <c r="H378" s="22">
        <v>13356.9</v>
      </c>
      <c r="I378" s="21" t="s">
        <v>644</v>
      </c>
      <c r="J378" s="23" t="s">
        <v>226</v>
      </c>
      <c r="K378" s="48">
        <v>12.4</v>
      </c>
      <c r="L378" s="48">
        <v>12.4</v>
      </c>
      <c r="M378" s="49">
        <v>12.4</v>
      </c>
    </row>
    <row r="379" spans="1:13" ht="38.25" x14ac:dyDescent="0.25">
      <c r="A379" s="86"/>
      <c r="B379" s="89"/>
      <c r="C379" s="89"/>
      <c r="D379" s="21" t="s">
        <v>124</v>
      </c>
      <c r="E379" s="21"/>
      <c r="F379" s="22">
        <v>755.3</v>
      </c>
      <c r="G379" s="22">
        <v>743</v>
      </c>
      <c r="H379" s="22">
        <v>743</v>
      </c>
      <c r="I379" s="21" t="s">
        <v>645</v>
      </c>
      <c r="J379" s="23" t="s">
        <v>239</v>
      </c>
      <c r="K379" s="48">
        <v>13202</v>
      </c>
      <c r="L379" s="48">
        <v>13200</v>
      </c>
      <c r="M379" s="49">
        <v>13200</v>
      </c>
    </row>
    <row r="380" spans="1:13" ht="26.25" thickBot="1" x14ac:dyDescent="0.3">
      <c r="A380" s="87"/>
      <c r="B380" s="90"/>
      <c r="C380" s="90"/>
      <c r="D380" s="21"/>
      <c r="E380" s="21"/>
      <c r="F380" s="22">
        <v>0</v>
      </c>
      <c r="G380" s="22">
        <v>0</v>
      </c>
      <c r="H380" s="22">
        <v>0</v>
      </c>
      <c r="I380" s="21" t="s">
        <v>646</v>
      </c>
      <c r="J380" s="23" t="s">
        <v>19</v>
      </c>
      <c r="K380" s="48">
        <v>10</v>
      </c>
      <c r="L380" s="48">
        <v>10</v>
      </c>
      <c r="M380" s="49">
        <v>10</v>
      </c>
    </row>
    <row r="381" spans="1:13" ht="25.5" x14ac:dyDescent="0.25">
      <c r="A381" s="85" t="s">
        <v>647</v>
      </c>
      <c r="B381" s="88" t="s">
        <v>648</v>
      </c>
      <c r="C381" s="88" t="s">
        <v>584</v>
      </c>
      <c r="D381" s="17"/>
      <c r="E381" s="17"/>
      <c r="F381" s="18">
        <f>SUM(F382:F382)</f>
        <v>662.3</v>
      </c>
      <c r="G381" s="18">
        <f>SUM(G382:G382)</f>
        <v>662.3</v>
      </c>
      <c r="H381" s="18">
        <f>SUM(H382:H382)</f>
        <v>662.3</v>
      </c>
      <c r="I381" s="17" t="s">
        <v>649</v>
      </c>
      <c r="J381" s="19" t="s">
        <v>239</v>
      </c>
      <c r="K381" s="46">
        <v>55</v>
      </c>
      <c r="L381" s="46">
        <v>55</v>
      </c>
      <c r="M381" s="47">
        <v>55</v>
      </c>
    </row>
    <row r="382" spans="1:13" ht="26.25" thickBot="1" x14ac:dyDescent="0.3">
      <c r="A382" s="87"/>
      <c r="B382" s="90"/>
      <c r="C382" s="90"/>
      <c r="D382" s="21" t="s">
        <v>637</v>
      </c>
      <c r="E382" s="21"/>
      <c r="F382" s="22">
        <v>662.3</v>
      </c>
      <c r="G382" s="22">
        <v>662.3</v>
      </c>
      <c r="H382" s="22">
        <v>662.3</v>
      </c>
      <c r="I382" s="21" t="s">
        <v>650</v>
      </c>
      <c r="J382" s="23" t="s">
        <v>239</v>
      </c>
      <c r="K382" s="48">
        <v>30</v>
      </c>
      <c r="L382" s="48">
        <v>30</v>
      </c>
      <c r="M382" s="49">
        <v>30</v>
      </c>
    </row>
    <row r="383" spans="1:13" ht="15.75" thickBot="1" x14ac:dyDescent="0.3">
      <c r="A383" s="15" t="s">
        <v>651</v>
      </c>
      <c r="B383" s="16" t="s">
        <v>652</v>
      </c>
      <c r="C383" s="17" t="s">
        <v>584</v>
      </c>
      <c r="D383" s="17" t="s">
        <v>29</v>
      </c>
      <c r="E383" s="17"/>
      <c r="F383" s="24">
        <v>80</v>
      </c>
      <c r="G383" s="24">
        <v>80</v>
      </c>
      <c r="H383" s="24">
        <v>80</v>
      </c>
      <c r="I383" s="17" t="s">
        <v>653</v>
      </c>
      <c r="J383" s="19" t="s">
        <v>239</v>
      </c>
      <c r="K383" s="46">
        <v>700</v>
      </c>
      <c r="L383" s="46">
        <v>700</v>
      </c>
      <c r="M383" s="47">
        <v>700</v>
      </c>
    </row>
    <row r="384" spans="1:13" ht="39.75" customHeight="1" x14ac:dyDescent="0.25">
      <c r="A384" s="85" t="s">
        <v>654</v>
      </c>
      <c r="B384" s="88" t="s">
        <v>655</v>
      </c>
      <c r="C384" s="88" t="s">
        <v>584</v>
      </c>
      <c r="D384" s="17"/>
      <c r="E384" s="17"/>
      <c r="F384" s="18">
        <f>SUM(F385:F386)</f>
        <v>912.80000000000007</v>
      </c>
      <c r="G384" s="18">
        <f>SUM(G385:G386)</f>
        <v>912.80000000000007</v>
      </c>
      <c r="H384" s="18">
        <f>SUM(H385:H386)</f>
        <v>912.80000000000007</v>
      </c>
      <c r="I384" s="17" t="s">
        <v>656</v>
      </c>
      <c r="J384" s="19" t="s">
        <v>239</v>
      </c>
      <c r="K384" s="46">
        <v>2</v>
      </c>
      <c r="L384" s="46">
        <v>2</v>
      </c>
      <c r="M384" s="47">
        <v>2</v>
      </c>
    </row>
    <row r="385" spans="1:13" ht="25.5" x14ac:dyDescent="0.25">
      <c r="A385" s="86"/>
      <c r="B385" s="89"/>
      <c r="C385" s="89"/>
      <c r="D385" s="21" t="s">
        <v>29</v>
      </c>
      <c r="E385" s="21"/>
      <c r="F385" s="22">
        <v>57.1</v>
      </c>
      <c r="G385" s="22">
        <v>57.1</v>
      </c>
      <c r="H385" s="22">
        <v>57.1</v>
      </c>
      <c r="I385" s="21" t="s">
        <v>657</v>
      </c>
      <c r="J385" s="23" t="s">
        <v>239</v>
      </c>
      <c r="K385" s="48">
        <v>1</v>
      </c>
      <c r="L385" s="48">
        <v>1</v>
      </c>
      <c r="M385" s="49">
        <v>1</v>
      </c>
    </row>
    <row r="386" spans="1:13" ht="15.75" thickBot="1" x14ac:dyDescent="0.3">
      <c r="A386" s="87"/>
      <c r="B386" s="90"/>
      <c r="C386" s="90"/>
      <c r="D386" s="21" t="s">
        <v>637</v>
      </c>
      <c r="E386" s="21"/>
      <c r="F386" s="22">
        <v>855.7</v>
      </c>
      <c r="G386" s="22">
        <v>855.7</v>
      </c>
      <c r="H386" s="22">
        <v>855.7</v>
      </c>
      <c r="I386" s="21"/>
      <c r="J386" s="23"/>
      <c r="K386" s="48"/>
      <c r="L386" s="48"/>
      <c r="M386" s="49"/>
    </row>
    <row r="387" spans="1:13" x14ac:dyDescent="0.25">
      <c r="A387" s="85" t="s">
        <v>658</v>
      </c>
      <c r="B387" s="88" t="s">
        <v>659</v>
      </c>
      <c r="C387" s="88" t="s">
        <v>584</v>
      </c>
      <c r="D387" s="17"/>
      <c r="E387" s="17"/>
      <c r="F387" s="18">
        <f>SUM(F388:F389)</f>
        <v>332</v>
      </c>
      <c r="G387" s="18">
        <f>SUM(G388:G389)</f>
        <v>332</v>
      </c>
      <c r="H387" s="18">
        <f>SUM(H388:H389)</f>
        <v>0</v>
      </c>
      <c r="I387" s="17" t="s">
        <v>660</v>
      </c>
      <c r="J387" s="19" t="s">
        <v>239</v>
      </c>
      <c r="K387" s="46">
        <v>6</v>
      </c>
      <c r="L387" s="46">
        <v>6</v>
      </c>
      <c r="M387" s="47"/>
    </row>
    <row r="388" spans="1:13" x14ac:dyDescent="0.25">
      <c r="A388" s="86"/>
      <c r="B388" s="89"/>
      <c r="C388" s="89"/>
      <c r="D388" s="21" t="s">
        <v>29</v>
      </c>
      <c r="E388" s="21"/>
      <c r="F388" s="22">
        <v>49.8</v>
      </c>
      <c r="G388" s="22">
        <v>49.8</v>
      </c>
      <c r="H388" s="22">
        <v>0</v>
      </c>
      <c r="I388" s="21"/>
      <c r="J388" s="23"/>
      <c r="K388" s="48"/>
      <c r="L388" s="48"/>
      <c r="M388" s="49"/>
    </row>
    <row r="389" spans="1:13" ht="15.75" thickBot="1" x14ac:dyDescent="0.3">
      <c r="A389" s="87"/>
      <c r="B389" s="90"/>
      <c r="C389" s="90"/>
      <c r="D389" s="21" t="s">
        <v>135</v>
      </c>
      <c r="E389" s="21"/>
      <c r="F389" s="22">
        <v>282.2</v>
      </c>
      <c r="G389" s="22">
        <v>282.2</v>
      </c>
      <c r="H389" s="22">
        <v>0</v>
      </c>
      <c r="I389" s="21"/>
      <c r="J389" s="23"/>
      <c r="K389" s="48"/>
      <c r="L389" s="48"/>
      <c r="M389" s="49"/>
    </row>
    <row r="390" spans="1:13" x14ac:dyDescent="0.25">
      <c r="A390" s="85" t="s">
        <v>661</v>
      </c>
      <c r="B390" s="88" t="s">
        <v>662</v>
      </c>
      <c r="C390" s="88" t="s">
        <v>663</v>
      </c>
      <c r="D390" s="17"/>
      <c r="E390" s="17"/>
      <c r="F390" s="18">
        <f>SUM(F391:F397)</f>
        <v>6095.4999999999991</v>
      </c>
      <c r="G390" s="18">
        <f>SUM(G391:G397)</f>
        <v>5876.9</v>
      </c>
      <c r="H390" s="18">
        <f>SUM(H391:H397)</f>
        <v>5822.9</v>
      </c>
      <c r="I390" s="17" t="s">
        <v>664</v>
      </c>
      <c r="J390" s="19" t="s">
        <v>239</v>
      </c>
      <c r="K390" s="46">
        <v>10</v>
      </c>
      <c r="L390" s="46">
        <v>10</v>
      </c>
      <c r="M390" s="47">
        <v>10</v>
      </c>
    </row>
    <row r="391" spans="1:13" x14ac:dyDescent="0.25">
      <c r="A391" s="86"/>
      <c r="B391" s="89"/>
      <c r="C391" s="89"/>
      <c r="D391" s="21" t="s">
        <v>122</v>
      </c>
      <c r="E391" s="21"/>
      <c r="F391" s="22">
        <v>341.2</v>
      </c>
      <c r="G391" s="22">
        <v>352</v>
      </c>
      <c r="H391" s="22">
        <v>352</v>
      </c>
      <c r="I391" s="21" t="s">
        <v>665</v>
      </c>
      <c r="J391" s="23" t="s">
        <v>239</v>
      </c>
      <c r="K391" s="48">
        <v>4450</v>
      </c>
      <c r="L391" s="48">
        <v>4450</v>
      </c>
      <c r="M391" s="49">
        <v>4450</v>
      </c>
    </row>
    <row r="392" spans="1:13" x14ac:dyDescent="0.25">
      <c r="A392" s="86"/>
      <c r="B392" s="89"/>
      <c r="C392" s="89"/>
      <c r="D392" s="21" t="s">
        <v>120</v>
      </c>
      <c r="E392" s="21"/>
      <c r="F392" s="22">
        <v>100.4</v>
      </c>
      <c r="G392" s="22">
        <v>67.5</v>
      </c>
      <c r="H392" s="22">
        <v>57.1</v>
      </c>
      <c r="I392" s="21" t="s">
        <v>666</v>
      </c>
      <c r="J392" s="23" t="s">
        <v>239</v>
      </c>
      <c r="K392" s="48">
        <v>45</v>
      </c>
      <c r="L392" s="48">
        <v>48</v>
      </c>
      <c r="M392" s="49">
        <v>48</v>
      </c>
    </row>
    <row r="393" spans="1:13" x14ac:dyDescent="0.25">
      <c r="A393" s="86"/>
      <c r="B393" s="89"/>
      <c r="C393" s="89"/>
      <c r="D393" s="21" t="s">
        <v>124</v>
      </c>
      <c r="E393" s="21"/>
      <c r="F393" s="22">
        <v>9</v>
      </c>
      <c r="G393" s="22">
        <v>9</v>
      </c>
      <c r="H393" s="22">
        <v>9</v>
      </c>
      <c r="I393" s="21" t="s">
        <v>667</v>
      </c>
      <c r="J393" s="23" t="s">
        <v>239</v>
      </c>
      <c r="K393" s="48">
        <v>65</v>
      </c>
      <c r="L393" s="48">
        <v>65</v>
      </c>
      <c r="M393" s="49">
        <v>65</v>
      </c>
    </row>
    <row r="394" spans="1:13" x14ac:dyDescent="0.25">
      <c r="A394" s="86"/>
      <c r="B394" s="89"/>
      <c r="C394" s="89"/>
      <c r="D394" s="21" t="s">
        <v>118</v>
      </c>
      <c r="E394" s="21"/>
      <c r="F394" s="22">
        <v>153.9</v>
      </c>
      <c r="G394" s="22">
        <v>43.6</v>
      </c>
      <c r="H394" s="22">
        <v>0</v>
      </c>
      <c r="I394" s="21" t="s">
        <v>668</v>
      </c>
      <c r="J394" s="23" t="s">
        <v>239</v>
      </c>
      <c r="K394" s="48">
        <v>130</v>
      </c>
      <c r="L394" s="48">
        <v>130</v>
      </c>
      <c r="M394" s="49">
        <v>130</v>
      </c>
    </row>
    <row r="395" spans="1:13" x14ac:dyDescent="0.25">
      <c r="A395" s="86"/>
      <c r="B395" s="89"/>
      <c r="C395" s="89"/>
      <c r="D395" s="21" t="s">
        <v>35</v>
      </c>
      <c r="E395" s="21"/>
      <c r="F395" s="22">
        <v>86.2</v>
      </c>
      <c r="G395" s="22"/>
      <c r="H395" s="22"/>
      <c r="I395" s="21"/>
      <c r="J395" s="23"/>
      <c r="K395" s="48"/>
      <c r="L395" s="48"/>
      <c r="M395" s="49"/>
    </row>
    <row r="396" spans="1:13" x14ac:dyDescent="0.25">
      <c r="A396" s="86"/>
      <c r="B396" s="89"/>
      <c r="C396" s="89"/>
      <c r="D396" s="21" t="s">
        <v>29</v>
      </c>
      <c r="E396" s="21"/>
      <c r="F396" s="22">
        <v>5086.8999999999996</v>
      </c>
      <c r="G396" s="22">
        <v>5086.8999999999996</v>
      </c>
      <c r="H396" s="22">
        <v>5086.8999999999996</v>
      </c>
      <c r="I396" s="21"/>
      <c r="J396" s="23"/>
      <c r="K396" s="48"/>
      <c r="L396" s="48"/>
      <c r="M396" s="49"/>
    </row>
    <row r="397" spans="1:13" ht="15.75" thickBot="1" x14ac:dyDescent="0.3">
      <c r="A397" s="87"/>
      <c r="B397" s="90"/>
      <c r="C397" s="90"/>
      <c r="D397" s="21" t="s">
        <v>637</v>
      </c>
      <c r="E397" s="21"/>
      <c r="F397" s="22">
        <v>317.89999999999998</v>
      </c>
      <c r="G397" s="22">
        <v>317.89999999999998</v>
      </c>
      <c r="H397" s="22">
        <v>317.89999999999998</v>
      </c>
      <c r="I397" s="21"/>
      <c r="J397" s="23"/>
      <c r="K397" s="48"/>
      <c r="L397" s="48"/>
      <c r="M397" s="49"/>
    </row>
    <row r="398" spans="1:13" ht="38.25" x14ac:dyDescent="0.25">
      <c r="A398" s="85" t="s">
        <v>669</v>
      </c>
      <c r="B398" s="88" t="s">
        <v>670</v>
      </c>
      <c r="C398" s="88" t="s">
        <v>584</v>
      </c>
      <c r="D398" s="17"/>
      <c r="E398" s="17"/>
      <c r="F398" s="18">
        <f>SUM(F399:F399)</f>
        <v>716.4</v>
      </c>
      <c r="G398" s="18">
        <f>SUM(G399:G399)</f>
        <v>716.4</v>
      </c>
      <c r="H398" s="18">
        <f>SUM(H399:H399)</f>
        <v>716.4</v>
      </c>
      <c r="I398" s="17" t="s">
        <v>671</v>
      </c>
      <c r="J398" s="19" t="s">
        <v>239</v>
      </c>
      <c r="K398" s="46">
        <v>2000</v>
      </c>
      <c r="L398" s="46">
        <v>2000</v>
      </c>
      <c r="M398" s="47">
        <v>2000</v>
      </c>
    </row>
    <row r="399" spans="1:13" ht="15.75" thickBot="1" x14ac:dyDescent="0.3">
      <c r="A399" s="87"/>
      <c r="B399" s="90"/>
      <c r="C399" s="90"/>
      <c r="D399" s="21" t="s">
        <v>127</v>
      </c>
      <c r="E399" s="21"/>
      <c r="F399" s="22">
        <v>716.4</v>
      </c>
      <c r="G399" s="22">
        <v>716.4</v>
      </c>
      <c r="H399" s="22">
        <v>716.4</v>
      </c>
      <c r="I399" s="21"/>
      <c r="J399" s="23"/>
      <c r="K399" s="48"/>
      <c r="L399" s="48"/>
      <c r="M399" s="49"/>
    </row>
    <row r="400" spans="1:13" ht="39" thickBot="1" x14ac:dyDescent="0.3">
      <c r="A400" s="15" t="s">
        <v>672</v>
      </c>
      <c r="B400" s="16" t="s">
        <v>673</v>
      </c>
      <c r="C400" s="17" t="s">
        <v>584</v>
      </c>
      <c r="D400" s="17" t="s">
        <v>29</v>
      </c>
      <c r="E400" s="17"/>
      <c r="F400" s="24">
        <v>15</v>
      </c>
      <c r="G400" s="24">
        <v>15</v>
      </c>
      <c r="H400" s="24">
        <v>15</v>
      </c>
      <c r="I400" s="17" t="s">
        <v>674</v>
      </c>
      <c r="J400" s="19" t="s">
        <v>239</v>
      </c>
      <c r="K400" s="46">
        <v>70</v>
      </c>
      <c r="L400" s="46">
        <v>70</v>
      </c>
      <c r="M400" s="47">
        <v>70</v>
      </c>
    </row>
    <row r="401" spans="1:13" x14ac:dyDescent="0.25">
      <c r="A401" s="85" t="s">
        <v>675</v>
      </c>
      <c r="B401" s="88" t="s">
        <v>676</v>
      </c>
      <c r="C401" s="88" t="s">
        <v>584</v>
      </c>
      <c r="D401" s="17"/>
      <c r="E401" s="17"/>
      <c r="F401" s="18">
        <f>SUM(F402:F409)+0.1</f>
        <v>27179.999999999996</v>
      </c>
      <c r="G401" s="18">
        <f>SUM(G402:G409)</f>
        <v>27052.3</v>
      </c>
      <c r="H401" s="18">
        <f>SUM(H402:H409)</f>
        <v>27053.3</v>
      </c>
      <c r="I401" s="17" t="s">
        <v>677</v>
      </c>
      <c r="J401" s="19" t="s">
        <v>239</v>
      </c>
      <c r="K401" s="46">
        <v>25</v>
      </c>
      <c r="L401" s="46">
        <v>25</v>
      </c>
      <c r="M401" s="47">
        <v>25</v>
      </c>
    </row>
    <row r="402" spans="1:13" x14ac:dyDescent="0.25">
      <c r="A402" s="86"/>
      <c r="B402" s="89"/>
      <c r="C402" s="89"/>
      <c r="D402" s="21" t="s">
        <v>122</v>
      </c>
      <c r="E402" s="21"/>
      <c r="F402" s="22">
        <v>2909.5</v>
      </c>
      <c r="G402" s="22">
        <v>2928.1</v>
      </c>
      <c r="H402" s="22">
        <v>2931</v>
      </c>
      <c r="I402" s="21" t="s">
        <v>678</v>
      </c>
      <c r="J402" s="23" t="s">
        <v>239</v>
      </c>
      <c r="K402" s="48">
        <v>4300</v>
      </c>
      <c r="L402" s="48">
        <v>4300</v>
      </c>
      <c r="M402" s="49">
        <v>4300</v>
      </c>
    </row>
    <row r="403" spans="1:13" x14ac:dyDescent="0.25">
      <c r="A403" s="86"/>
      <c r="B403" s="89"/>
      <c r="C403" s="89"/>
      <c r="D403" s="21" t="s">
        <v>120</v>
      </c>
      <c r="E403" s="21"/>
      <c r="F403" s="22">
        <v>85.1</v>
      </c>
      <c r="G403" s="22">
        <v>54</v>
      </c>
      <c r="H403" s="22">
        <v>52.1</v>
      </c>
      <c r="I403" s="21" t="s">
        <v>679</v>
      </c>
      <c r="J403" s="23" t="s">
        <v>239</v>
      </c>
      <c r="K403" s="48">
        <v>3</v>
      </c>
      <c r="L403" s="48">
        <v>3</v>
      </c>
      <c r="M403" s="49">
        <v>3</v>
      </c>
    </row>
    <row r="404" spans="1:13" x14ac:dyDescent="0.25">
      <c r="A404" s="86"/>
      <c r="B404" s="89"/>
      <c r="C404" s="89"/>
      <c r="D404" s="21" t="s">
        <v>127</v>
      </c>
      <c r="E404" s="21"/>
      <c r="F404" s="22">
        <v>3.5</v>
      </c>
      <c r="G404" s="22"/>
      <c r="H404" s="22"/>
      <c r="I404" s="21"/>
      <c r="J404" s="23"/>
      <c r="K404" s="48"/>
      <c r="L404" s="48"/>
      <c r="M404" s="49"/>
    </row>
    <row r="405" spans="1:13" x14ac:dyDescent="0.25">
      <c r="A405" s="86"/>
      <c r="B405" s="89"/>
      <c r="C405" s="89"/>
      <c r="D405" s="21" t="s">
        <v>118</v>
      </c>
      <c r="E405" s="21"/>
      <c r="F405" s="22">
        <v>11.5</v>
      </c>
      <c r="G405" s="22"/>
      <c r="H405" s="22"/>
      <c r="I405" s="21"/>
      <c r="J405" s="23"/>
      <c r="K405" s="48"/>
      <c r="L405" s="48"/>
      <c r="M405" s="49"/>
    </row>
    <row r="406" spans="1:13" x14ac:dyDescent="0.25">
      <c r="A406" s="86"/>
      <c r="B406" s="89"/>
      <c r="C406" s="89"/>
      <c r="D406" s="21" t="s">
        <v>35</v>
      </c>
      <c r="E406" s="21"/>
      <c r="F406" s="22">
        <v>100.1</v>
      </c>
      <c r="G406" s="22"/>
      <c r="H406" s="22"/>
      <c r="I406" s="21"/>
      <c r="J406" s="23"/>
      <c r="K406" s="48"/>
      <c r="L406" s="48"/>
      <c r="M406" s="49"/>
    </row>
    <row r="407" spans="1:13" x14ac:dyDescent="0.25">
      <c r="A407" s="86"/>
      <c r="B407" s="89"/>
      <c r="C407" s="89"/>
      <c r="D407" s="21" t="s">
        <v>124</v>
      </c>
      <c r="E407" s="21"/>
      <c r="F407" s="22">
        <v>10</v>
      </c>
      <c r="G407" s="22">
        <v>10</v>
      </c>
      <c r="H407" s="22">
        <v>10</v>
      </c>
      <c r="I407" s="21"/>
      <c r="J407" s="23"/>
      <c r="K407" s="48"/>
      <c r="L407" s="48"/>
      <c r="M407" s="49"/>
    </row>
    <row r="408" spans="1:13" x14ac:dyDescent="0.25">
      <c r="A408" s="86"/>
      <c r="B408" s="89"/>
      <c r="C408" s="89"/>
      <c r="D408" s="21" t="s">
        <v>29</v>
      </c>
      <c r="E408" s="21"/>
      <c r="F408" s="22">
        <v>13522.9</v>
      </c>
      <c r="G408" s="22">
        <v>13522.9</v>
      </c>
      <c r="H408" s="22">
        <v>13522.9</v>
      </c>
      <c r="I408" s="21"/>
      <c r="J408" s="23"/>
      <c r="K408" s="48"/>
      <c r="L408" s="48"/>
      <c r="M408" s="49"/>
    </row>
    <row r="409" spans="1:13" ht="15.75" thickBot="1" x14ac:dyDescent="0.3">
      <c r="A409" s="87"/>
      <c r="B409" s="90"/>
      <c r="C409" s="90"/>
      <c r="D409" s="21" t="s">
        <v>637</v>
      </c>
      <c r="E409" s="21"/>
      <c r="F409" s="22">
        <v>10537.3</v>
      </c>
      <c r="G409" s="22">
        <v>10537.3</v>
      </c>
      <c r="H409" s="22">
        <v>10537.3</v>
      </c>
      <c r="I409" s="21"/>
      <c r="J409" s="23"/>
      <c r="K409" s="48"/>
      <c r="L409" s="48"/>
      <c r="M409" s="49"/>
    </row>
    <row r="410" spans="1:13" ht="26.25" thickBot="1" x14ac:dyDescent="0.3">
      <c r="A410" s="15" t="s">
        <v>680</v>
      </c>
      <c r="B410" s="16" t="s">
        <v>681</v>
      </c>
      <c r="C410" s="17" t="s">
        <v>584</v>
      </c>
      <c r="D410" s="17" t="s">
        <v>29</v>
      </c>
      <c r="E410" s="17"/>
      <c r="F410" s="24">
        <v>237.3</v>
      </c>
      <c r="G410" s="24">
        <v>237.3</v>
      </c>
      <c r="H410" s="24">
        <v>237.3</v>
      </c>
      <c r="I410" s="17" t="s">
        <v>682</v>
      </c>
      <c r="J410" s="19" t="s">
        <v>239</v>
      </c>
      <c r="K410" s="46">
        <v>730</v>
      </c>
      <c r="L410" s="46">
        <v>730</v>
      </c>
      <c r="M410" s="47">
        <v>800</v>
      </c>
    </row>
    <row r="411" spans="1:13" ht="51.75" thickBot="1" x14ac:dyDescent="0.3">
      <c r="A411" s="15" t="s">
        <v>683</v>
      </c>
      <c r="B411" s="16" t="s">
        <v>684</v>
      </c>
      <c r="C411" s="17" t="s">
        <v>584</v>
      </c>
      <c r="D411" s="17" t="s">
        <v>29</v>
      </c>
      <c r="E411" s="17"/>
      <c r="F411" s="24">
        <v>256</v>
      </c>
      <c r="G411" s="24">
        <v>246</v>
      </c>
      <c r="H411" s="24">
        <v>246</v>
      </c>
      <c r="I411" s="17" t="s">
        <v>685</v>
      </c>
      <c r="J411" s="19" t="s">
        <v>239</v>
      </c>
      <c r="K411" s="46">
        <v>310</v>
      </c>
      <c r="L411" s="46">
        <v>310</v>
      </c>
      <c r="M411" s="47">
        <v>310</v>
      </c>
    </row>
    <row r="412" spans="1:13" ht="37.5" customHeight="1" x14ac:dyDescent="0.25">
      <c r="A412" s="85" t="s">
        <v>686</v>
      </c>
      <c r="B412" s="88" t="s">
        <v>687</v>
      </c>
      <c r="C412" s="88" t="s">
        <v>584</v>
      </c>
      <c r="D412" s="17"/>
      <c r="E412" s="17"/>
      <c r="F412" s="18">
        <f>SUM(F413:F413)</f>
        <v>661.4</v>
      </c>
      <c r="G412" s="18">
        <f>SUM(G413:G413)</f>
        <v>661.4</v>
      </c>
      <c r="H412" s="18">
        <f>SUM(H413:H413)</f>
        <v>661.4</v>
      </c>
      <c r="I412" s="17" t="s">
        <v>688</v>
      </c>
      <c r="J412" s="19" t="s">
        <v>239</v>
      </c>
      <c r="K412" s="46">
        <v>6</v>
      </c>
      <c r="L412" s="46">
        <v>6</v>
      </c>
      <c r="M412" s="47">
        <v>6</v>
      </c>
    </row>
    <row r="413" spans="1:13" ht="15.75" thickBot="1" x14ac:dyDescent="0.3">
      <c r="A413" s="87"/>
      <c r="B413" s="90"/>
      <c r="C413" s="90"/>
      <c r="D413" s="21" t="s">
        <v>637</v>
      </c>
      <c r="E413" s="21"/>
      <c r="F413" s="22">
        <v>661.4</v>
      </c>
      <c r="G413" s="22">
        <v>661.4</v>
      </c>
      <c r="H413" s="22">
        <v>661.4</v>
      </c>
      <c r="I413" s="21"/>
      <c r="J413" s="23"/>
      <c r="K413" s="48"/>
      <c r="L413" s="48"/>
      <c r="M413" s="49"/>
    </row>
    <row r="414" spans="1:13" ht="26.25" thickBot="1" x14ac:dyDescent="0.3">
      <c r="A414" s="15" t="s">
        <v>689</v>
      </c>
      <c r="B414" s="16" t="s">
        <v>690</v>
      </c>
      <c r="C414" s="17" t="s">
        <v>584</v>
      </c>
      <c r="D414" s="17" t="s">
        <v>29</v>
      </c>
      <c r="E414" s="17"/>
      <c r="F414" s="24">
        <v>129</v>
      </c>
      <c r="G414" s="24">
        <v>129</v>
      </c>
      <c r="H414" s="24">
        <v>129</v>
      </c>
      <c r="I414" s="17" t="s">
        <v>691</v>
      </c>
      <c r="J414" s="19" t="s">
        <v>239</v>
      </c>
      <c r="K414" s="46">
        <v>1500</v>
      </c>
      <c r="L414" s="46">
        <v>1500</v>
      </c>
      <c r="M414" s="47">
        <v>1500</v>
      </c>
    </row>
    <row r="415" spans="1:13" ht="26.25" thickBot="1" x14ac:dyDescent="0.3">
      <c r="A415" s="15" t="s">
        <v>692</v>
      </c>
      <c r="B415" s="16" t="s">
        <v>693</v>
      </c>
      <c r="C415" s="17" t="s">
        <v>584</v>
      </c>
      <c r="D415" s="17" t="s">
        <v>29</v>
      </c>
      <c r="E415" s="17"/>
      <c r="F415" s="24">
        <v>300</v>
      </c>
      <c r="G415" s="24">
        <v>300</v>
      </c>
      <c r="H415" s="24">
        <v>300</v>
      </c>
      <c r="I415" s="17" t="s">
        <v>694</v>
      </c>
      <c r="J415" s="19" t="s">
        <v>19</v>
      </c>
      <c r="K415" s="46">
        <v>100</v>
      </c>
      <c r="L415" s="46">
        <v>100</v>
      </c>
      <c r="M415" s="47">
        <v>100</v>
      </c>
    </row>
    <row r="416" spans="1:13" ht="27.75" customHeight="1" x14ac:dyDescent="0.25">
      <c r="A416" s="85" t="s">
        <v>695</v>
      </c>
      <c r="B416" s="88" t="s">
        <v>696</v>
      </c>
      <c r="C416" s="88"/>
      <c r="D416" s="17" t="s">
        <v>135</v>
      </c>
      <c r="E416" s="17"/>
      <c r="F416" s="18">
        <f>SUM(F417:F417)+281.1</f>
        <v>281.10000000000002</v>
      </c>
      <c r="G416" s="18">
        <f>SUM(G417:G417)</f>
        <v>0</v>
      </c>
      <c r="H416" s="18">
        <f>SUM(H417:H417)</f>
        <v>0</v>
      </c>
      <c r="I416" s="17" t="s">
        <v>697</v>
      </c>
      <c r="J416" s="19" t="s">
        <v>239</v>
      </c>
      <c r="K416" s="46">
        <v>30</v>
      </c>
      <c r="L416" s="46"/>
      <c r="M416" s="47"/>
    </row>
    <row r="417" spans="1:13" ht="15.75" thickBot="1" x14ac:dyDescent="0.3">
      <c r="A417" s="87"/>
      <c r="B417" s="90"/>
      <c r="C417" s="90"/>
      <c r="D417" s="21"/>
      <c r="E417" s="21"/>
      <c r="F417" s="22">
        <v>0</v>
      </c>
      <c r="G417" s="22">
        <v>0</v>
      </c>
      <c r="H417" s="22">
        <v>0</v>
      </c>
      <c r="I417" s="21" t="s">
        <v>698</v>
      </c>
      <c r="J417" s="23" t="s">
        <v>239</v>
      </c>
      <c r="K417" s="48">
        <v>17</v>
      </c>
      <c r="L417" s="48"/>
      <c r="M417" s="49"/>
    </row>
    <row r="418" spans="1:13" ht="39" thickBot="1" x14ac:dyDescent="0.3">
      <c r="A418" s="15" t="s">
        <v>699</v>
      </c>
      <c r="B418" s="16" t="s">
        <v>700</v>
      </c>
      <c r="C418" s="17"/>
      <c r="D418" s="17" t="s">
        <v>35</v>
      </c>
      <c r="E418" s="17"/>
      <c r="F418" s="24">
        <v>140</v>
      </c>
      <c r="G418" s="24">
        <v>0</v>
      </c>
      <c r="H418" s="24">
        <v>0</v>
      </c>
      <c r="I418" s="17" t="s">
        <v>701</v>
      </c>
      <c r="J418" s="19" t="s">
        <v>239</v>
      </c>
      <c r="K418" s="46">
        <v>28</v>
      </c>
      <c r="L418" s="46"/>
      <c r="M418" s="47"/>
    </row>
    <row r="419" spans="1:13" ht="26.25" customHeight="1" thickBot="1" x14ac:dyDescent="0.3">
      <c r="A419" s="7" t="s">
        <v>702</v>
      </c>
      <c r="B419" s="94" t="s">
        <v>703</v>
      </c>
      <c r="C419" s="95"/>
      <c r="D419" s="95"/>
      <c r="E419" s="96"/>
      <c r="F419" s="9">
        <f>SUM(F420:F420)</f>
        <v>11295.699999999999</v>
      </c>
      <c r="G419" s="9">
        <f>SUM(G420:G420)</f>
        <v>7736.3</v>
      </c>
      <c r="H419" s="9">
        <f>SUM(H420:H420)</f>
        <v>7703.5</v>
      </c>
      <c r="I419" s="8" t="s">
        <v>704</v>
      </c>
      <c r="J419" s="10" t="s">
        <v>239</v>
      </c>
      <c r="K419" s="50">
        <v>2</v>
      </c>
      <c r="L419" s="50">
        <v>2</v>
      </c>
      <c r="M419" s="51">
        <v>2</v>
      </c>
    </row>
    <row r="420" spans="1:13" ht="26.25" customHeight="1" thickBot="1" x14ac:dyDescent="0.3">
      <c r="A420" s="11" t="s">
        <v>705</v>
      </c>
      <c r="B420" s="65" t="s">
        <v>706</v>
      </c>
      <c r="C420" s="66"/>
      <c r="D420" s="66"/>
      <c r="E420" s="67"/>
      <c r="F420" s="13">
        <f>F421+F423+F424+F429+F432+F433+F435+F440+F443+F447+F451+F452+F456+F461+F462+F463+F465+F469</f>
        <v>11295.699999999999</v>
      </c>
      <c r="G420" s="13">
        <f>G421+G423+G424+G429+G432+G433+G435+G440+G443+G447+G451+G452+G456+G461+G462+G463+G465+G469</f>
        <v>7736.3</v>
      </c>
      <c r="H420" s="13">
        <f>H421+H423+H424+H429+H432+H433+H435+H440+H443+H447+H451+H452+H456+H461+H462+H463+H465+H469</f>
        <v>7703.5</v>
      </c>
      <c r="I420" s="82"/>
      <c r="J420" s="83"/>
      <c r="K420" s="83"/>
      <c r="L420" s="83"/>
      <c r="M420" s="84"/>
    </row>
    <row r="421" spans="1:13" ht="28.5" customHeight="1" x14ac:dyDescent="0.25">
      <c r="A421" s="85" t="s">
        <v>707</v>
      </c>
      <c r="B421" s="88" t="s">
        <v>708</v>
      </c>
      <c r="C421" s="88" t="s">
        <v>709</v>
      </c>
      <c r="D421" s="17" t="s">
        <v>29</v>
      </c>
      <c r="E421" s="17" t="s">
        <v>614</v>
      </c>
      <c r="F421" s="18">
        <f>SUM(F422:F422)</f>
        <v>0</v>
      </c>
      <c r="G421" s="18">
        <f>SUM(G422:G422)+306</f>
        <v>306</v>
      </c>
      <c r="H421" s="18">
        <f>SUM(H422:H422)+599</f>
        <v>599</v>
      </c>
      <c r="I421" s="17" t="s">
        <v>710</v>
      </c>
      <c r="J421" s="19" t="s">
        <v>19</v>
      </c>
      <c r="K421" s="19"/>
      <c r="L421" s="19">
        <v>100</v>
      </c>
      <c r="M421" s="40"/>
    </row>
    <row r="422" spans="1:13" ht="15.75" thickBot="1" x14ac:dyDescent="0.3">
      <c r="A422" s="87"/>
      <c r="B422" s="90"/>
      <c r="C422" s="90"/>
      <c r="D422" s="21"/>
      <c r="E422" s="21"/>
      <c r="F422" s="22">
        <v>0</v>
      </c>
      <c r="G422" s="22">
        <v>0</v>
      </c>
      <c r="H422" s="22">
        <v>0</v>
      </c>
      <c r="I422" s="21" t="s">
        <v>711</v>
      </c>
      <c r="J422" s="23" t="s">
        <v>19</v>
      </c>
      <c r="K422" s="23"/>
      <c r="L422" s="23">
        <v>50</v>
      </c>
      <c r="M422" s="41">
        <v>100</v>
      </c>
    </row>
    <row r="423" spans="1:13" ht="26.25" thickBot="1" x14ac:dyDescent="0.3">
      <c r="A423" s="15" t="s">
        <v>712</v>
      </c>
      <c r="B423" s="16" t="s">
        <v>713</v>
      </c>
      <c r="C423" s="17" t="s">
        <v>714</v>
      </c>
      <c r="D423" s="17" t="s">
        <v>29</v>
      </c>
      <c r="E423" s="17" t="s">
        <v>614</v>
      </c>
      <c r="F423" s="24">
        <v>0</v>
      </c>
      <c r="G423" s="24">
        <v>500</v>
      </c>
      <c r="H423" s="24">
        <v>367.3</v>
      </c>
      <c r="I423" s="17" t="s">
        <v>715</v>
      </c>
      <c r="J423" s="19" t="s">
        <v>19</v>
      </c>
      <c r="K423" s="19"/>
      <c r="L423" s="19">
        <v>60</v>
      </c>
      <c r="M423" s="40">
        <v>100</v>
      </c>
    </row>
    <row r="424" spans="1:13" ht="25.5" x14ac:dyDescent="0.25">
      <c r="A424" s="85" t="s">
        <v>716</v>
      </c>
      <c r="B424" s="88" t="s">
        <v>717</v>
      </c>
      <c r="C424" s="88" t="s">
        <v>714</v>
      </c>
      <c r="D424" s="17"/>
      <c r="E424" s="17" t="s">
        <v>614</v>
      </c>
      <c r="F424" s="18">
        <f>SUM(F425:F428)</f>
        <v>1417.9</v>
      </c>
      <c r="G424" s="18">
        <f>SUM(G425:G428)</f>
        <v>644.20000000000005</v>
      </c>
      <c r="H424" s="18">
        <f>SUM(H425:H428)</f>
        <v>900</v>
      </c>
      <c r="I424" s="17" t="s">
        <v>718</v>
      </c>
      <c r="J424" s="19" t="s">
        <v>19</v>
      </c>
      <c r="K424" s="19">
        <v>100</v>
      </c>
      <c r="L424" s="19"/>
      <c r="M424" s="40"/>
    </row>
    <row r="425" spans="1:13" ht="25.5" x14ac:dyDescent="0.25">
      <c r="A425" s="86"/>
      <c r="B425" s="89"/>
      <c r="C425" s="89"/>
      <c r="D425" s="21" t="s">
        <v>35</v>
      </c>
      <c r="E425" s="21"/>
      <c r="F425" s="22">
        <v>423.7</v>
      </c>
      <c r="G425" s="22">
        <v>0</v>
      </c>
      <c r="H425" s="22">
        <v>0</v>
      </c>
      <c r="I425" s="21" t="s">
        <v>719</v>
      </c>
      <c r="J425" s="23" t="s">
        <v>19</v>
      </c>
      <c r="K425" s="23">
        <v>10</v>
      </c>
      <c r="L425" s="23">
        <v>100</v>
      </c>
      <c r="M425" s="41"/>
    </row>
    <row r="426" spans="1:13" ht="25.5" x14ac:dyDescent="0.25">
      <c r="A426" s="86"/>
      <c r="B426" s="89"/>
      <c r="C426" s="89"/>
      <c r="D426" s="21" t="s">
        <v>29</v>
      </c>
      <c r="E426" s="21"/>
      <c r="F426" s="22">
        <v>994.2</v>
      </c>
      <c r="G426" s="22">
        <v>644.20000000000005</v>
      </c>
      <c r="H426" s="22">
        <v>900</v>
      </c>
      <c r="I426" s="21" t="s">
        <v>720</v>
      </c>
      <c r="J426" s="23" t="s">
        <v>19</v>
      </c>
      <c r="K426" s="23">
        <v>100</v>
      </c>
      <c r="L426" s="23"/>
      <c r="M426" s="41"/>
    </row>
    <row r="427" spans="1:13" ht="25.5" x14ac:dyDescent="0.25">
      <c r="A427" s="86"/>
      <c r="B427" s="89"/>
      <c r="C427" s="89"/>
      <c r="D427" s="21"/>
      <c r="E427" s="21"/>
      <c r="F427" s="22">
        <v>0</v>
      </c>
      <c r="G427" s="22">
        <v>0</v>
      </c>
      <c r="H427" s="22">
        <v>0</v>
      </c>
      <c r="I427" s="21" t="s">
        <v>721</v>
      </c>
      <c r="J427" s="23" t="s">
        <v>19</v>
      </c>
      <c r="K427" s="23"/>
      <c r="L427" s="23"/>
      <c r="M427" s="41">
        <v>20</v>
      </c>
    </row>
    <row r="428" spans="1:13" ht="26.25" thickBot="1" x14ac:dyDescent="0.3">
      <c r="A428" s="87"/>
      <c r="B428" s="90"/>
      <c r="C428" s="90"/>
      <c r="D428" s="21"/>
      <c r="E428" s="21"/>
      <c r="F428" s="22">
        <v>0</v>
      </c>
      <c r="G428" s="22">
        <v>0</v>
      </c>
      <c r="H428" s="22">
        <v>0</v>
      </c>
      <c r="I428" s="21" t="s">
        <v>722</v>
      </c>
      <c r="J428" s="23" t="s">
        <v>19</v>
      </c>
      <c r="K428" s="23"/>
      <c r="L428" s="23"/>
      <c r="M428" s="41">
        <v>20</v>
      </c>
    </row>
    <row r="429" spans="1:13" x14ac:dyDescent="0.25">
      <c r="A429" s="85" t="s">
        <v>723</v>
      </c>
      <c r="B429" s="88" t="s">
        <v>724</v>
      </c>
      <c r="C429" s="88" t="s">
        <v>709</v>
      </c>
      <c r="D429" s="17"/>
      <c r="E429" s="17"/>
      <c r="F429" s="18">
        <f>SUM(F430:F431)</f>
        <v>665</v>
      </c>
      <c r="G429" s="18">
        <f>SUM(G430:G431)</f>
        <v>0</v>
      </c>
      <c r="H429" s="18">
        <f>SUM(H430:H431)</f>
        <v>0</v>
      </c>
      <c r="I429" s="17" t="s">
        <v>725</v>
      </c>
      <c r="J429" s="19" t="s">
        <v>19</v>
      </c>
      <c r="K429" s="19">
        <v>100</v>
      </c>
      <c r="L429" s="19"/>
      <c r="M429" s="40"/>
    </row>
    <row r="430" spans="1:13" x14ac:dyDescent="0.25">
      <c r="A430" s="86"/>
      <c r="B430" s="89"/>
      <c r="C430" s="89"/>
      <c r="D430" s="21" t="s">
        <v>556</v>
      </c>
      <c r="E430" s="21"/>
      <c r="F430" s="22">
        <v>415</v>
      </c>
      <c r="G430" s="22">
        <v>0</v>
      </c>
      <c r="H430" s="22">
        <v>0</v>
      </c>
      <c r="I430" s="21"/>
      <c r="J430" s="23"/>
      <c r="K430" s="23"/>
      <c r="L430" s="23"/>
      <c r="M430" s="41"/>
    </row>
    <row r="431" spans="1:13" ht="15.75" thickBot="1" x14ac:dyDescent="0.3">
      <c r="A431" s="87"/>
      <c r="B431" s="90"/>
      <c r="C431" s="90"/>
      <c r="D431" s="21" t="s">
        <v>29</v>
      </c>
      <c r="E431" s="21"/>
      <c r="F431" s="22">
        <v>250</v>
      </c>
      <c r="G431" s="22">
        <v>0</v>
      </c>
      <c r="H431" s="22">
        <v>0</v>
      </c>
      <c r="I431" s="21"/>
      <c r="J431" s="23"/>
      <c r="K431" s="23"/>
      <c r="L431" s="23"/>
      <c r="M431" s="41"/>
    </row>
    <row r="432" spans="1:13" ht="39" thickBot="1" x14ac:dyDescent="0.3">
      <c r="A432" s="15" t="s">
        <v>726</v>
      </c>
      <c r="B432" s="16" t="s">
        <v>727</v>
      </c>
      <c r="C432" s="17" t="s">
        <v>728</v>
      </c>
      <c r="D432" s="17" t="s">
        <v>29</v>
      </c>
      <c r="E432" s="17" t="s">
        <v>614</v>
      </c>
      <c r="F432" s="24">
        <v>118</v>
      </c>
      <c r="G432" s="24">
        <v>218</v>
      </c>
      <c r="H432" s="24">
        <v>300</v>
      </c>
      <c r="I432" s="17" t="s">
        <v>729</v>
      </c>
      <c r="J432" s="19" t="s">
        <v>239</v>
      </c>
      <c r="K432" s="19">
        <v>1</v>
      </c>
      <c r="L432" s="19">
        <v>2</v>
      </c>
      <c r="M432" s="40">
        <v>2</v>
      </c>
    </row>
    <row r="433" spans="1:13" ht="51" x14ac:dyDescent="0.25">
      <c r="A433" s="85" t="s">
        <v>730</v>
      </c>
      <c r="B433" s="88" t="s">
        <v>731</v>
      </c>
      <c r="C433" s="88" t="s">
        <v>584</v>
      </c>
      <c r="D433" s="17" t="s">
        <v>29</v>
      </c>
      <c r="E433" s="17" t="s">
        <v>614</v>
      </c>
      <c r="F433" s="18">
        <f>SUM(F434:F434)+105</f>
        <v>105</v>
      </c>
      <c r="G433" s="18">
        <f>SUM(G434:G434)+297.3</f>
        <v>297.3</v>
      </c>
      <c r="H433" s="18">
        <f>SUM(H434:H434)+300</f>
        <v>300</v>
      </c>
      <c r="I433" s="17" t="s">
        <v>732</v>
      </c>
      <c r="J433" s="19" t="s">
        <v>239</v>
      </c>
      <c r="K433" s="19">
        <v>5</v>
      </c>
      <c r="L433" s="19">
        <v>3</v>
      </c>
      <c r="M433" s="40"/>
    </row>
    <row r="434" spans="1:13" ht="39" thickBot="1" x14ac:dyDescent="0.3">
      <c r="A434" s="87"/>
      <c r="B434" s="90"/>
      <c r="C434" s="90"/>
      <c r="D434" s="21"/>
      <c r="E434" s="21"/>
      <c r="F434" s="22">
        <v>0</v>
      </c>
      <c r="G434" s="22">
        <v>0</v>
      </c>
      <c r="H434" s="22">
        <v>0</v>
      </c>
      <c r="I434" s="21" t="s">
        <v>733</v>
      </c>
      <c r="J434" s="23" t="s">
        <v>239</v>
      </c>
      <c r="K434" s="23"/>
      <c r="L434" s="23">
        <v>2</v>
      </c>
      <c r="M434" s="41">
        <v>5</v>
      </c>
    </row>
    <row r="435" spans="1:13" ht="38.25" x14ac:dyDescent="0.25">
      <c r="A435" s="85" t="s">
        <v>734</v>
      </c>
      <c r="B435" s="88" t="s">
        <v>735</v>
      </c>
      <c r="C435" s="88" t="s">
        <v>714</v>
      </c>
      <c r="D435" s="17"/>
      <c r="E435" s="17" t="s">
        <v>614</v>
      </c>
      <c r="F435" s="18">
        <f>SUM(F436:F439)</f>
        <v>1182</v>
      </c>
      <c r="G435" s="18">
        <f>SUM(G436:G439)</f>
        <v>1782</v>
      </c>
      <c r="H435" s="18">
        <f>SUM(H436:H439)</f>
        <v>1800</v>
      </c>
      <c r="I435" s="17" t="s">
        <v>736</v>
      </c>
      <c r="J435" s="19" t="s">
        <v>239</v>
      </c>
      <c r="K435" s="19">
        <v>1</v>
      </c>
      <c r="L435" s="19">
        <v>1</v>
      </c>
      <c r="M435" s="40">
        <v>2</v>
      </c>
    </row>
    <row r="436" spans="1:13" ht="25.5" x14ac:dyDescent="0.25">
      <c r="A436" s="86"/>
      <c r="B436" s="89"/>
      <c r="C436" s="89"/>
      <c r="D436" s="21" t="s">
        <v>29</v>
      </c>
      <c r="E436" s="21"/>
      <c r="F436" s="22">
        <v>1182</v>
      </c>
      <c r="G436" s="22">
        <v>1782</v>
      </c>
      <c r="H436" s="22">
        <v>1800</v>
      </c>
      <c r="I436" s="21" t="s">
        <v>737</v>
      </c>
      <c r="J436" s="23" t="s">
        <v>239</v>
      </c>
      <c r="K436" s="23">
        <v>1</v>
      </c>
      <c r="L436" s="23">
        <v>1</v>
      </c>
      <c r="M436" s="41">
        <v>1</v>
      </c>
    </row>
    <row r="437" spans="1:13" ht="38.25" x14ac:dyDescent="0.25">
      <c r="A437" s="86"/>
      <c r="B437" s="89"/>
      <c r="C437" s="89"/>
      <c r="D437" s="21"/>
      <c r="E437" s="21"/>
      <c r="F437" s="22">
        <v>0</v>
      </c>
      <c r="G437" s="22">
        <v>0</v>
      </c>
      <c r="H437" s="22">
        <v>0</v>
      </c>
      <c r="I437" s="21" t="s">
        <v>738</v>
      </c>
      <c r="J437" s="23" t="s">
        <v>239</v>
      </c>
      <c r="K437" s="23">
        <v>2</v>
      </c>
      <c r="L437" s="23">
        <v>1</v>
      </c>
      <c r="M437" s="41">
        <v>1</v>
      </c>
    </row>
    <row r="438" spans="1:13" ht="29.25" customHeight="1" x14ac:dyDescent="0.25">
      <c r="A438" s="86"/>
      <c r="B438" s="89"/>
      <c r="C438" s="89"/>
      <c r="D438" s="21"/>
      <c r="E438" s="21"/>
      <c r="F438" s="22">
        <v>0</v>
      </c>
      <c r="G438" s="22">
        <v>0</v>
      </c>
      <c r="H438" s="22">
        <v>0</v>
      </c>
      <c r="I438" s="21" t="s">
        <v>739</v>
      </c>
      <c r="J438" s="23" t="s">
        <v>239</v>
      </c>
      <c r="K438" s="23">
        <v>1</v>
      </c>
      <c r="L438" s="23">
        <v>1</v>
      </c>
      <c r="M438" s="41">
        <v>2</v>
      </c>
    </row>
    <row r="439" spans="1:13" ht="26.25" thickBot="1" x14ac:dyDescent="0.3">
      <c r="A439" s="87"/>
      <c r="B439" s="90"/>
      <c r="C439" s="90"/>
      <c r="D439" s="21"/>
      <c r="E439" s="21"/>
      <c r="F439" s="22">
        <v>0</v>
      </c>
      <c r="G439" s="22">
        <v>0</v>
      </c>
      <c r="H439" s="22">
        <v>0</v>
      </c>
      <c r="I439" s="21" t="s">
        <v>740</v>
      </c>
      <c r="J439" s="23" t="s">
        <v>239</v>
      </c>
      <c r="K439" s="23">
        <v>1</v>
      </c>
      <c r="L439" s="23">
        <v>1</v>
      </c>
      <c r="M439" s="41">
        <v>1</v>
      </c>
    </row>
    <row r="440" spans="1:13" x14ac:dyDescent="0.25">
      <c r="A440" s="85" t="s">
        <v>741</v>
      </c>
      <c r="B440" s="88" t="s">
        <v>742</v>
      </c>
      <c r="C440" s="88" t="s">
        <v>714</v>
      </c>
      <c r="D440" s="17"/>
      <c r="E440" s="17" t="s">
        <v>614</v>
      </c>
      <c r="F440" s="18">
        <f>SUM(F441:F442)</f>
        <v>610</v>
      </c>
      <c r="G440" s="18">
        <f>SUM(G441:G442)</f>
        <v>500</v>
      </c>
      <c r="H440" s="18">
        <f>SUM(H441:H442)</f>
        <v>0</v>
      </c>
      <c r="I440" s="17" t="s">
        <v>743</v>
      </c>
      <c r="J440" s="19" t="s">
        <v>19</v>
      </c>
      <c r="K440" s="19">
        <v>60</v>
      </c>
      <c r="L440" s="19">
        <v>100</v>
      </c>
      <c r="M440" s="40"/>
    </row>
    <row r="441" spans="1:13" x14ac:dyDescent="0.25">
      <c r="A441" s="86"/>
      <c r="B441" s="89"/>
      <c r="C441" s="89"/>
      <c r="D441" s="21" t="s">
        <v>29</v>
      </c>
      <c r="E441" s="21"/>
      <c r="F441" s="22">
        <v>0</v>
      </c>
      <c r="G441" s="22">
        <v>500</v>
      </c>
      <c r="H441" s="22">
        <v>0</v>
      </c>
      <c r="I441" s="21"/>
      <c r="J441" s="23"/>
      <c r="K441" s="23"/>
      <c r="L441" s="23"/>
      <c r="M441" s="41"/>
    </row>
    <row r="442" spans="1:13" ht="15.75" thickBot="1" x14ac:dyDescent="0.3">
      <c r="A442" s="87"/>
      <c r="B442" s="90"/>
      <c r="C442" s="90"/>
      <c r="D442" s="21" t="s">
        <v>35</v>
      </c>
      <c r="E442" s="21"/>
      <c r="F442" s="22">
        <v>610</v>
      </c>
      <c r="G442" s="22">
        <v>0</v>
      </c>
      <c r="H442" s="22">
        <v>0</v>
      </c>
      <c r="I442" s="21"/>
      <c r="J442" s="23"/>
      <c r="K442" s="23"/>
      <c r="L442" s="23"/>
      <c r="M442" s="41"/>
    </row>
    <row r="443" spans="1:13" x14ac:dyDescent="0.25">
      <c r="A443" s="85" t="s">
        <v>744</v>
      </c>
      <c r="B443" s="88" t="s">
        <v>745</v>
      </c>
      <c r="C443" s="88" t="s">
        <v>709</v>
      </c>
      <c r="D443" s="17"/>
      <c r="E443" s="17"/>
      <c r="F443" s="18">
        <f>SUM(F444:F446)</f>
        <v>37.900000000000006</v>
      </c>
      <c r="G443" s="18">
        <f>SUM(G444:G446)</f>
        <v>0</v>
      </c>
      <c r="H443" s="18">
        <f>SUM(H444:H446)</f>
        <v>0</v>
      </c>
      <c r="I443" s="17" t="s">
        <v>166</v>
      </c>
      <c r="J443" s="19" t="s">
        <v>23</v>
      </c>
      <c r="K443" s="19">
        <v>1</v>
      </c>
      <c r="L443" s="19"/>
      <c r="M443" s="40"/>
    </row>
    <row r="444" spans="1:13" x14ac:dyDescent="0.25">
      <c r="A444" s="86"/>
      <c r="B444" s="89"/>
      <c r="C444" s="89"/>
      <c r="D444" s="21" t="s">
        <v>135</v>
      </c>
      <c r="E444" s="21"/>
      <c r="F444" s="22">
        <v>33.700000000000003</v>
      </c>
      <c r="G444" s="22">
        <v>0</v>
      </c>
      <c r="H444" s="22">
        <v>0</v>
      </c>
      <c r="I444" s="21" t="s">
        <v>746</v>
      </c>
      <c r="J444" s="23" t="s">
        <v>213</v>
      </c>
      <c r="K444" s="23">
        <v>2</v>
      </c>
      <c r="L444" s="23"/>
      <c r="M444" s="41"/>
    </row>
    <row r="445" spans="1:13" x14ac:dyDescent="0.25">
      <c r="A445" s="86"/>
      <c r="B445" s="89"/>
      <c r="C445" s="89"/>
      <c r="D445" s="21" t="s">
        <v>29</v>
      </c>
      <c r="E445" s="21"/>
      <c r="F445" s="22">
        <v>1.2</v>
      </c>
      <c r="G445" s="22"/>
      <c r="H445" s="22"/>
      <c r="I445" s="21"/>
      <c r="J445" s="23"/>
      <c r="K445" s="23"/>
      <c r="L445" s="23"/>
      <c r="M445" s="41"/>
    </row>
    <row r="446" spans="1:13" ht="15.75" thickBot="1" x14ac:dyDescent="0.3">
      <c r="A446" s="87"/>
      <c r="B446" s="90"/>
      <c r="C446" s="90"/>
      <c r="D446" s="21" t="s">
        <v>127</v>
      </c>
      <c r="E446" s="21"/>
      <c r="F446" s="22">
        <v>3</v>
      </c>
      <c r="G446" s="22"/>
      <c r="H446" s="22"/>
      <c r="I446" s="21"/>
      <c r="J446" s="23"/>
      <c r="K446" s="23"/>
      <c r="L446" s="23"/>
      <c r="M446" s="41"/>
    </row>
    <row r="447" spans="1:13" ht="15" customHeight="1" x14ac:dyDescent="0.25">
      <c r="A447" s="85" t="s">
        <v>747</v>
      </c>
      <c r="B447" s="88" t="s">
        <v>748</v>
      </c>
      <c r="C447" s="88" t="s">
        <v>709</v>
      </c>
      <c r="D447" s="17"/>
      <c r="E447" s="17"/>
      <c r="F447" s="18">
        <f>SUM(F448:F450)</f>
        <v>12.200000000000001</v>
      </c>
      <c r="G447" s="18">
        <f>SUM(G448:G450)</f>
        <v>0</v>
      </c>
      <c r="H447" s="18">
        <f>SUM(H448:H450)</f>
        <v>0</v>
      </c>
      <c r="I447" s="17" t="s">
        <v>166</v>
      </c>
      <c r="J447" s="19" t="s">
        <v>23</v>
      </c>
      <c r="K447" s="19">
        <v>1</v>
      </c>
      <c r="L447" s="19"/>
      <c r="M447" s="40"/>
    </row>
    <row r="448" spans="1:13" x14ac:dyDescent="0.25">
      <c r="A448" s="86"/>
      <c r="B448" s="89"/>
      <c r="C448" s="89"/>
      <c r="D448" s="21" t="s">
        <v>135</v>
      </c>
      <c r="E448" s="21"/>
      <c r="F448" s="22">
        <v>8.3000000000000007</v>
      </c>
      <c r="G448" s="22">
        <v>0</v>
      </c>
      <c r="H448" s="22">
        <v>0</v>
      </c>
      <c r="I448" s="21"/>
      <c r="J448" s="23"/>
      <c r="K448" s="23"/>
      <c r="L448" s="23"/>
      <c r="M448" s="41"/>
    </row>
    <row r="449" spans="1:13" x14ac:dyDescent="0.25">
      <c r="A449" s="86"/>
      <c r="B449" s="89"/>
      <c r="C449" s="89"/>
      <c r="D449" s="21" t="s">
        <v>127</v>
      </c>
      <c r="E449" s="21"/>
      <c r="F449" s="22">
        <v>0.9</v>
      </c>
      <c r="G449" s="22">
        <v>0</v>
      </c>
      <c r="H449" s="22">
        <v>0</v>
      </c>
      <c r="I449" s="21"/>
      <c r="J449" s="23"/>
      <c r="K449" s="23"/>
      <c r="L449" s="23"/>
      <c r="M449" s="41"/>
    </row>
    <row r="450" spans="1:13" ht="15.75" thickBot="1" x14ac:dyDescent="0.3">
      <c r="A450" s="87"/>
      <c r="B450" s="90"/>
      <c r="C450" s="90"/>
      <c r="D450" s="21" t="s">
        <v>35</v>
      </c>
      <c r="E450" s="21"/>
      <c r="F450" s="22">
        <v>3</v>
      </c>
      <c r="G450" s="22">
        <v>0</v>
      </c>
      <c r="H450" s="22">
        <v>0</v>
      </c>
      <c r="I450" s="21"/>
      <c r="J450" s="23"/>
      <c r="K450" s="23"/>
      <c r="L450" s="23"/>
      <c r="M450" s="41"/>
    </row>
    <row r="451" spans="1:13" ht="51.75" hidden="1" thickBot="1" x14ac:dyDescent="0.3">
      <c r="A451" s="15" t="s">
        <v>749</v>
      </c>
      <c r="B451" s="16" t="s">
        <v>750</v>
      </c>
      <c r="C451" s="17" t="s">
        <v>709</v>
      </c>
      <c r="D451" s="17"/>
      <c r="E451" s="17"/>
      <c r="F451" s="24">
        <v>0</v>
      </c>
      <c r="G451" s="24">
        <v>0</v>
      </c>
      <c r="H451" s="24">
        <v>0</v>
      </c>
      <c r="I451" s="17"/>
      <c r="J451" s="19"/>
      <c r="K451" s="19"/>
      <c r="L451" s="19"/>
      <c r="M451" s="40"/>
    </row>
    <row r="452" spans="1:13" x14ac:dyDescent="0.25">
      <c r="A452" s="85" t="s">
        <v>751</v>
      </c>
      <c r="B452" s="88" t="s">
        <v>752</v>
      </c>
      <c r="C452" s="88" t="s">
        <v>753</v>
      </c>
      <c r="D452" s="17"/>
      <c r="E452" s="17"/>
      <c r="F452" s="18">
        <f>SUM(F453:F455)</f>
        <v>935</v>
      </c>
      <c r="G452" s="18">
        <f>SUM(G453:G455)</f>
        <v>250</v>
      </c>
      <c r="H452" s="18">
        <f>SUM(H453:H455)</f>
        <v>300</v>
      </c>
      <c r="I452" s="17" t="s">
        <v>754</v>
      </c>
      <c r="J452" s="19" t="s">
        <v>239</v>
      </c>
      <c r="K452" s="19">
        <v>1</v>
      </c>
      <c r="L452" s="19">
        <v>1</v>
      </c>
      <c r="M452" s="40">
        <v>1</v>
      </c>
    </row>
    <row r="453" spans="1:13" ht="25.5" x14ac:dyDescent="0.25">
      <c r="A453" s="86"/>
      <c r="B453" s="89"/>
      <c r="C453" s="89"/>
      <c r="D453" s="21" t="s">
        <v>35</v>
      </c>
      <c r="E453" s="21"/>
      <c r="F453" s="22">
        <v>429.3</v>
      </c>
      <c r="G453" s="22">
        <v>0</v>
      </c>
      <c r="H453" s="22">
        <v>0</v>
      </c>
      <c r="I453" s="21" t="s">
        <v>755</v>
      </c>
      <c r="J453" s="23" t="s">
        <v>239</v>
      </c>
      <c r="K453" s="23">
        <v>9</v>
      </c>
      <c r="L453" s="23">
        <v>10</v>
      </c>
      <c r="M453" s="41">
        <v>10</v>
      </c>
    </row>
    <row r="454" spans="1:13" x14ac:dyDescent="0.25">
      <c r="A454" s="86"/>
      <c r="B454" s="89"/>
      <c r="C454" s="89"/>
      <c r="D454" s="21" t="s">
        <v>29</v>
      </c>
      <c r="E454" s="21"/>
      <c r="F454" s="22">
        <v>505.7</v>
      </c>
      <c r="G454" s="22">
        <v>250</v>
      </c>
      <c r="H454" s="22">
        <v>300</v>
      </c>
      <c r="I454" s="21" t="s">
        <v>756</v>
      </c>
      <c r="J454" s="23" t="s">
        <v>23</v>
      </c>
      <c r="K454" s="23">
        <v>10</v>
      </c>
      <c r="L454" s="23"/>
      <c r="M454" s="41"/>
    </row>
    <row r="455" spans="1:13" ht="26.25" thickBot="1" x14ac:dyDescent="0.3">
      <c r="A455" s="87"/>
      <c r="B455" s="90"/>
      <c r="C455" s="90"/>
      <c r="D455" s="21"/>
      <c r="E455" s="21"/>
      <c r="F455" s="22">
        <v>0</v>
      </c>
      <c r="G455" s="22">
        <v>0</v>
      </c>
      <c r="H455" s="22">
        <v>0</v>
      </c>
      <c r="I455" s="21" t="s">
        <v>757</v>
      </c>
      <c r="J455" s="23" t="s">
        <v>23</v>
      </c>
      <c r="K455" s="23">
        <v>4</v>
      </c>
      <c r="L455" s="23"/>
      <c r="M455" s="41"/>
    </row>
    <row r="456" spans="1:13" x14ac:dyDescent="0.25">
      <c r="A456" s="85" t="s">
        <v>758</v>
      </c>
      <c r="B456" s="88" t="s">
        <v>759</v>
      </c>
      <c r="C456" s="88" t="s">
        <v>753</v>
      </c>
      <c r="D456" s="17"/>
      <c r="E456" s="17"/>
      <c r="F456" s="18">
        <f>SUM(F457:F460)</f>
        <v>5735.0999999999995</v>
      </c>
      <c r="G456" s="18">
        <f>SUM(G457:G460)</f>
        <v>900</v>
      </c>
      <c r="H456" s="18">
        <f>SUM(H457:H460)</f>
        <v>0</v>
      </c>
      <c r="I456" s="17" t="s">
        <v>760</v>
      </c>
      <c r="J456" s="19" t="s">
        <v>23</v>
      </c>
      <c r="K456" s="19">
        <v>6</v>
      </c>
      <c r="L456" s="19">
        <v>1</v>
      </c>
      <c r="M456" s="40"/>
    </row>
    <row r="457" spans="1:13" x14ac:dyDescent="0.25">
      <c r="A457" s="86"/>
      <c r="B457" s="89"/>
      <c r="C457" s="89"/>
      <c r="D457" s="21" t="s">
        <v>35</v>
      </c>
      <c r="E457" s="21"/>
      <c r="F457" s="22">
        <v>132.4</v>
      </c>
      <c r="G457" s="22">
        <v>0</v>
      </c>
      <c r="H457" s="22">
        <v>0</v>
      </c>
      <c r="I457" s="21"/>
      <c r="J457" s="23"/>
      <c r="K457" s="23"/>
      <c r="L457" s="23"/>
      <c r="M457" s="41"/>
    </row>
    <row r="458" spans="1:13" x14ac:dyDescent="0.25">
      <c r="A458" s="86"/>
      <c r="B458" s="89"/>
      <c r="C458" s="89"/>
      <c r="D458" s="21" t="s">
        <v>127</v>
      </c>
      <c r="E458" s="21"/>
      <c r="F458" s="22">
        <v>845.1</v>
      </c>
      <c r="G458" s="22">
        <v>0</v>
      </c>
      <c r="H458" s="22">
        <v>0</v>
      </c>
      <c r="I458" s="21"/>
      <c r="J458" s="23"/>
      <c r="K458" s="23"/>
      <c r="L458" s="23"/>
      <c r="M458" s="41"/>
    </row>
    <row r="459" spans="1:13" x14ac:dyDescent="0.25">
      <c r="A459" s="86"/>
      <c r="B459" s="89"/>
      <c r="C459" s="89"/>
      <c r="D459" s="21" t="s">
        <v>143</v>
      </c>
      <c r="E459" s="21"/>
      <c r="F459" s="22">
        <v>3138.9</v>
      </c>
      <c r="G459" s="22">
        <v>0</v>
      </c>
      <c r="H459" s="22">
        <v>0</v>
      </c>
      <c r="I459" s="21"/>
      <c r="J459" s="23"/>
      <c r="K459" s="23"/>
      <c r="L459" s="23"/>
      <c r="M459" s="41"/>
    </row>
    <row r="460" spans="1:13" ht="15.75" thickBot="1" x14ac:dyDescent="0.3">
      <c r="A460" s="87"/>
      <c r="B460" s="90"/>
      <c r="C460" s="90"/>
      <c r="D460" s="21" t="s">
        <v>29</v>
      </c>
      <c r="E460" s="21"/>
      <c r="F460" s="22">
        <v>1618.7</v>
      </c>
      <c r="G460" s="22">
        <v>900</v>
      </c>
      <c r="H460" s="22">
        <v>0</v>
      </c>
      <c r="I460" s="21"/>
      <c r="J460" s="23"/>
      <c r="K460" s="23"/>
      <c r="L460" s="23"/>
      <c r="M460" s="41"/>
    </row>
    <row r="461" spans="1:13" ht="39" thickBot="1" x14ac:dyDescent="0.3">
      <c r="A461" s="15" t="s">
        <v>761</v>
      </c>
      <c r="B461" s="16" t="s">
        <v>762</v>
      </c>
      <c r="C461" s="17" t="s">
        <v>728</v>
      </c>
      <c r="D461" s="17" t="s">
        <v>29</v>
      </c>
      <c r="E461" s="17"/>
      <c r="F461" s="24">
        <v>80</v>
      </c>
      <c r="G461" s="24">
        <v>80</v>
      </c>
      <c r="H461" s="24">
        <v>90</v>
      </c>
      <c r="I461" s="17" t="s">
        <v>763</v>
      </c>
      <c r="J461" s="19" t="s">
        <v>19</v>
      </c>
      <c r="K461" s="19">
        <v>100</v>
      </c>
      <c r="L461" s="19">
        <v>100</v>
      </c>
      <c r="M461" s="40">
        <v>100</v>
      </c>
    </row>
    <row r="462" spans="1:13" ht="39" thickBot="1" x14ac:dyDescent="0.3">
      <c r="A462" s="15" t="s">
        <v>764</v>
      </c>
      <c r="B462" s="16" t="s">
        <v>765</v>
      </c>
      <c r="C462" s="17" t="s">
        <v>584</v>
      </c>
      <c r="D462" s="17" t="s">
        <v>29</v>
      </c>
      <c r="E462" s="17" t="s">
        <v>614</v>
      </c>
      <c r="F462" s="24">
        <v>200</v>
      </c>
      <c r="G462" s="24">
        <v>200</v>
      </c>
      <c r="H462" s="24">
        <v>400</v>
      </c>
      <c r="I462" s="17" t="s">
        <v>766</v>
      </c>
      <c r="J462" s="19" t="s">
        <v>239</v>
      </c>
      <c r="K462" s="19">
        <v>1</v>
      </c>
      <c r="L462" s="19">
        <v>1</v>
      </c>
      <c r="M462" s="40">
        <v>1</v>
      </c>
    </row>
    <row r="463" spans="1:13" ht="16.5" customHeight="1" x14ac:dyDescent="0.25">
      <c r="A463" s="85" t="s">
        <v>767</v>
      </c>
      <c r="B463" s="88" t="s">
        <v>768</v>
      </c>
      <c r="C463" s="88" t="s">
        <v>584</v>
      </c>
      <c r="D463" s="17"/>
      <c r="E463" s="17" t="s">
        <v>614</v>
      </c>
      <c r="F463" s="18">
        <f>SUM(F464:F464)</f>
        <v>197.6</v>
      </c>
      <c r="G463" s="18">
        <f>SUM(G464:G464)</f>
        <v>0</v>
      </c>
      <c r="H463" s="18">
        <f>SUM(H464:H464)</f>
        <v>0</v>
      </c>
      <c r="I463" s="17" t="s">
        <v>769</v>
      </c>
      <c r="J463" s="19" t="s">
        <v>23</v>
      </c>
      <c r="K463" s="19">
        <v>1</v>
      </c>
      <c r="L463" s="19"/>
      <c r="M463" s="40"/>
    </row>
    <row r="464" spans="1:13" ht="15.75" thickBot="1" x14ac:dyDescent="0.3">
      <c r="A464" s="87"/>
      <c r="B464" s="90"/>
      <c r="C464" s="90"/>
      <c r="D464" s="21" t="s">
        <v>35</v>
      </c>
      <c r="E464" s="21"/>
      <c r="F464" s="22">
        <v>197.6</v>
      </c>
      <c r="G464" s="22">
        <v>0</v>
      </c>
      <c r="H464" s="22">
        <v>0</v>
      </c>
      <c r="I464" s="21"/>
      <c r="J464" s="23"/>
      <c r="K464" s="23"/>
      <c r="L464" s="23"/>
      <c r="M464" s="41"/>
    </row>
    <row r="465" spans="1:13" ht="17.25" customHeight="1" x14ac:dyDescent="0.25">
      <c r="A465" s="85" t="s">
        <v>770</v>
      </c>
      <c r="B465" s="88" t="s">
        <v>771</v>
      </c>
      <c r="C465" s="88" t="s">
        <v>709</v>
      </c>
      <c r="D465" s="17"/>
      <c r="E465" s="17" t="s">
        <v>614</v>
      </c>
      <c r="F465" s="18">
        <f>SUM(F466:F468)</f>
        <v>0</v>
      </c>
      <c r="G465" s="18">
        <f>SUM(G466:G468)</f>
        <v>882.3</v>
      </c>
      <c r="H465" s="18">
        <f>SUM(H466:H468)</f>
        <v>882.5</v>
      </c>
      <c r="I465" s="17" t="s">
        <v>335</v>
      </c>
      <c r="J465" s="19" t="s">
        <v>19</v>
      </c>
      <c r="K465" s="19"/>
      <c r="L465" s="19">
        <v>30</v>
      </c>
      <c r="M465" s="40">
        <v>100</v>
      </c>
    </row>
    <row r="466" spans="1:13" x14ac:dyDescent="0.25">
      <c r="A466" s="86"/>
      <c r="B466" s="89"/>
      <c r="C466" s="89"/>
      <c r="D466" s="21" t="s">
        <v>135</v>
      </c>
      <c r="E466" s="21"/>
      <c r="F466" s="22">
        <v>0</v>
      </c>
      <c r="G466" s="22">
        <v>750</v>
      </c>
      <c r="H466" s="22">
        <v>750</v>
      </c>
      <c r="I466" s="21" t="s">
        <v>746</v>
      </c>
      <c r="J466" s="23" t="s">
        <v>213</v>
      </c>
      <c r="K466" s="23"/>
      <c r="L466" s="23"/>
      <c r="M466" s="41">
        <v>10</v>
      </c>
    </row>
    <row r="467" spans="1:13" x14ac:dyDescent="0.25">
      <c r="A467" s="86"/>
      <c r="B467" s="89"/>
      <c r="C467" s="89"/>
      <c r="D467" s="21" t="s">
        <v>29</v>
      </c>
      <c r="E467" s="21"/>
      <c r="F467" s="22"/>
      <c r="G467" s="22">
        <v>77</v>
      </c>
      <c r="H467" s="22">
        <v>77.099999999999994</v>
      </c>
      <c r="I467" s="21"/>
      <c r="J467" s="23"/>
      <c r="K467" s="23"/>
      <c r="L467" s="23"/>
      <c r="M467" s="41"/>
    </row>
    <row r="468" spans="1:13" ht="15.75" thickBot="1" x14ac:dyDescent="0.3">
      <c r="A468" s="87"/>
      <c r="B468" s="90"/>
      <c r="C468" s="90"/>
      <c r="D468" s="21" t="s">
        <v>127</v>
      </c>
      <c r="E468" s="21"/>
      <c r="F468" s="22"/>
      <c r="G468" s="22">
        <v>55.3</v>
      </c>
      <c r="H468" s="22">
        <v>55.4</v>
      </c>
      <c r="I468" s="21"/>
      <c r="J468" s="23"/>
      <c r="K468" s="23"/>
      <c r="L468" s="23"/>
      <c r="M468" s="41"/>
    </row>
    <row r="469" spans="1:13" x14ac:dyDescent="0.25">
      <c r="A469" s="85" t="s">
        <v>772</v>
      </c>
      <c r="B469" s="88" t="s">
        <v>773</v>
      </c>
      <c r="C469" s="88" t="s">
        <v>709</v>
      </c>
      <c r="D469" s="17"/>
      <c r="E469" s="17" t="s">
        <v>614</v>
      </c>
      <c r="F469" s="18">
        <f>SUM(F470:F472)</f>
        <v>0</v>
      </c>
      <c r="G469" s="18">
        <f>SUM(G470:G472)</f>
        <v>1176.5</v>
      </c>
      <c r="H469" s="18">
        <f>SUM(H470:H472)</f>
        <v>1764.6999999999998</v>
      </c>
      <c r="I469" s="17" t="s">
        <v>335</v>
      </c>
      <c r="J469" s="19" t="s">
        <v>19</v>
      </c>
      <c r="K469" s="19"/>
      <c r="L469" s="19">
        <v>50</v>
      </c>
      <c r="M469" s="40">
        <v>100</v>
      </c>
    </row>
    <row r="470" spans="1:13" x14ac:dyDescent="0.25">
      <c r="A470" s="86"/>
      <c r="B470" s="89"/>
      <c r="C470" s="89"/>
      <c r="D470" s="21" t="s">
        <v>127</v>
      </c>
      <c r="E470" s="21"/>
      <c r="F470" s="22">
        <v>0</v>
      </c>
      <c r="G470" s="22">
        <v>73.8</v>
      </c>
      <c r="H470" s="22">
        <v>110.6</v>
      </c>
      <c r="I470" s="21" t="s">
        <v>746</v>
      </c>
      <c r="J470" s="23" t="s">
        <v>213</v>
      </c>
      <c r="K470" s="23"/>
      <c r="L470" s="23"/>
      <c r="M470" s="41">
        <v>1</v>
      </c>
    </row>
    <row r="471" spans="1:13" x14ac:dyDescent="0.25">
      <c r="A471" s="86"/>
      <c r="B471" s="89"/>
      <c r="C471" s="89"/>
      <c r="D471" s="21" t="s">
        <v>135</v>
      </c>
      <c r="E471" s="21"/>
      <c r="F471" s="22">
        <v>0</v>
      </c>
      <c r="G471" s="22">
        <v>1000</v>
      </c>
      <c r="H471" s="22">
        <v>1500</v>
      </c>
      <c r="I471" s="21" t="s">
        <v>774</v>
      </c>
      <c r="J471" s="23" t="s">
        <v>239</v>
      </c>
      <c r="K471" s="23"/>
      <c r="L471" s="23"/>
      <c r="M471" s="41">
        <v>100</v>
      </c>
    </row>
    <row r="472" spans="1:13" ht="15.75" thickBot="1" x14ac:dyDescent="0.3">
      <c r="A472" s="87"/>
      <c r="B472" s="90"/>
      <c r="C472" s="90"/>
      <c r="D472" s="21" t="s">
        <v>29</v>
      </c>
      <c r="E472" s="21"/>
      <c r="F472" s="22"/>
      <c r="G472" s="22">
        <v>102.7</v>
      </c>
      <c r="H472" s="22">
        <v>154.1</v>
      </c>
      <c r="I472" s="21"/>
      <c r="J472" s="23"/>
      <c r="K472" s="23"/>
      <c r="L472" s="23"/>
      <c r="M472" s="41"/>
    </row>
    <row r="473" spans="1:13" ht="26.25" thickBot="1" x14ac:dyDescent="0.3">
      <c r="A473" s="4" t="s">
        <v>775</v>
      </c>
      <c r="B473" s="5" t="s">
        <v>776</v>
      </c>
      <c r="C473" s="91" t="s">
        <v>777</v>
      </c>
      <c r="D473" s="92"/>
      <c r="E473" s="93"/>
      <c r="F473" s="6">
        <f>SUM(F474:F474)</f>
        <v>3939.2</v>
      </c>
      <c r="G473" s="6">
        <f>SUM(G474:G474)</f>
        <v>2513.4</v>
      </c>
      <c r="H473" s="6">
        <f>SUM(H474:H474)</f>
        <v>2600.4</v>
      </c>
      <c r="I473" s="68"/>
      <c r="J473" s="69"/>
      <c r="K473" s="69"/>
      <c r="L473" s="69"/>
      <c r="M473" s="70"/>
    </row>
    <row r="474" spans="1:13" ht="28.5" customHeight="1" thickBot="1" x14ac:dyDescent="0.3">
      <c r="A474" s="7" t="s">
        <v>778</v>
      </c>
      <c r="B474" s="94" t="s">
        <v>779</v>
      </c>
      <c r="C474" s="95"/>
      <c r="D474" s="95"/>
      <c r="E474" s="96"/>
      <c r="F474" s="9">
        <f>F475+F489+F504</f>
        <v>3939.2</v>
      </c>
      <c r="G474" s="9">
        <f>G475+G489+G504</f>
        <v>2513.4</v>
      </c>
      <c r="H474" s="9">
        <f>H475+H489+H504</f>
        <v>2600.4</v>
      </c>
      <c r="I474" s="8" t="s">
        <v>780</v>
      </c>
      <c r="J474" s="10" t="s">
        <v>19</v>
      </c>
      <c r="K474" s="10">
        <v>1</v>
      </c>
      <c r="L474" s="10">
        <v>1</v>
      </c>
      <c r="M474" s="45">
        <v>1</v>
      </c>
    </row>
    <row r="475" spans="1:13" ht="28.5" customHeight="1" thickBot="1" x14ac:dyDescent="0.3">
      <c r="A475" s="11" t="s">
        <v>781</v>
      </c>
      <c r="B475" s="65" t="s">
        <v>782</v>
      </c>
      <c r="C475" s="66"/>
      <c r="D475" s="66"/>
      <c r="E475" s="67"/>
      <c r="F475" s="13">
        <f>F476+F477+F482+F485+F488</f>
        <v>1846.5</v>
      </c>
      <c r="G475" s="13">
        <f>G476+G477+G482+G485+G488</f>
        <v>573</v>
      </c>
      <c r="H475" s="13">
        <f>H476+H477+H482+H485+H488</f>
        <v>660</v>
      </c>
      <c r="I475" s="82"/>
      <c r="J475" s="83"/>
      <c r="K475" s="83"/>
      <c r="L475" s="83"/>
      <c r="M475" s="84"/>
    </row>
    <row r="476" spans="1:13" ht="39" thickBot="1" x14ac:dyDescent="0.3">
      <c r="A476" s="15" t="s">
        <v>783</v>
      </c>
      <c r="B476" s="16" t="s">
        <v>784</v>
      </c>
      <c r="C476" s="17" t="s">
        <v>785</v>
      </c>
      <c r="D476" s="17" t="s">
        <v>29</v>
      </c>
      <c r="E476" s="17"/>
      <c r="F476" s="24">
        <v>148.69999999999999</v>
      </c>
      <c r="G476" s="24">
        <v>0</v>
      </c>
      <c r="H476" s="24">
        <v>0</v>
      </c>
      <c r="I476" s="17" t="s">
        <v>786</v>
      </c>
      <c r="J476" s="19" t="s">
        <v>19</v>
      </c>
      <c r="K476" s="19">
        <v>100</v>
      </c>
      <c r="L476" s="19"/>
      <c r="M476" s="40"/>
    </row>
    <row r="477" spans="1:13" x14ac:dyDescent="0.25">
      <c r="A477" s="85" t="s">
        <v>787</v>
      </c>
      <c r="B477" s="88" t="s">
        <v>788</v>
      </c>
      <c r="C477" s="88" t="s">
        <v>789</v>
      </c>
      <c r="D477" s="17"/>
      <c r="E477" s="17"/>
      <c r="F477" s="18">
        <f>SUM(F478:F481)</f>
        <v>1046.9000000000001</v>
      </c>
      <c r="G477" s="18">
        <f>SUM(G478:G481)</f>
        <v>0</v>
      </c>
      <c r="H477" s="18">
        <f>SUM(H478:H481)</f>
        <v>0</v>
      </c>
      <c r="I477" s="17" t="s">
        <v>760</v>
      </c>
      <c r="J477" s="19" t="s">
        <v>23</v>
      </c>
      <c r="K477" s="19">
        <v>1</v>
      </c>
      <c r="L477" s="19"/>
      <c r="M477" s="40"/>
    </row>
    <row r="478" spans="1:13" ht="25.5" x14ac:dyDescent="0.25">
      <c r="A478" s="86"/>
      <c r="B478" s="89"/>
      <c r="C478" s="89"/>
      <c r="D478" s="21" t="s">
        <v>127</v>
      </c>
      <c r="E478" s="21"/>
      <c r="F478" s="22">
        <v>154.80000000000001</v>
      </c>
      <c r="G478" s="22">
        <v>0</v>
      </c>
      <c r="H478" s="22">
        <v>0</v>
      </c>
      <c r="I478" s="21" t="s">
        <v>790</v>
      </c>
      <c r="J478" s="23" t="s">
        <v>23</v>
      </c>
      <c r="K478" s="23">
        <v>1</v>
      </c>
      <c r="L478" s="23"/>
      <c r="M478" s="41"/>
    </row>
    <row r="479" spans="1:13" x14ac:dyDescent="0.25">
      <c r="A479" s="86"/>
      <c r="B479" s="89"/>
      <c r="C479" s="89"/>
      <c r="D479" s="21" t="s">
        <v>143</v>
      </c>
      <c r="E479" s="21"/>
      <c r="F479" s="22">
        <v>515.9</v>
      </c>
      <c r="G479" s="22"/>
      <c r="H479" s="22"/>
      <c r="I479" s="21"/>
      <c r="J479" s="23"/>
      <c r="K479" s="23"/>
      <c r="L479" s="23"/>
      <c r="M479" s="41"/>
    </row>
    <row r="480" spans="1:13" x14ac:dyDescent="0.25">
      <c r="A480" s="86"/>
      <c r="B480" s="89"/>
      <c r="C480" s="89"/>
      <c r="D480" s="21" t="s">
        <v>29</v>
      </c>
      <c r="E480" s="21"/>
      <c r="F480" s="22">
        <v>341.3</v>
      </c>
      <c r="G480" s="22"/>
      <c r="H480" s="22"/>
      <c r="I480" s="21"/>
      <c r="J480" s="23"/>
      <c r="K480" s="23"/>
      <c r="L480" s="23"/>
      <c r="M480" s="41"/>
    </row>
    <row r="481" spans="1:13" ht="15.75" thickBot="1" x14ac:dyDescent="0.3">
      <c r="A481" s="87"/>
      <c r="B481" s="90"/>
      <c r="C481" s="90"/>
      <c r="D481" s="21" t="s">
        <v>35</v>
      </c>
      <c r="E481" s="21"/>
      <c r="F481" s="22">
        <v>34.9</v>
      </c>
      <c r="G481" s="22"/>
      <c r="H481" s="22"/>
      <c r="I481" s="21"/>
      <c r="J481" s="23"/>
      <c r="K481" s="23"/>
      <c r="L481" s="23"/>
      <c r="M481" s="41"/>
    </row>
    <row r="482" spans="1:13" ht="60" customHeight="1" x14ac:dyDescent="0.25">
      <c r="A482" s="85" t="s">
        <v>791</v>
      </c>
      <c r="B482" s="88" t="s">
        <v>792</v>
      </c>
      <c r="C482" s="88" t="s">
        <v>793</v>
      </c>
      <c r="D482" s="17"/>
      <c r="E482" s="17"/>
      <c r="F482" s="18">
        <f>SUM(F483:F484)</f>
        <v>360.9</v>
      </c>
      <c r="G482" s="18">
        <f>SUM(G483:G484)</f>
        <v>338</v>
      </c>
      <c r="H482" s="18">
        <f>SUM(H483:H484)</f>
        <v>360</v>
      </c>
      <c r="I482" s="17" t="s">
        <v>794</v>
      </c>
      <c r="J482" s="19" t="s">
        <v>19</v>
      </c>
      <c r="K482" s="19">
        <v>35</v>
      </c>
      <c r="L482" s="19">
        <v>35</v>
      </c>
      <c r="M482" s="40">
        <v>30</v>
      </c>
    </row>
    <row r="483" spans="1:13" x14ac:dyDescent="0.25">
      <c r="A483" s="86"/>
      <c r="B483" s="89"/>
      <c r="C483" s="89"/>
      <c r="D483" s="21" t="s">
        <v>29</v>
      </c>
      <c r="E483" s="21"/>
      <c r="F483" s="22">
        <v>310</v>
      </c>
      <c r="G483" s="22">
        <v>338</v>
      </c>
      <c r="H483" s="22">
        <v>360</v>
      </c>
      <c r="I483" s="21"/>
      <c r="J483" s="23"/>
      <c r="K483" s="23"/>
      <c r="L483" s="23"/>
      <c r="M483" s="41"/>
    </row>
    <row r="484" spans="1:13" ht="15.75" thickBot="1" x14ac:dyDescent="0.3">
      <c r="A484" s="87"/>
      <c r="B484" s="90"/>
      <c r="C484" s="90"/>
      <c r="D484" s="21" t="s">
        <v>35</v>
      </c>
      <c r="E484" s="21"/>
      <c r="F484" s="22">
        <v>50.9</v>
      </c>
      <c r="G484" s="22">
        <v>0</v>
      </c>
      <c r="H484" s="22">
        <v>0</v>
      </c>
      <c r="I484" s="21"/>
      <c r="J484" s="23"/>
      <c r="K484" s="23"/>
      <c r="L484" s="23"/>
      <c r="M484" s="41"/>
    </row>
    <row r="485" spans="1:13" ht="25.5" x14ac:dyDescent="0.25">
      <c r="A485" s="85" t="s">
        <v>795</v>
      </c>
      <c r="B485" s="88" t="s">
        <v>796</v>
      </c>
      <c r="C485" s="88" t="s">
        <v>797</v>
      </c>
      <c r="D485" s="17"/>
      <c r="E485" s="17"/>
      <c r="F485" s="18">
        <f>SUM(F486:F487)</f>
        <v>290</v>
      </c>
      <c r="G485" s="18">
        <f>SUM(G486:G487)</f>
        <v>235</v>
      </c>
      <c r="H485" s="18">
        <f>SUM(H486:H487)</f>
        <v>300</v>
      </c>
      <c r="I485" s="17" t="s">
        <v>798</v>
      </c>
      <c r="J485" s="19" t="s">
        <v>19</v>
      </c>
      <c r="K485" s="19">
        <v>100</v>
      </c>
      <c r="L485" s="19"/>
      <c r="M485" s="40"/>
    </row>
    <row r="486" spans="1:13" ht="16.5" customHeight="1" x14ac:dyDescent="0.25">
      <c r="A486" s="86"/>
      <c r="B486" s="89"/>
      <c r="C486" s="89"/>
      <c r="D486" s="21" t="s">
        <v>35</v>
      </c>
      <c r="E486" s="21"/>
      <c r="F486" s="22">
        <v>130</v>
      </c>
      <c r="G486" s="22">
        <v>0</v>
      </c>
      <c r="H486" s="22">
        <v>0</v>
      </c>
      <c r="I486" s="21" t="s">
        <v>799</v>
      </c>
      <c r="J486" s="23" t="s">
        <v>19</v>
      </c>
      <c r="K486" s="23"/>
      <c r="L486" s="23">
        <v>100</v>
      </c>
      <c r="M486" s="41"/>
    </row>
    <row r="487" spans="1:13" ht="26.25" thickBot="1" x14ac:dyDescent="0.3">
      <c r="A487" s="87"/>
      <c r="B487" s="90"/>
      <c r="C487" s="90"/>
      <c r="D487" s="21" t="s">
        <v>29</v>
      </c>
      <c r="E487" s="21"/>
      <c r="F487" s="22">
        <v>160</v>
      </c>
      <c r="G487" s="22">
        <v>235</v>
      </c>
      <c r="H487" s="22">
        <v>300</v>
      </c>
      <c r="I487" s="21" t="s">
        <v>800</v>
      </c>
      <c r="J487" s="23" t="s">
        <v>19</v>
      </c>
      <c r="K487" s="23"/>
      <c r="L487" s="23"/>
      <c r="M487" s="41">
        <v>100</v>
      </c>
    </row>
    <row r="488" spans="1:13" ht="51.75" hidden="1" thickBot="1" x14ac:dyDescent="0.3">
      <c r="A488" s="15" t="s">
        <v>801</v>
      </c>
      <c r="B488" s="16" t="s">
        <v>802</v>
      </c>
      <c r="C488" s="17" t="s">
        <v>803</v>
      </c>
      <c r="D488" s="17"/>
      <c r="E488" s="17"/>
      <c r="F488" s="24">
        <v>0</v>
      </c>
      <c r="G488" s="24">
        <v>0</v>
      </c>
      <c r="H488" s="24">
        <v>0</v>
      </c>
      <c r="I488" s="17"/>
      <c r="J488" s="19"/>
      <c r="K488" s="19"/>
      <c r="L488" s="19"/>
      <c r="M488" s="40"/>
    </row>
    <row r="489" spans="1:13" ht="27.75" customHeight="1" thickBot="1" x14ac:dyDescent="0.3">
      <c r="A489" s="11" t="s">
        <v>804</v>
      </c>
      <c r="B489" s="65" t="s">
        <v>805</v>
      </c>
      <c r="C489" s="66"/>
      <c r="D489" s="66"/>
      <c r="E489" s="67"/>
      <c r="F489" s="13">
        <f>F490+F491+F496+F501</f>
        <v>1475.5000000000002</v>
      </c>
      <c r="G489" s="13">
        <f>G490+G491+G496+G501</f>
        <v>1474.4</v>
      </c>
      <c r="H489" s="13">
        <f>H490+H491+H496+H501</f>
        <v>1474.4</v>
      </c>
      <c r="I489" s="82"/>
      <c r="J489" s="83"/>
      <c r="K489" s="83"/>
      <c r="L489" s="83"/>
      <c r="M489" s="84"/>
    </row>
    <row r="490" spans="1:13" ht="51.75" hidden="1" thickBot="1" x14ac:dyDescent="0.3">
      <c r="A490" s="15" t="s">
        <v>806</v>
      </c>
      <c r="B490" s="16" t="s">
        <v>807</v>
      </c>
      <c r="C490" s="17" t="s">
        <v>808</v>
      </c>
      <c r="D490" s="17"/>
      <c r="E490" s="17"/>
      <c r="F490" s="24">
        <v>0</v>
      </c>
      <c r="G490" s="24">
        <v>0</v>
      </c>
      <c r="H490" s="24">
        <v>0</v>
      </c>
      <c r="I490" s="17"/>
      <c r="J490" s="19"/>
      <c r="K490" s="19"/>
      <c r="L490" s="19"/>
      <c r="M490" s="40"/>
    </row>
    <row r="491" spans="1:13" x14ac:dyDescent="0.25">
      <c r="A491" s="85" t="s">
        <v>809</v>
      </c>
      <c r="B491" s="88" t="s">
        <v>810</v>
      </c>
      <c r="C491" s="88" t="s">
        <v>808</v>
      </c>
      <c r="D491" s="17"/>
      <c r="E491" s="17"/>
      <c r="F491" s="18">
        <f>SUM(F492:F495)</f>
        <v>151.10000000000002</v>
      </c>
      <c r="G491" s="18">
        <f>SUM(G492:G495)</f>
        <v>150</v>
      </c>
      <c r="H491" s="18">
        <f>SUM(H492:H495)</f>
        <v>150</v>
      </c>
      <c r="I491" s="17" t="s">
        <v>811</v>
      </c>
      <c r="J491" s="19" t="s">
        <v>239</v>
      </c>
      <c r="K491" s="46">
        <v>200</v>
      </c>
      <c r="L491" s="46">
        <v>200</v>
      </c>
      <c r="M491" s="47">
        <v>200</v>
      </c>
    </row>
    <row r="492" spans="1:13" x14ac:dyDescent="0.25">
      <c r="A492" s="86"/>
      <c r="B492" s="89"/>
      <c r="C492" s="89"/>
      <c r="D492" s="21" t="s">
        <v>122</v>
      </c>
      <c r="E492" s="21"/>
      <c r="F492" s="22">
        <v>1</v>
      </c>
      <c r="G492" s="22">
        <v>1</v>
      </c>
      <c r="H492" s="22">
        <v>1</v>
      </c>
      <c r="I492" s="21"/>
      <c r="J492" s="23"/>
      <c r="K492" s="48"/>
      <c r="L492" s="48"/>
      <c r="M492" s="49"/>
    </row>
    <row r="493" spans="1:13" x14ac:dyDescent="0.25">
      <c r="A493" s="86"/>
      <c r="B493" s="89"/>
      <c r="C493" s="89"/>
      <c r="D493" s="21" t="s">
        <v>120</v>
      </c>
      <c r="E493" s="21"/>
      <c r="F493" s="22">
        <v>2.7</v>
      </c>
      <c r="G493" s="22">
        <v>2.7</v>
      </c>
      <c r="H493" s="22">
        <v>2.7</v>
      </c>
      <c r="I493" s="21"/>
      <c r="J493" s="23"/>
      <c r="K493" s="48"/>
      <c r="L493" s="48"/>
      <c r="M493" s="49"/>
    </row>
    <row r="494" spans="1:13" x14ac:dyDescent="0.25">
      <c r="A494" s="86"/>
      <c r="B494" s="89"/>
      <c r="C494" s="89"/>
      <c r="D494" s="21" t="s">
        <v>35</v>
      </c>
      <c r="E494" s="21"/>
      <c r="F494" s="22">
        <v>1.1000000000000001</v>
      </c>
      <c r="G494" s="22">
        <v>0</v>
      </c>
      <c r="H494" s="22">
        <v>0</v>
      </c>
      <c r="I494" s="21"/>
      <c r="J494" s="23"/>
      <c r="K494" s="48"/>
      <c r="L494" s="48"/>
      <c r="M494" s="49"/>
    </row>
    <row r="495" spans="1:13" ht="15.75" thickBot="1" x14ac:dyDescent="0.3">
      <c r="A495" s="87"/>
      <c r="B495" s="90"/>
      <c r="C495" s="90"/>
      <c r="D495" s="21" t="s">
        <v>29</v>
      </c>
      <c r="E495" s="21"/>
      <c r="F495" s="22">
        <v>146.30000000000001</v>
      </c>
      <c r="G495" s="22">
        <v>146.30000000000001</v>
      </c>
      <c r="H495" s="22">
        <v>146.30000000000001</v>
      </c>
      <c r="I495" s="21"/>
      <c r="J495" s="23"/>
      <c r="K495" s="48"/>
      <c r="L495" s="48"/>
      <c r="M495" s="49"/>
    </row>
    <row r="496" spans="1:13" ht="25.5" x14ac:dyDescent="0.25">
      <c r="A496" s="85" t="s">
        <v>812</v>
      </c>
      <c r="B496" s="88" t="s">
        <v>813</v>
      </c>
      <c r="C496" s="88" t="s">
        <v>808</v>
      </c>
      <c r="D496" s="17"/>
      <c r="E496" s="17"/>
      <c r="F496" s="18">
        <f>SUM(F497:F500)</f>
        <v>1139.2</v>
      </c>
      <c r="G496" s="18">
        <f>SUM(G497:G500)</f>
        <v>1139.2</v>
      </c>
      <c r="H496" s="18">
        <f>SUM(H497:H500)</f>
        <v>1139.2</v>
      </c>
      <c r="I496" s="17" t="s">
        <v>814</v>
      </c>
      <c r="J496" s="19" t="s">
        <v>239</v>
      </c>
      <c r="K496" s="46">
        <v>63</v>
      </c>
      <c r="L496" s="46">
        <v>62</v>
      </c>
      <c r="M496" s="47">
        <v>60</v>
      </c>
    </row>
    <row r="497" spans="1:13" ht="25.5" x14ac:dyDescent="0.25">
      <c r="A497" s="86"/>
      <c r="B497" s="89"/>
      <c r="C497" s="89"/>
      <c r="D497" s="21" t="s">
        <v>493</v>
      </c>
      <c r="E497" s="21"/>
      <c r="F497" s="22">
        <v>858.6</v>
      </c>
      <c r="G497" s="22">
        <v>858.6</v>
      </c>
      <c r="H497" s="22">
        <v>858.6</v>
      </c>
      <c r="I497" s="21" t="s">
        <v>815</v>
      </c>
      <c r="J497" s="23" t="s">
        <v>239</v>
      </c>
      <c r="K497" s="48">
        <v>30000</v>
      </c>
      <c r="L497" s="48">
        <v>30000</v>
      </c>
      <c r="M497" s="49">
        <v>30000</v>
      </c>
    </row>
    <row r="498" spans="1:13" ht="25.5" x14ac:dyDescent="0.25">
      <c r="A498" s="86"/>
      <c r="B498" s="89"/>
      <c r="C498" s="89"/>
      <c r="D498" s="21" t="s">
        <v>29</v>
      </c>
      <c r="E498" s="21"/>
      <c r="F498" s="22">
        <v>280.60000000000002</v>
      </c>
      <c r="G498" s="22">
        <v>280.60000000000002</v>
      </c>
      <c r="H498" s="22">
        <v>280.60000000000002</v>
      </c>
      <c r="I498" s="21" t="s">
        <v>816</v>
      </c>
      <c r="J498" s="23" t="s">
        <v>239</v>
      </c>
      <c r="K498" s="48">
        <v>1</v>
      </c>
      <c r="L498" s="48">
        <v>1</v>
      </c>
      <c r="M498" s="49">
        <v>1</v>
      </c>
    </row>
    <row r="499" spans="1:13" x14ac:dyDescent="0.25">
      <c r="A499" s="86"/>
      <c r="B499" s="89"/>
      <c r="C499" s="89"/>
      <c r="D499" s="21"/>
      <c r="E499" s="21"/>
      <c r="F499" s="22">
        <v>0</v>
      </c>
      <c r="G499" s="22">
        <v>0</v>
      </c>
      <c r="H499" s="22">
        <v>0</v>
      </c>
      <c r="I499" s="21" t="s">
        <v>817</v>
      </c>
      <c r="J499" s="23" t="s">
        <v>239</v>
      </c>
      <c r="K499" s="48">
        <v>17000</v>
      </c>
      <c r="L499" s="48">
        <v>17000</v>
      </c>
      <c r="M499" s="49">
        <v>17000</v>
      </c>
    </row>
    <row r="500" spans="1:13" ht="26.25" thickBot="1" x14ac:dyDescent="0.3">
      <c r="A500" s="87"/>
      <c r="B500" s="90"/>
      <c r="C500" s="90"/>
      <c r="D500" s="21"/>
      <c r="E500" s="21"/>
      <c r="F500" s="22">
        <v>0</v>
      </c>
      <c r="G500" s="22">
        <v>0</v>
      </c>
      <c r="H500" s="22">
        <v>0</v>
      </c>
      <c r="I500" s="21" t="s">
        <v>818</v>
      </c>
      <c r="J500" s="23" t="s">
        <v>239</v>
      </c>
      <c r="K500" s="48">
        <v>64</v>
      </c>
      <c r="L500" s="48">
        <v>64</v>
      </c>
      <c r="M500" s="49">
        <v>64</v>
      </c>
    </row>
    <row r="501" spans="1:13" ht="38.25" customHeight="1" x14ac:dyDescent="0.25">
      <c r="A501" s="85" t="s">
        <v>819</v>
      </c>
      <c r="B501" s="88" t="s">
        <v>820</v>
      </c>
      <c r="C501" s="88" t="s">
        <v>808</v>
      </c>
      <c r="D501" s="17"/>
      <c r="E501" s="17"/>
      <c r="F501" s="18">
        <f>SUM(F502:F503)</f>
        <v>185.2</v>
      </c>
      <c r="G501" s="18">
        <f>SUM(G502:G503)</f>
        <v>185.2</v>
      </c>
      <c r="H501" s="18">
        <f>SUM(H502:H503)</f>
        <v>185.2</v>
      </c>
      <c r="I501" s="17" t="s">
        <v>821</v>
      </c>
      <c r="J501" s="19" t="s">
        <v>239</v>
      </c>
      <c r="K501" s="46">
        <v>1400</v>
      </c>
      <c r="L501" s="46">
        <v>1400</v>
      </c>
      <c r="M501" s="47">
        <v>1400</v>
      </c>
    </row>
    <row r="502" spans="1:13" x14ac:dyDescent="0.25">
      <c r="A502" s="86"/>
      <c r="B502" s="89"/>
      <c r="C502" s="89"/>
      <c r="D502" s="21" t="s">
        <v>493</v>
      </c>
      <c r="E502" s="21"/>
      <c r="F502" s="22">
        <v>185.2</v>
      </c>
      <c r="G502" s="22">
        <v>185.2</v>
      </c>
      <c r="H502" s="22">
        <v>185.2</v>
      </c>
      <c r="I502" s="21" t="s">
        <v>822</v>
      </c>
      <c r="J502" s="23" t="s">
        <v>239</v>
      </c>
      <c r="K502" s="48">
        <v>160</v>
      </c>
      <c r="L502" s="48">
        <v>160</v>
      </c>
      <c r="M502" s="49">
        <v>160</v>
      </c>
    </row>
    <row r="503" spans="1:13" ht="15.75" thickBot="1" x14ac:dyDescent="0.3">
      <c r="A503" s="87"/>
      <c r="B503" s="90"/>
      <c r="C503" s="90"/>
      <c r="D503" s="21"/>
      <c r="E503" s="21"/>
      <c r="F503" s="22">
        <v>0</v>
      </c>
      <c r="G503" s="22">
        <v>0</v>
      </c>
      <c r="H503" s="22">
        <v>0</v>
      </c>
      <c r="I503" s="21" t="s">
        <v>823</v>
      </c>
      <c r="J503" s="23" t="s">
        <v>239</v>
      </c>
      <c r="K503" s="48">
        <v>10</v>
      </c>
      <c r="L503" s="48">
        <v>10</v>
      </c>
      <c r="M503" s="49">
        <v>10</v>
      </c>
    </row>
    <row r="504" spans="1:13" ht="25.5" customHeight="1" thickBot="1" x14ac:dyDescent="0.3">
      <c r="A504" s="11" t="s">
        <v>824</v>
      </c>
      <c r="B504" s="65" t="s">
        <v>825</v>
      </c>
      <c r="C504" s="66"/>
      <c r="D504" s="66"/>
      <c r="E504" s="67"/>
      <c r="F504" s="13">
        <f>F505+F509+F512+F514+F515</f>
        <v>617.20000000000005</v>
      </c>
      <c r="G504" s="13">
        <f>G505+G509+G512+G514+G515</f>
        <v>466</v>
      </c>
      <c r="H504" s="13">
        <f>H505+H509+H512+H514+H515</f>
        <v>466</v>
      </c>
      <c r="I504" s="82"/>
      <c r="J504" s="83"/>
      <c r="K504" s="83"/>
      <c r="L504" s="83"/>
      <c r="M504" s="84"/>
    </row>
    <row r="505" spans="1:13" ht="39.75" customHeight="1" x14ac:dyDescent="0.25">
      <c r="A505" s="85" t="s">
        <v>826</v>
      </c>
      <c r="B505" s="88" t="s">
        <v>827</v>
      </c>
      <c r="C505" s="88" t="s">
        <v>828</v>
      </c>
      <c r="D505" s="17"/>
      <c r="E505" s="17"/>
      <c r="F505" s="18">
        <f>SUM(F506:F508)</f>
        <v>23.2</v>
      </c>
      <c r="G505" s="18">
        <f>SUM(G506:G508)</f>
        <v>0</v>
      </c>
      <c r="H505" s="18">
        <f>SUM(H506:H508)</f>
        <v>0</v>
      </c>
      <c r="I505" s="17" t="s">
        <v>829</v>
      </c>
      <c r="J505" s="19" t="s">
        <v>239</v>
      </c>
      <c r="K505" s="19">
        <v>15</v>
      </c>
      <c r="L505" s="19"/>
      <c r="M505" s="40"/>
    </row>
    <row r="506" spans="1:13" x14ac:dyDescent="0.25">
      <c r="A506" s="86"/>
      <c r="B506" s="89"/>
      <c r="C506" s="89"/>
      <c r="D506" s="21" t="s">
        <v>35</v>
      </c>
      <c r="E506" s="21"/>
      <c r="F506" s="22">
        <v>7.1</v>
      </c>
      <c r="G506" s="22">
        <v>0</v>
      </c>
      <c r="H506" s="22">
        <v>0</v>
      </c>
      <c r="I506" s="21"/>
      <c r="J506" s="23"/>
      <c r="K506" s="23"/>
      <c r="L506" s="23"/>
      <c r="M506" s="41"/>
    </row>
    <row r="507" spans="1:13" x14ac:dyDescent="0.25">
      <c r="A507" s="86"/>
      <c r="B507" s="89"/>
      <c r="C507" s="89"/>
      <c r="D507" s="21" t="s">
        <v>127</v>
      </c>
      <c r="E507" s="21"/>
      <c r="F507" s="22">
        <v>1.4</v>
      </c>
      <c r="G507" s="22">
        <v>0</v>
      </c>
      <c r="H507" s="22">
        <v>0</v>
      </c>
      <c r="I507" s="21"/>
      <c r="J507" s="23"/>
      <c r="K507" s="23"/>
      <c r="L507" s="23"/>
      <c r="M507" s="41"/>
    </row>
    <row r="508" spans="1:13" ht="15.75" thickBot="1" x14ac:dyDescent="0.3">
      <c r="A508" s="87"/>
      <c r="B508" s="90"/>
      <c r="C508" s="90"/>
      <c r="D508" s="21" t="s">
        <v>135</v>
      </c>
      <c r="E508" s="21"/>
      <c r="F508" s="22">
        <v>14.7</v>
      </c>
      <c r="G508" s="22">
        <v>0</v>
      </c>
      <c r="H508" s="22">
        <v>0</v>
      </c>
      <c r="I508" s="21"/>
      <c r="J508" s="23"/>
      <c r="K508" s="23"/>
      <c r="L508" s="23"/>
      <c r="M508" s="41"/>
    </row>
    <row r="509" spans="1:13" ht="36" customHeight="1" x14ac:dyDescent="0.25">
      <c r="A509" s="85" t="s">
        <v>830</v>
      </c>
      <c r="B509" s="88" t="s">
        <v>831</v>
      </c>
      <c r="C509" s="88" t="s">
        <v>803</v>
      </c>
      <c r="D509" s="17"/>
      <c r="E509" s="17"/>
      <c r="F509" s="18">
        <f>SUM(F510:F511)</f>
        <v>44</v>
      </c>
      <c r="G509" s="18">
        <f>SUM(G510:G511)</f>
        <v>0</v>
      </c>
      <c r="H509" s="18">
        <f>SUM(H510:H511)</f>
        <v>0</v>
      </c>
      <c r="I509" s="17" t="s">
        <v>832</v>
      </c>
      <c r="J509" s="19" t="s">
        <v>239</v>
      </c>
      <c r="K509" s="19">
        <v>181</v>
      </c>
      <c r="L509" s="19"/>
      <c r="M509" s="40"/>
    </row>
    <row r="510" spans="1:13" x14ac:dyDescent="0.25">
      <c r="A510" s="86"/>
      <c r="B510" s="89"/>
      <c r="C510" s="89"/>
      <c r="D510" s="21" t="s">
        <v>135</v>
      </c>
      <c r="E510" s="21"/>
      <c r="F510" s="22">
        <v>37.4</v>
      </c>
      <c r="G510" s="22">
        <v>0</v>
      </c>
      <c r="H510" s="22">
        <v>0</v>
      </c>
      <c r="I510" s="21"/>
      <c r="J510" s="23"/>
      <c r="K510" s="23"/>
      <c r="L510" s="23"/>
      <c r="M510" s="41"/>
    </row>
    <row r="511" spans="1:13" ht="15.75" thickBot="1" x14ac:dyDescent="0.3">
      <c r="A511" s="87"/>
      <c r="B511" s="90"/>
      <c r="C511" s="90"/>
      <c r="D511" s="21" t="s">
        <v>127</v>
      </c>
      <c r="E511" s="21"/>
      <c r="F511" s="22">
        <v>6.6</v>
      </c>
      <c r="G511" s="22">
        <v>0</v>
      </c>
      <c r="H511" s="22">
        <v>0</v>
      </c>
      <c r="I511" s="21"/>
      <c r="J511" s="23"/>
      <c r="K511" s="23"/>
      <c r="L511" s="23"/>
      <c r="M511" s="41"/>
    </row>
    <row r="512" spans="1:13" x14ac:dyDescent="0.25">
      <c r="A512" s="85" t="s">
        <v>833</v>
      </c>
      <c r="B512" s="88" t="s">
        <v>834</v>
      </c>
      <c r="C512" s="88" t="s">
        <v>777</v>
      </c>
      <c r="D512" s="17"/>
      <c r="E512" s="17" t="s">
        <v>835</v>
      </c>
      <c r="F512" s="18">
        <f>SUM(F513:F513)</f>
        <v>316</v>
      </c>
      <c r="G512" s="18">
        <f>SUM(G513:G513)</f>
        <v>316</v>
      </c>
      <c r="H512" s="18">
        <f>SUM(H513:H513)</f>
        <v>316</v>
      </c>
      <c r="I512" s="17" t="s">
        <v>836</v>
      </c>
      <c r="J512" s="19" t="s">
        <v>239</v>
      </c>
      <c r="K512" s="19">
        <v>12</v>
      </c>
      <c r="L512" s="19">
        <v>12</v>
      </c>
      <c r="M512" s="40">
        <v>12</v>
      </c>
    </row>
    <row r="513" spans="1:13" ht="15.75" thickBot="1" x14ac:dyDescent="0.3">
      <c r="A513" s="87"/>
      <c r="B513" s="90"/>
      <c r="C513" s="90"/>
      <c r="D513" s="21" t="s">
        <v>29</v>
      </c>
      <c r="E513" s="21"/>
      <c r="F513" s="22">
        <v>316</v>
      </c>
      <c r="G513" s="22">
        <v>316</v>
      </c>
      <c r="H513" s="22">
        <v>316</v>
      </c>
      <c r="I513" s="21" t="s">
        <v>837</v>
      </c>
      <c r="J513" s="23" t="s">
        <v>239</v>
      </c>
      <c r="K513" s="23">
        <v>8</v>
      </c>
      <c r="L513" s="23">
        <v>8</v>
      </c>
      <c r="M513" s="41">
        <v>8</v>
      </c>
    </row>
    <row r="514" spans="1:13" ht="64.5" thickBot="1" x14ac:dyDescent="0.3">
      <c r="A514" s="15" t="s">
        <v>838</v>
      </c>
      <c r="B514" s="16" t="s">
        <v>839</v>
      </c>
      <c r="C514" s="17" t="s">
        <v>133</v>
      </c>
      <c r="D514" s="17" t="s">
        <v>35</v>
      </c>
      <c r="E514" s="17"/>
      <c r="F514" s="24">
        <v>15.3</v>
      </c>
      <c r="G514" s="24">
        <v>0</v>
      </c>
      <c r="H514" s="24">
        <v>0</v>
      </c>
      <c r="I514" s="17" t="s">
        <v>166</v>
      </c>
      <c r="J514" s="19" t="s">
        <v>23</v>
      </c>
      <c r="K514" s="19">
        <v>1</v>
      </c>
      <c r="L514" s="19"/>
      <c r="M514" s="40"/>
    </row>
    <row r="515" spans="1:13" x14ac:dyDescent="0.25">
      <c r="A515" s="85" t="s">
        <v>840</v>
      </c>
      <c r="B515" s="88" t="s">
        <v>841</v>
      </c>
      <c r="C515" s="88" t="s">
        <v>842</v>
      </c>
      <c r="D515" s="17"/>
      <c r="E515" s="17"/>
      <c r="F515" s="18">
        <f>SUM(F516:F518)</f>
        <v>218.7</v>
      </c>
      <c r="G515" s="18">
        <f>SUM(G516:G518)</f>
        <v>150</v>
      </c>
      <c r="H515" s="18">
        <f>SUM(H516:H518)</f>
        <v>150</v>
      </c>
      <c r="I515" s="17" t="s">
        <v>843</v>
      </c>
      <c r="J515" s="19" t="s">
        <v>19</v>
      </c>
      <c r="K515" s="19">
        <v>100</v>
      </c>
      <c r="L515" s="19">
        <v>100</v>
      </c>
      <c r="M515" s="40">
        <v>100</v>
      </c>
    </row>
    <row r="516" spans="1:13" x14ac:dyDescent="0.25">
      <c r="A516" s="86"/>
      <c r="B516" s="89"/>
      <c r="C516" s="89"/>
      <c r="D516" s="21" t="s">
        <v>224</v>
      </c>
      <c r="E516" s="21"/>
      <c r="F516" s="22">
        <v>68.7</v>
      </c>
      <c r="G516" s="22">
        <v>0</v>
      </c>
      <c r="H516" s="22">
        <v>0</v>
      </c>
      <c r="I516" s="21"/>
      <c r="J516" s="23"/>
      <c r="K516" s="23"/>
      <c r="L516" s="23"/>
      <c r="M516" s="41"/>
    </row>
    <row r="517" spans="1:13" x14ac:dyDescent="0.25">
      <c r="A517" s="86"/>
      <c r="B517" s="89"/>
      <c r="C517" s="89"/>
      <c r="D517" s="21" t="s">
        <v>29</v>
      </c>
      <c r="E517" s="21"/>
      <c r="F517" s="22">
        <v>70</v>
      </c>
      <c r="G517" s="22">
        <v>70</v>
      </c>
      <c r="H517" s="22">
        <v>70</v>
      </c>
      <c r="I517" s="21"/>
      <c r="J517" s="23"/>
      <c r="K517" s="23"/>
      <c r="L517" s="23"/>
      <c r="M517" s="41"/>
    </row>
    <row r="518" spans="1:13" ht="15.75" thickBot="1" x14ac:dyDescent="0.3">
      <c r="A518" s="87"/>
      <c r="B518" s="90"/>
      <c r="C518" s="90"/>
      <c r="D518" s="21" t="s">
        <v>202</v>
      </c>
      <c r="E518" s="21"/>
      <c r="F518" s="22">
        <v>80</v>
      </c>
      <c r="G518" s="22">
        <v>80</v>
      </c>
      <c r="H518" s="22">
        <v>80</v>
      </c>
      <c r="I518" s="21"/>
      <c r="J518" s="23"/>
      <c r="K518" s="23"/>
      <c r="L518" s="23"/>
      <c r="M518" s="41"/>
    </row>
    <row r="519" spans="1:13" ht="27.75" customHeight="1" thickBot="1" x14ac:dyDescent="0.3">
      <c r="A519" s="4" t="s">
        <v>844</v>
      </c>
      <c r="B519" s="5" t="s">
        <v>845</v>
      </c>
      <c r="C519" s="91" t="s">
        <v>846</v>
      </c>
      <c r="D519" s="92"/>
      <c r="E519" s="93"/>
      <c r="F519" s="6">
        <f>SUM(F520:F520)</f>
        <v>62148.799999999996</v>
      </c>
      <c r="G519" s="6">
        <f>SUM(G520:G520)</f>
        <v>55976.899999999994</v>
      </c>
      <c r="H519" s="6">
        <f>SUM(H520:H520)</f>
        <v>55138.799999999996</v>
      </c>
      <c r="I519" s="68"/>
      <c r="J519" s="69"/>
      <c r="K519" s="69"/>
      <c r="L519" s="69"/>
      <c r="M519" s="70"/>
    </row>
    <row r="520" spans="1:13" ht="25.5" x14ac:dyDescent="0.25">
      <c r="A520" s="100" t="s">
        <v>847</v>
      </c>
      <c r="B520" s="103" t="s">
        <v>848</v>
      </c>
      <c r="C520" s="104"/>
      <c r="D520" s="104"/>
      <c r="E520" s="105"/>
      <c r="F520" s="9">
        <f>F521+F522+F523+F572+F589</f>
        <v>62148.799999999996</v>
      </c>
      <c r="G520" s="9">
        <f>G521+G522+G523+G572+G589</f>
        <v>55976.899999999994</v>
      </c>
      <c r="H520" s="9">
        <f>H521+H522+H523+H572+H589</f>
        <v>55138.799999999996</v>
      </c>
      <c r="I520" s="8" t="s">
        <v>849</v>
      </c>
      <c r="J520" s="10" t="s">
        <v>19</v>
      </c>
      <c r="K520" s="10">
        <v>20.5</v>
      </c>
      <c r="L520" s="10">
        <v>20.9</v>
      </c>
      <c r="M520" s="45">
        <v>20.9</v>
      </c>
    </row>
    <row r="521" spans="1:13" ht="25.5" x14ac:dyDescent="0.25">
      <c r="A521" s="101"/>
      <c r="B521" s="106"/>
      <c r="C521" s="107"/>
      <c r="D521" s="107"/>
      <c r="E521" s="108"/>
      <c r="F521" s="36">
        <v>0</v>
      </c>
      <c r="G521" s="36">
        <v>0</v>
      </c>
      <c r="H521" s="36">
        <v>0</v>
      </c>
      <c r="I521" s="37" t="s">
        <v>850</v>
      </c>
      <c r="J521" s="38" t="s">
        <v>19</v>
      </c>
      <c r="K521" s="38">
        <v>44.5</v>
      </c>
      <c r="L521" s="38">
        <v>44.5</v>
      </c>
      <c r="M521" s="42">
        <v>44.5</v>
      </c>
    </row>
    <row r="522" spans="1:13" ht="26.25" thickBot="1" x14ac:dyDescent="0.3">
      <c r="A522" s="102"/>
      <c r="B522" s="109"/>
      <c r="C522" s="110"/>
      <c r="D522" s="110"/>
      <c r="E522" s="111"/>
      <c r="F522" s="36">
        <v>0</v>
      </c>
      <c r="G522" s="36">
        <v>0</v>
      </c>
      <c r="H522" s="36">
        <v>0</v>
      </c>
      <c r="I522" s="37" t="s">
        <v>851</v>
      </c>
      <c r="J522" s="38" t="s">
        <v>19</v>
      </c>
      <c r="K522" s="38">
        <v>16.7</v>
      </c>
      <c r="L522" s="38">
        <v>16.7</v>
      </c>
      <c r="M522" s="42">
        <v>16.7</v>
      </c>
    </row>
    <row r="523" spans="1:13" ht="27.75" customHeight="1" thickBot="1" x14ac:dyDescent="0.3">
      <c r="A523" s="11" t="s">
        <v>852</v>
      </c>
      <c r="B523" s="65" t="s">
        <v>853</v>
      </c>
      <c r="C523" s="66"/>
      <c r="D523" s="66"/>
      <c r="E523" s="67"/>
      <c r="F523" s="13">
        <f>F524+F528+F530+F534+F540+F549+F552+F555+F558+F560+F561+F565+F568</f>
        <v>13835.000000000002</v>
      </c>
      <c r="G523" s="13">
        <f>G524+G528+G530+G534+G540+G549+G552+G555+G558+G560+G561+G565+G568+0.1</f>
        <v>13431.500000000002</v>
      </c>
      <c r="H523" s="13">
        <f>H524+H528+H530+H534+H540+H549+H552+H555+H558+H560+H561+H565+H568</f>
        <v>13453.400000000001</v>
      </c>
      <c r="I523" s="82"/>
      <c r="J523" s="83"/>
      <c r="K523" s="83"/>
      <c r="L523" s="83"/>
      <c r="M523" s="84"/>
    </row>
    <row r="524" spans="1:13" ht="21.75" customHeight="1" x14ac:dyDescent="0.25">
      <c r="A524" s="85" t="s">
        <v>854</v>
      </c>
      <c r="B524" s="88" t="s">
        <v>855</v>
      </c>
      <c r="C524" s="88" t="s">
        <v>856</v>
      </c>
      <c r="D524" s="17"/>
      <c r="E524" s="17"/>
      <c r="F524" s="18">
        <f>SUM(F525:F527)</f>
        <v>2283.4</v>
      </c>
      <c r="G524" s="18">
        <f>SUM(G525:G527)</f>
        <v>2425.4</v>
      </c>
      <c r="H524" s="18">
        <f>SUM(H525:H527)</f>
        <v>2425.4</v>
      </c>
      <c r="I524" s="17" t="s">
        <v>857</v>
      </c>
      <c r="J524" s="19" t="s">
        <v>239</v>
      </c>
      <c r="K524" s="46">
        <v>4</v>
      </c>
      <c r="L524" s="46">
        <v>4</v>
      </c>
      <c r="M524" s="47">
        <v>4</v>
      </c>
    </row>
    <row r="525" spans="1:13" x14ac:dyDescent="0.25">
      <c r="A525" s="86"/>
      <c r="B525" s="89"/>
      <c r="C525" s="89"/>
      <c r="D525" s="21" t="s">
        <v>35</v>
      </c>
      <c r="E525" s="21"/>
      <c r="F525" s="22">
        <v>725</v>
      </c>
      <c r="G525" s="22">
        <v>0</v>
      </c>
      <c r="H525" s="22">
        <v>0</v>
      </c>
      <c r="I525" s="21" t="s">
        <v>858</v>
      </c>
      <c r="J525" s="23" t="s">
        <v>239</v>
      </c>
      <c r="K525" s="48">
        <v>620</v>
      </c>
      <c r="L525" s="48">
        <v>620</v>
      </c>
      <c r="M525" s="49">
        <v>620</v>
      </c>
    </row>
    <row r="526" spans="1:13" x14ac:dyDescent="0.25">
      <c r="A526" s="86"/>
      <c r="B526" s="89"/>
      <c r="C526" s="89"/>
      <c r="D526" s="21" t="s">
        <v>29</v>
      </c>
      <c r="E526" s="21"/>
      <c r="F526" s="22">
        <v>0</v>
      </c>
      <c r="G526" s="22">
        <v>700</v>
      </c>
      <c r="H526" s="22">
        <v>700</v>
      </c>
      <c r="I526" s="21" t="s">
        <v>859</v>
      </c>
      <c r="J526" s="23" t="s">
        <v>239</v>
      </c>
      <c r="K526" s="48">
        <v>130</v>
      </c>
      <c r="L526" s="48">
        <v>130</v>
      </c>
      <c r="M526" s="49">
        <v>130</v>
      </c>
    </row>
    <row r="527" spans="1:13" ht="26.25" thickBot="1" x14ac:dyDescent="0.3">
      <c r="A527" s="87"/>
      <c r="B527" s="90"/>
      <c r="C527" s="90"/>
      <c r="D527" s="21" t="s">
        <v>493</v>
      </c>
      <c r="E527" s="21"/>
      <c r="F527" s="22">
        <v>1558.4</v>
      </c>
      <c r="G527" s="22">
        <v>1725.4</v>
      </c>
      <c r="H527" s="22">
        <v>1725.4</v>
      </c>
      <c r="I527" s="21" t="s">
        <v>860</v>
      </c>
      <c r="J527" s="23" t="s">
        <v>19</v>
      </c>
      <c r="K527" s="48">
        <v>100</v>
      </c>
      <c r="L527" s="48">
        <v>100</v>
      </c>
      <c r="M527" s="49">
        <v>100</v>
      </c>
    </row>
    <row r="528" spans="1:13" ht="27.75" customHeight="1" x14ac:dyDescent="0.25">
      <c r="A528" s="85" t="s">
        <v>861</v>
      </c>
      <c r="B528" s="88" t="s">
        <v>862</v>
      </c>
      <c r="C528" s="88" t="s">
        <v>856</v>
      </c>
      <c r="D528" s="17"/>
      <c r="E528" s="17"/>
      <c r="F528" s="18">
        <f>SUM(F529:F529)</f>
        <v>190.8</v>
      </c>
      <c r="G528" s="18">
        <f>SUM(G529:G529)</f>
        <v>190.8</v>
      </c>
      <c r="H528" s="18">
        <f>SUM(H529:H529)</f>
        <v>190.8</v>
      </c>
      <c r="I528" s="17" t="s">
        <v>863</v>
      </c>
      <c r="J528" s="19" t="s">
        <v>19</v>
      </c>
      <c r="K528" s="46">
        <v>10</v>
      </c>
      <c r="L528" s="46">
        <v>10</v>
      </c>
      <c r="M528" s="47">
        <v>10</v>
      </c>
    </row>
    <row r="529" spans="1:13" ht="15.75" thickBot="1" x14ac:dyDescent="0.3">
      <c r="A529" s="87"/>
      <c r="B529" s="90"/>
      <c r="C529" s="90"/>
      <c r="D529" s="21" t="s">
        <v>493</v>
      </c>
      <c r="E529" s="21"/>
      <c r="F529" s="22">
        <v>190.8</v>
      </c>
      <c r="G529" s="22">
        <v>190.8</v>
      </c>
      <c r="H529" s="22">
        <v>190.8</v>
      </c>
      <c r="I529" s="21"/>
      <c r="J529" s="23"/>
      <c r="K529" s="48"/>
      <c r="L529" s="48"/>
      <c r="M529" s="49"/>
    </row>
    <row r="530" spans="1:13" x14ac:dyDescent="0.25">
      <c r="A530" s="85" t="s">
        <v>864</v>
      </c>
      <c r="B530" s="88" t="s">
        <v>865</v>
      </c>
      <c r="C530" s="88" t="s">
        <v>866</v>
      </c>
      <c r="D530" s="17"/>
      <c r="E530" s="17"/>
      <c r="F530" s="18">
        <f>SUM(F531:F533)</f>
        <v>367.4</v>
      </c>
      <c r="G530" s="18">
        <f>SUM(G531:G533)</f>
        <v>321</v>
      </c>
      <c r="H530" s="18">
        <f>SUM(H531:H533)</f>
        <v>321</v>
      </c>
      <c r="I530" s="17" t="s">
        <v>867</v>
      </c>
      <c r="J530" s="19" t="s">
        <v>19</v>
      </c>
      <c r="K530" s="46">
        <v>70</v>
      </c>
      <c r="L530" s="46">
        <v>70</v>
      </c>
      <c r="M530" s="47">
        <v>70</v>
      </c>
    </row>
    <row r="531" spans="1:13" x14ac:dyDescent="0.25">
      <c r="A531" s="86"/>
      <c r="B531" s="89"/>
      <c r="C531" s="89"/>
      <c r="D531" s="21" t="s">
        <v>35</v>
      </c>
      <c r="E531" s="21"/>
      <c r="F531" s="22">
        <v>46.4</v>
      </c>
      <c r="G531" s="22">
        <v>0</v>
      </c>
      <c r="H531" s="22">
        <v>0</v>
      </c>
      <c r="I531" s="21"/>
      <c r="J531" s="23"/>
      <c r="K531" s="48"/>
      <c r="L531" s="48"/>
      <c r="M531" s="49"/>
    </row>
    <row r="532" spans="1:13" x14ac:dyDescent="0.25">
      <c r="A532" s="86"/>
      <c r="B532" s="89"/>
      <c r="C532" s="89"/>
      <c r="D532" s="21" t="s">
        <v>29</v>
      </c>
      <c r="E532" s="21"/>
      <c r="F532" s="22">
        <v>121</v>
      </c>
      <c r="G532" s="22">
        <v>121</v>
      </c>
      <c r="H532" s="22">
        <v>121</v>
      </c>
      <c r="I532" s="21"/>
      <c r="J532" s="23"/>
      <c r="K532" s="48"/>
      <c r="L532" s="48"/>
      <c r="M532" s="49"/>
    </row>
    <row r="533" spans="1:13" ht="15.75" thickBot="1" x14ac:dyDescent="0.3">
      <c r="A533" s="87"/>
      <c r="B533" s="90"/>
      <c r="C533" s="90"/>
      <c r="D533" s="21" t="s">
        <v>127</v>
      </c>
      <c r="E533" s="21"/>
      <c r="F533" s="22">
        <v>200</v>
      </c>
      <c r="G533" s="22">
        <v>200</v>
      </c>
      <c r="H533" s="22">
        <v>200</v>
      </c>
      <c r="I533" s="21"/>
      <c r="J533" s="23"/>
      <c r="K533" s="48"/>
      <c r="L533" s="48"/>
      <c r="M533" s="49"/>
    </row>
    <row r="534" spans="1:13" x14ac:dyDescent="0.25">
      <c r="A534" s="85" t="s">
        <v>868</v>
      </c>
      <c r="B534" s="88" t="s">
        <v>869</v>
      </c>
      <c r="C534" s="88" t="s">
        <v>856</v>
      </c>
      <c r="D534" s="17"/>
      <c r="E534" s="17"/>
      <c r="F534" s="18">
        <f>SUM(F535:F539)</f>
        <v>859.00000000000011</v>
      </c>
      <c r="G534" s="18">
        <f>SUM(G535:G539)</f>
        <v>859.00000000000011</v>
      </c>
      <c r="H534" s="18">
        <f>SUM(H535:H539)</f>
        <v>859.00000000000011</v>
      </c>
      <c r="I534" s="17" t="s">
        <v>857</v>
      </c>
      <c r="J534" s="19" t="s">
        <v>239</v>
      </c>
      <c r="K534" s="46">
        <v>8</v>
      </c>
      <c r="L534" s="46">
        <v>8</v>
      </c>
      <c r="M534" s="47">
        <v>8</v>
      </c>
    </row>
    <row r="535" spans="1:13" ht="25.5" x14ac:dyDescent="0.25">
      <c r="A535" s="86"/>
      <c r="B535" s="89"/>
      <c r="C535" s="89"/>
      <c r="D535" s="21" t="s">
        <v>493</v>
      </c>
      <c r="E535" s="21"/>
      <c r="F535" s="22">
        <v>293.10000000000002</v>
      </c>
      <c r="G535" s="22">
        <v>293.10000000000002</v>
      </c>
      <c r="H535" s="22">
        <v>293.10000000000002</v>
      </c>
      <c r="I535" s="21" t="s">
        <v>870</v>
      </c>
      <c r="J535" s="23" t="s">
        <v>19</v>
      </c>
      <c r="K535" s="48">
        <v>100</v>
      </c>
      <c r="L535" s="48">
        <v>100</v>
      </c>
      <c r="M535" s="49">
        <v>100</v>
      </c>
    </row>
    <row r="536" spans="1:13" ht="25.5" x14ac:dyDescent="0.25">
      <c r="A536" s="86"/>
      <c r="B536" s="89"/>
      <c r="C536" s="89"/>
      <c r="D536" s="21" t="s">
        <v>29</v>
      </c>
      <c r="E536" s="21"/>
      <c r="F536" s="22">
        <v>273.3</v>
      </c>
      <c r="G536" s="22">
        <v>273.3</v>
      </c>
      <c r="H536" s="22">
        <v>273.3</v>
      </c>
      <c r="I536" s="21" t="s">
        <v>871</v>
      </c>
      <c r="J536" s="23" t="s">
        <v>19</v>
      </c>
      <c r="K536" s="48">
        <v>100</v>
      </c>
      <c r="L536" s="48">
        <v>100</v>
      </c>
      <c r="M536" s="49">
        <v>100</v>
      </c>
    </row>
    <row r="537" spans="1:13" ht="17.25" customHeight="1" x14ac:dyDescent="0.25">
      <c r="A537" s="86"/>
      <c r="B537" s="89"/>
      <c r="C537" s="89"/>
      <c r="D537" s="21" t="s">
        <v>127</v>
      </c>
      <c r="E537" s="21"/>
      <c r="F537" s="22">
        <v>292.60000000000002</v>
      </c>
      <c r="G537" s="22">
        <v>292.60000000000002</v>
      </c>
      <c r="H537" s="22">
        <v>292.60000000000002</v>
      </c>
      <c r="I537" s="21" t="s">
        <v>872</v>
      </c>
      <c r="J537" s="23" t="s">
        <v>19</v>
      </c>
      <c r="K537" s="48">
        <v>95</v>
      </c>
      <c r="L537" s="48">
        <v>95</v>
      </c>
      <c r="M537" s="49">
        <v>95</v>
      </c>
    </row>
    <row r="538" spans="1:13" ht="25.5" x14ac:dyDescent="0.25">
      <c r="A538" s="86"/>
      <c r="B538" s="89"/>
      <c r="C538" s="89"/>
      <c r="D538" s="21"/>
      <c r="E538" s="21"/>
      <c r="F538" s="22">
        <v>0</v>
      </c>
      <c r="G538" s="22">
        <v>0</v>
      </c>
      <c r="H538" s="22">
        <v>0</v>
      </c>
      <c r="I538" s="21" t="s">
        <v>873</v>
      </c>
      <c r="J538" s="23" t="s">
        <v>19</v>
      </c>
      <c r="K538" s="48">
        <v>100</v>
      </c>
      <c r="L538" s="48">
        <v>100</v>
      </c>
      <c r="M538" s="49">
        <v>100</v>
      </c>
    </row>
    <row r="539" spans="1:13" ht="26.25" thickBot="1" x14ac:dyDescent="0.3">
      <c r="A539" s="87"/>
      <c r="B539" s="90"/>
      <c r="C539" s="90"/>
      <c r="D539" s="21"/>
      <c r="E539" s="21"/>
      <c r="F539" s="22">
        <v>0</v>
      </c>
      <c r="G539" s="22">
        <v>0</v>
      </c>
      <c r="H539" s="22">
        <v>0</v>
      </c>
      <c r="I539" s="21" t="s">
        <v>874</v>
      </c>
      <c r="J539" s="23" t="s">
        <v>19</v>
      </c>
      <c r="K539" s="48">
        <v>100</v>
      </c>
      <c r="L539" s="48">
        <v>100</v>
      </c>
      <c r="M539" s="49">
        <v>100</v>
      </c>
    </row>
    <row r="540" spans="1:13" x14ac:dyDescent="0.25">
      <c r="A540" s="85" t="s">
        <v>875</v>
      </c>
      <c r="B540" s="88" t="s">
        <v>876</v>
      </c>
      <c r="C540" s="88" t="s">
        <v>877</v>
      </c>
      <c r="D540" s="17"/>
      <c r="E540" s="17"/>
      <c r="F540" s="18">
        <f>SUM(F541:F548)</f>
        <v>7541.3999999999987</v>
      </c>
      <c r="G540" s="18">
        <f>SUM(G541:G548)</f>
        <v>7377.9</v>
      </c>
      <c r="H540" s="18">
        <f>SUM(H541:H548)</f>
        <v>7399.9</v>
      </c>
      <c r="I540" s="17" t="s">
        <v>878</v>
      </c>
      <c r="J540" s="19" t="s">
        <v>239</v>
      </c>
      <c r="K540" s="46">
        <v>21</v>
      </c>
      <c r="L540" s="46">
        <v>21</v>
      </c>
      <c r="M540" s="47">
        <v>21</v>
      </c>
    </row>
    <row r="541" spans="1:13" x14ac:dyDescent="0.25">
      <c r="A541" s="86"/>
      <c r="B541" s="89"/>
      <c r="C541" s="89"/>
      <c r="D541" s="21" t="s">
        <v>493</v>
      </c>
      <c r="E541" s="21"/>
      <c r="F541" s="22">
        <v>967</v>
      </c>
      <c r="G541" s="22">
        <v>967</v>
      </c>
      <c r="H541" s="22">
        <v>967</v>
      </c>
      <c r="I541" s="21" t="s">
        <v>879</v>
      </c>
      <c r="J541" s="23" t="s">
        <v>239</v>
      </c>
      <c r="K541" s="48">
        <v>17300</v>
      </c>
      <c r="L541" s="48">
        <v>17300</v>
      </c>
      <c r="M541" s="49">
        <v>17300</v>
      </c>
    </row>
    <row r="542" spans="1:13" x14ac:dyDescent="0.25">
      <c r="A542" s="86"/>
      <c r="B542" s="89"/>
      <c r="C542" s="89"/>
      <c r="D542" s="21" t="s">
        <v>122</v>
      </c>
      <c r="E542" s="21"/>
      <c r="F542" s="22">
        <v>612</v>
      </c>
      <c r="G542" s="22">
        <v>648.1</v>
      </c>
      <c r="H542" s="22">
        <v>680.6</v>
      </c>
      <c r="I542" s="21" t="s">
        <v>880</v>
      </c>
      <c r="J542" s="23" t="s">
        <v>239</v>
      </c>
      <c r="K542" s="48">
        <v>4</v>
      </c>
      <c r="L542" s="48">
        <v>4</v>
      </c>
      <c r="M542" s="49">
        <v>4</v>
      </c>
    </row>
    <row r="543" spans="1:13" x14ac:dyDescent="0.25">
      <c r="A543" s="86"/>
      <c r="B543" s="89"/>
      <c r="C543" s="89"/>
      <c r="D543" s="21" t="s">
        <v>127</v>
      </c>
      <c r="E543" s="21"/>
      <c r="F543" s="22">
        <v>221.3</v>
      </c>
      <c r="G543" s="22">
        <v>221.3</v>
      </c>
      <c r="H543" s="22">
        <v>221.3</v>
      </c>
      <c r="I543" s="21" t="s">
        <v>881</v>
      </c>
      <c r="J543" s="23" t="s">
        <v>239</v>
      </c>
      <c r="K543" s="48">
        <v>465</v>
      </c>
      <c r="L543" s="48">
        <v>465</v>
      </c>
      <c r="M543" s="49">
        <v>465</v>
      </c>
    </row>
    <row r="544" spans="1:13" x14ac:dyDescent="0.25">
      <c r="A544" s="86"/>
      <c r="B544" s="89"/>
      <c r="C544" s="89"/>
      <c r="D544" s="21" t="s">
        <v>29</v>
      </c>
      <c r="E544" s="21"/>
      <c r="F544" s="22">
        <v>5488.7</v>
      </c>
      <c r="G544" s="22">
        <v>5488.7</v>
      </c>
      <c r="H544" s="22">
        <v>5488.7</v>
      </c>
      <c r="I544" s="21" t="s">
        <v>882</v>
      </c>
      <c r="J544" s="23" t="s">
        <v>239</v>
      </c>
      <c r="K544" s="48">
        <v>14</v>
      </c>
      <c r="L544" s="48">
        <v>14</v>
      </c>
      <c r="M544" s="49">
        <v>14</v>
      </c>
    </row>
    <row r="545" spans="1:13" x14ac:dyDescent="0.25">
      <c r="A545" s="86"/>
      <c r="B545" s="89"/>
      <c r="C545" s="89"/>
      <c r="D545" s="21" t="s">
        <v>35</v>
      </c>
      <c r="E545" s="21"/>
      <c r="F545" s="22">
        <v>90.2</v>
      </c>
      <c r="G545" s="22">
        <v>0</v>
      </c>
      <c r="H545" s="22">
        <v>0</v>
      </c>
      <c r="I545" s="21" t="s">
        <v>883</v>
      </c>
      <c r="J545" s="23" t="s">
        <v>239</v>
      </c>
      <c r="K545" s="48">
        <v>480</v>
      </c>
      <c r="L545" s="48">
        <v>500</v>
      </c>
      <c r="M545" s="49">
        <v>500</v>
      </c>
    </row>
    <row r="546" spans="1:13" ht="25.5" x14ac:dyDescent="0.25">
      <c r="A546" s="86"/>
      <c r="B546" s="89"/>
      <c r="C546" s="89"/>
      <c r="D546" s="21" t="s">
        <v>120</v>
      </c>
      <c r="E546" s="21"/>
      <c r="F546" s="22">
        <v>55.9</v>
      </c>
      <c r="G546" s="22">
        <v>52.8</v>
      </c>
      <c r="H546" s="22">
        <v>42.3</v>
      </c>
      <c r="I546" s="21" t="s">
        <v>884</v>
      </c>
      <c r="J546" s="23" t="s">
        <v>239</v>
      </c>
      <c r="K546" s="48">
        <v>6</v>
      </c>
      <c r="L546" s="48">
        <v>8</v>
      </c>
      <c r="M546" s="49">
        <v>8</v>
      </c>
    </row>
    <row r="547" spans="1:13" x14ac:dyDescent="0.25">
      <c r="A547" s="86"/>
      <c r="B547" s="89"/>
      <c r="C547" s="89"/>
      <c r="D547" s="21" t="s">
        <v>118</v>
      </c>
      <c r="E547" s="21"/>
      <c r="F547" s="22">
        <v>86.4</v>
      </c>
      <c r="G547" s="22">
        <v>0</v>
      </c>
      <c r="H547" s="22">
        <v>0</v>
      </c>
      <c r="I547" s="21" t="s">
        <v>885</v>
      </c>
      <c r="J547" s="23" t="s">
        <v>239</v>
      </c>
      <c r="K547" s="48">
        <v>54</v>
      </c>
      <c r="L547" s="48">
        <v>140</v>
      </c>
      <c r="M547" s="49">
        <v>140</v>
      </c>
    </row>
    <row r="548" spans="1:13" ht="15.75" thickBot="1" x14ac:dyDescent="0.3">
      <c r="A548" s="87"/>
      <c r="B548" s="90"/>
      <c r="C548" s="90"/>
      <c r="D548" s="21" t="s">
        <v>124</v>
      </c>
      <c r="E548" s="21"/>
      <c r="F548" s="22">
        <v>19.899999999999999</v>
      </c>
      <c r="G548" s="22"/>
      <c r="H548" s="22"/>
      <c r="I548" s="21"/>
      <c r="J548" s="23"/>
      <c r="K548" s="48"/>
      <c r="L548" s="48"/>
      <c r="M548" s="49"/>
    </row>
    <row r="549" spans="1:13" x14ac:dyDescent="0.25">
      <c r="A549" s="85" t="s">
        <v>886</v>
      </c>
      <c r="B549" s="88" t="s">
        <v>887</v>
      </c>
      <c r="C549" s="88" t="s">
        <v>856</v>
      </c>
      <c r="D549" s="17"/>
      <c r="E549" s="17"/>
      <c r="F549" s="18">
        <f>SUM(F550:F551)</f>
        <v>993.5</v>
      </c>
      <c r="G549" s="18">
        <f>SUM(G550:G551)</f>
        <v>993.5</v>
      </c>
      <c r="H549" s="18">
        <f>SUM(H550:H551)</f>
        <v>993.5</v>
      </c>
      <c r="I549" s="17" t="s">
        <v>888</v>
      </c>
      <c r="J549" s="19" t="s">
        <v>239</v>
      </c>
      <c r="K549" s="46">
        <v>250</v>
      </c>
      <c r="L549" s="46">
        <v>210</v>
      </c>
      <c r="M549" s="47">
        <v>210</v>
      </c>
    </row>
    <row r="550" spans="1:13" x14ac:dyDescent="0.25">
      <c r="A550" s="86"/>
      <c r="B550" s="89"/>
      <c r="C550" s="89"/>
      <c r="D550" s="21" t="s">
        <v>35</v>
      </c>
      <c r="E550" s="21"/>
      <c r="F550" s="22">
        <v>993.5</v>
      </c>
      <c r="G550" s="22">
        <v>0</v>
      </c>
      <c r="H550" s="22">
        <v>0</v>
      </c>
      <c r="I550" s="21" t="s">
        <v>889</v>
      </c>
      <c r="J550" s="23" t="s">
        <v>239</v>
      </c>
      <c r="K550" s="48">
        <v>14</v>
      </c>
      <c r="L550" s="48">
        <v>13</v>
      </c>
      <c r="M550" s="49">
        <v>13</v>
      </c>
    </row>
    <row r="551" spans="1:13" ht="15.75" customHeight="1" thickBot="1" x14ac:dyDescent="0.3">
      <c r="A551" s="87"/>
      <c r="B551" s="90"/>
      <c r="C551" s="90"/>
      <c r="D551" s="21" t="s">
        <v>29</v>
      </c>
      <c r="E551" s="21"/>
      <c r="F551" s="22">
        <v>0</v>
      </c>
      <c r="G551" s="22">
        <v>993.5</v>
      </c>
      <c r="H551" s="22">
        <v>993.5</v>
      </c>
      <c r="I551" s="21" t="s">
        <v>890</v>
      </c>
      <c r="J551" s="23" t="s">
        <v>239</v>
      </c>
      <c r="K551" s="48">
        <v>8</v>
      </c>
      <c r="L551" s="48">
        <v>8</v>
      </c>
      <c r="M551" s="49">
        <v>8</v>
      </c>
    </row>
    <row r="552" spans="1:13" x14ac:dyDescent="0.25">
      <c r="A552" s="85" t="s">
        <v>891</v>
      </c>
      <c r="B552" s="88" t="s">
        <v>892</v>
      </c>
      <c r="C552" s="88" t="s">
        <v>856</v>
      </c>
      <c r="D552" s="17"/>
      <c r="E552" s="17"/>
      <c r="F552" s="18">
        <f>SUM(F553:F554)</f>
        <v>365.6</v>
      </c>
      <c r="G552" s="18">
        <f>SUM(G553:G554)</f>
        <v>365.6</v>
      </c>
      <c r="H552" s="18">
        <f>SUM(H553:H554)</f>
        <v>365.6</v>
      </c>
      <c r="I552" s="17" t="s">
        <v>893</v>
      </c>
      <c r="J552" s="19" t="s">
        <v>239</v>
      </c>
      <c r="K552" s="46">
        <v>450</v>
      </c>
      <c r="L552" s="46">
        <v>450</v>
      </c>
      <c r="M552" s="47">
        <v>450</v>
      </c>
    </row>
    <row r="553" spans="1:13" ht="25.5" x14ac:dyDescent="0.25">
      <c r="A553" s="86"/>
      <c r="B553" s="89"/>
      <c r="C553" s="89"/>
      <c r="D553" s="21" t="s">
        <v>29</v>
      </c>
      <c r="E553" s="21"/>
      <c r="F553" s="22">
        <v>138.4</v>
      </c>
      <c r="G553" s="22">
        <v>138.4</v>
      </c>
      <c r="H553" s="22">
        <v>138.4</v>
      </c>
      <c r="I553" s="21" t="s">
        <v>894</v>
      </c>
      <c r="J553" s="23" t="s">
        <v>239</v>
      </c>
      <c r="K553" s="48">
        <v>13</v>
      </c>
      <c r="L553" s="48">
        <v>13</v>
      </c>
      <c r="M553" s="49">
        <v>14</v>
      </c>
    </row>
    <row r="554" spans="1:13" ht="15.75" thickBot="1" x14ac:dyDescent="0.3">
      <c r="A554" s="87"/>
      <c r="B554" s="90"/>
      <c r="C554" s="90"/>
      <c r="D554" s="21" t="s">
        <v>127</v>
      </c>
      <c r="E554" s="21"/>
      <c r="F554" s="22">
        <v>227.2</v>
      </c>
      <c r="G554" s="22">
        <v>227.2</v>
      </c>
      <c r="H554" s="22">
        <v>227.2</v>
      </c>
      <c r="I554" s="21"/>
      <c r="J554" s="23"/>
      <c r="K554" s="48"/>
      <c r="L554" s="48"/>
      <c r="M554" s="49"/>
    </row>
    <row r="555" spans="1:13" x14ac:dyDescent="0.25">
      <c r="A555" s="85" t="s">
        <v>895</v>
      </c>
      <c r="B555" s="88" t="s">
        <v>896</v>
      </c>
      <c r="C555" s="88" t="s">
        <v>856</v>
      </c>
      <c r="D555" s="17"/>
      <c r="E555" s="17"/>
      <c r="F555" s="18">
        <f>SUM(F556:F557)</f>
        <v>333.20000000000005</v>
      </c>
      <c r="G555" s="18">
        <f>SUM(G556:G557)</f>
        <v>333.20000000000005</v>
      </c>
      <c r="H555" s="18">
        <f>SUM(H556:H557)</f>
        <v>333.20000000000005</v>
      </c>
      <c r="I555" s="17" t="s">
        <v>897</v>
      </c>
      <c r="J555" s="19" t="s">
        <v>239</v>
      </c>
      <c r="K555" s="46">
        <v>260</v>
      </c>
      <c r="L555" s="46">
        <v>260</v>
      </c>
      <c r="M555" s="47">
        <v>280</v>
      </c>
    </row>
    <row r="556" spans="1:13" x14ac:dyDescent="0.25">
      <c r="A556" s="86"/>
      <c r="B556" s="89"/>
      <c r="C556" s="89"/>
      <c r="D556" s="21" t="s">
        <v>127</v>
      </c>
      <c r="E556" s="21"/>
      <c r="F556" s="22">
        <v>192.9</v>
      </c>
      <c r="G556" s="22">
        <v>192.9</v>
      </c>
      <c r="H556" s="22">
        <v>192.9</v>
      </c>
      <c r="I556" s="21" t="s">
        <v>898</v>
      </c>
      <c r="J556" s="23" t="s">
        <v>239</v>
      </c>
      <c r="K556" s="48">
        <v>11</v>
      </c>
      <c r="L556" s="48">
        <v>11</v>
      </c>
      <c r="M556" s="49">
        <v>12</v>
      </c>
    </row>
    <row r="557" spans="1:13" ht="26.25" thickBot="1" x14ac:dyDescent="0.3">
      <c r="A557" s="87"/>
      <c r="B557" s="90"/>
      <c r="C557" s="90"/>
      <c r="D557" s="21" t="s">
        <v>29</v>
      </c>
      <c r="E557" s="21"/>
      <c r="F557" s="22">
        <v>140.30000000000001</v>
      </c>
      <c r="G557" s="22">
        <v>140.30000000000001</v>
      </c>
      <c r="H557" s="22">
        <v>140.30000000000001</v>
      </c>
      <c r="I557" s="21" t="s">
        <v>899</v>
      </c>
      <c r="J557" s="23" t="s">
        <v>19</v>
      </c>
      <c r="K557" s="48">
        <v>15</v>
      </c>
      <c r="L557" s="48">
        <v>15</v>
      </c>
      <c r="M557" s="49">
        <v>15</v>
      </c>
    </row>
    <row r="558" spans="1:13" x14ac:dyDescent="0.25">
      <c r="A558" s="85" t="s">
        <v>900</v>
      </c>
      <c r="B558" s="88" t="s">
        <v>901</v>
      </c>
      <c r="C558" s="88" t="s">
        <v>902</v>
      </c>
      <c r="D558" s="17" t="s">
        <v>29</v>
      </c>
      <c r="E558" s="17"/>
      <c r="F558" s="18">
        <f>SUM(F559:F559)+200</f>
        <v>200</v>
      </c>
      <c r="G558" s="18">
        <f>SUM(G559:G559)+200</f>
        <v>200</v>
      </c>
      <c r="H558" s="18">
        <f>SUM(H559:H559)+200</f>
        <v>200</v>
      </c>
      <c r="I558" s="17" t="s">
        <v>903</v>
      </c>
      <c r="J558" s="19" t="s">
        <v>239</v>
      </c>
      <c r="K558" s="46">
        <v>800</v>
      </c>
      <c r="L558" s="46">
        <v>800</v>
      </c>
      <c r="M558" s="47">
        <v>800</v>
      </c>
    </row>
    <row r="559" spans="1:13" ht="25.5" customHeight="1" thickBot="1" x14ac:dyDescent="0.3">
      <c r="A559" s="87"/>
      <c r="B559" s="90"/>
      <c r="C559" s="90"/>
      <c r="D559" s="21"/>
      <c r="E559" s="21"/>
      <c r="F559" s="22">
        <v>0</v>
      </c>
      <c r="G559" s="22">
        <v>0</v>
      </c>
      <c r="H559" s="22">
        <v>0</v>
      </c>
      <c r="I559" s="21" t="s">
        <v>904</v>
      </c>
      <c r="J559" s="23" t="s">
        <v>19</v>
      </c>
      <c r="K559" s="48">
        <v>100</v>
      </c>
      <c r="L559" s="48">
        <v>100</v>
      </c>
      <c r="M559" s="49">
        <v>100</v>
      </c>
    </row>
    <row r="560" spans="1:13" ht="66.75" hidden="1" customHeight="1" thickBot="1" x14ac:dyDescent="0.3">
      <c r="A560" s="15" t="s">
        <v>905</v>
      </c>
      <c r="B560" s="16" t="s">
        <v>906</v>
      </c>
      <c r="C560" s="17" t="s">
        <v>907</v>
      </c>
      <c r="D560" s="17"/>
      <c r="E560" s="17"/>
      <c r="F560" s="24">
        <v>0</v>
      </c>
      <c r="G560" s="24">
        <v>0</v>
      </c>
      <c r="H560" s="24">
        <v>0</v>
      </c>
      <c r="I560" s="17"/>
      <c r="J560" s="19"/>
      <c r="K560" s="46"/>
      <c r="L560" s="46"/>
      <c r="M560" s="47"/>
    </row>
    <row r="561" spans="1:13" x14ac:dyDescent="0.25">
      <c r="A561" s="85" t="s">
        <v>908</v>
      </c>
      <c r="B561" s="88" t="s">
        <v>909</v>
      </c>
      <c r="C561" s="88" t="s">
        <v>910</v>
      </c>
      <c r="D561" s="17"/>
      <c r="E561" s="17"/>
      <c r="F561" s="18">
        <f>SUM(F562:F564)</f>
        <v>124.4</v>
      </c>
      <c r="G561" s="18">
        <f>SUM(G562:G564)</f>
        <v>49.4</v>
      </c>
      <c r="H561" s="18">
        <f>SUM(H562:H564)</f>
        <v>49.4</v>
      </c>
      <c r="I561" s="17" t="s">
        <v>893</v>
      </c>
      <c r="J561" s="19" t="s">
        <v>239</v>
      </c>
      <c r="K561" s="46">
        <v>100</v>
      </c>
      <c r="L561" s="46"/>
      <c r="M561" s="47"/>
    </row>
    <row r="562" spans="1:13" ht="25.5" x14ac:dyDescent="0.25">
      <c r="A562" s="86"/>
      <c r="B562" s="89"/>
      <c r="C562" s="89"/>
      <c r="D562" s="21" t="s">
        <v>35</v>
      </c>
      <c r="E562" s="21"/>
      <c r="F562" s="22">
        <v>2.6</v>
      </c>
      <c r="G562" s="22">
        <v>0</v>
      </c>
      <c r="H562" s="22">
        <v>0</v>
      </c>
      <c r="I562" s="21" t="s">
        <v>911</v>
      </c>
      <c r="J562" s="23" t="s">
        <v>239</v>
      </c>
      <c r="K562" s="48">
        <v>2</v>
      </c>
      <c r="L562" s="48">
        <v>2</v>
      </c>
      <c r="M562" s="49">
        <v>2</v>
      </c>
    </row>
    <row r="563" spans="1:13" x14ac:dyDescent="0.25">
      <c r="A563" s="86"/>
      <c r="B563" s="89"/>
      <c r="C563" s="89"/>
      <c r="D563" s="21" t="s">
        <v>135</v>
      </c>
      <c r="E563" s="21"/>
      <c r="F563" s="22">
        <v>72.400000000000006</v>
      </c>
      <c r="G563" s="22"/>
      <c r="H563" s="22"/>
      <c r="I563" s="21"/>
      <c r="J563" s="23"/>
      <c r="K563" s="48"/>
      <c r="L563" s="48"/>
      <c r="M563" s="49"/>
    </row>
    <row r="564" spans="1:13" ht="15.75" thickBot="1" x14ac:dyDescent="0.3">
      <c r="A564" s="87"/>
      <c r="B564" s="90"/>
      <c r="C564" s="90"/>
      <c r="D564" s="21" t="s">
        <v>127</v>
      </c>
      <c r="E564" s="21"/>
      <c r="F564" s="22">
        <v>49.4</v>
      </c>
      <c r="G564" s="22">
        <v>49.4</v>
      </c>
      <c r="H564" s="22">
        <v>49.4</v>
      </c>
      <c r="I564" s="21"/>
      <c r="J564" s="23"/>
      <c r="K564" s="48"/>
      <c r="L564" s="48"/>
      <c r="M564" s="49"/>
    </row>
    <row r="565" spans="1:13" x14ac:dyDescent="0.25">
      <c r="A565" s="85" t="s">
        <v>912</v>
      </c>
      <c r="B565" s="88" t="s">
        <v>913</v>
      </c>
      <c r="C565" s="88" t="s">
        <v>914</v>
      </c>
      <c r="D565" s="17"/>
      <c r="E565" s="17"/>
      <c r="F565" s="18">
        <f>SUM(F566:F567)</f>
        <v>260.7</v>
      </c>
      <c r="G565" s="18">
        <f>SUM(G566:G567)</f>
        <v>0</v>
      </c>
      <c r="H565" s="18">
        <f>SUM(H566:H567)</f>
        <v>0</v>
      </c>
      <c r="I565" s="17" t="s">
        <v>915</v>
      </c>
      <c r="J565" s="19" t="s">
        <v>23</v>
      </c>
      <c r="K565" s="46">
        <v>1</v>
      </c>
      <c r="L565" s="46"/>
      <c r="M565" s="47"/>
    </row>
    <row r="566" spans="1:13" x14ac:dyDescent="0.25">
      <c r="A566" s="86"/>
      <c r="B566" s="89"/>
      <c r="C566" s="89"/>
      <c r="D566" s="21" t="s">
        <v>29</v>
      </c>
      <c r="E566" s="21"/>
      <c r="F566" s="22">
        <v>30</v>
      </c>
      <c r="G566" s="22">
        <v>0</v>
      </c>
      <c r="H566" s="22">
        <v>0</v>
      </c>
      <c r="I566" s="21" t="s">
        <v>916</v>
      </c>
      <c r="J566" s="23" t="s">
        <v>23</v>
      </c>
      <c r="K566" s="48">
        <v>70</v>
      </c>
      <c r="L566" s="48"/>
      <c r="M566" s="49"/>
    </row>
    <row r="567" spans="1:13" ht="15.75" thickBot="1" x14ac:dyDescent="0.3">
      <c r="A567" s="87"/>
      <c r="B567" s="90"/>
      <c r="C567" s="90"/>
      <c r="D567" s="21" t="s">
        <v>35</v>
      </c>
      <c r="E567" s="21"/>
      <c r="F567" s="22">
        <v>230.7</v>
      </c>
      <c r="G567" s="22">
        <v>0</v>
      </c>
      <c r="H567" s="22">
        <v>0</v>
      </c>
      <c r="I567" s="21" t="s">
        <v>917</v>
      </c>
      <c r="J567" s="23" t="s">
        <v>23</v>
      </c>
      <c r="K567" s="48">
        <v>1</v>
      </c>
      <c r="L567" s="48"/>
      <c r="M567" s="49"/>
    </row>
    <row r="568" spans="1:13" ht="21" customHeight="1" x14ac:dyDescent="0.25">
      <c r="A568" s="85" t="s">
        <v>918</v>
      </c>
      <c r="B568" s="88" t="s">
        <v>919</v>
      </c>
      <c r="C568" s="88" t="s">
        <v>920</v>
      </c>
      <c r="D568" s="17" t="s">
        <v>29</v>
      </c>
      <c r="E568" s="17"/>
      <c r="F568" s="18">
        <f>SUM(F569:F571)+315.6</f>
        <v>315.60000000000002</v>
      </c>
      <c r="G568" s="18">
        <f>SUM(G569:G571)+315.6</f>
        <v>315.60000000000002</v>
      </c>
      <c r="H568" s="18">
        <f>SUM(H569:H571)+315.6</f>
        <v>315.60000000000002</v>
      </c>
      <c r="I568" s="17" t="s">
        <v>921</v>
      </c>
      <c r="J568" s="19" t="s">
        <v>239</v>
      </c>
      <c r="K568" s="46">
        <v>8</v>
      </c>
      <c r="L568" s="46">
        <v>8</v>
      </c>
      <c r="M568" s="47">
        <v>9</v>
      </c>
    </row>
    <row r="569" spans="1:13" x14ac:dyDescent="0.25">
      <c r="A569" s="86"/>
      <c r="B569" s="89"/>
      <c r="C569" s="89"/>
      <c r="D569" s="21"/>
      <c r="E569" s="21"/>
      <c r="F569" s="22">
        <v>0</v>
      </c>
      <c r="G569" s="22">
        <v>0</v>
      </c>
      <c r="H569" s="22">
        <v>0</v>
      </c>
      <c r="I569" s="21" t="s">
        <v>922</v>
      </c>
      <c r="J569" s="23" t="s">
        <v>239</v>
      </c>
      <c r="K569" s="48">
        <v>14</v>
      </c>
      <c r="L569" s="48">
        <v>14</v>
      </c>
      <c r="M569" s="49">
        <v>16</v>
      </c>
    </row>
    <row r="570" spans="1:13" x14ac:dyDescent="0.25">
      <c r="A570" s="86"/>
      <c r="B570" s="89"/>
      <c r="C570" s="89"/>
      <c r="D570" s="21"/>
      <c r="E570" s="21"/>
      <c r="F570" s="22">
        <v>0</v>
      </c>
      <c r="G570" s="22">
        <v>0</v>
      </c>
      <c r="H570" s="22">
        <v>0</v>
      </c>
      <c r="I570" s="21" t="s">
        <v>923</v>
      </c>
      <c r="J570" s="23" t="s">
        <v>239</v>
      </c>
      <c r="K570" s="48">
        <v>40</v>
      </c>
      <c r="L570" s="48">
        <v>40</v>
      </c>
      <c r="M570" s="49">
        <v>50</v>
      </c>
    </row>
    <row r="571" spans="1:13" ht="15.75" thickBot="1" x14ac:dyDescent="0.3">
      <c r="A571" s="87"/>
      <c r="B571" s="90"/>
      <c r="C571" s="90"/>
      <c r="D571" s="21"/>
      <c r="E571" s="21"/>
      <c r="F571" s="22">
        <v>0</v>
      </c>
      <c r="G571" s="22">
        <v>0</v>
      </c>
      <c r="H571" s="22">
        <v>0</v>
      </c>
      <c r="I571" s="21" t="s">
        <v>924</v>
      </c>
      <c r="J571" s="23" t="s">
        <v>239</v>
      </c>
      <c r="K571" s="48">
        <v>245</v>
      </c>
      <c r="L571" s="48">
        <v>245</v>
      </c>
      <c r="M571" s="49">
        <v>260</v>
      </c>
    </row>
    <row r="572" spans="1:13" ht="28.5" customHeight="1" thickBot="1" x14ac:dyDescent="0.3">
      <c r="A572" s="11" t="s">
        <v>925</v>
      </c>
      <c r="B572" s="65" t="s">
        <v>926</v>
      </c>
      <c r="C572" s="66"/>
      <c r="D572" s="66"/>
      <c r="E572" s="67"/>
      <c r="F572" s="13">
        <f>F573+F574+F578+F579+F583+F586</f>
        <v>6238.4</v>
      </c>
      <c r="G572" s="13">
        <f>G573+G574+G578+G579+G583+G586</f>
        <v>1930</v>
      </c>
      <c r="H572" s="13">
        <f>H573+H574+H578+H579+H583+H586</f>
        <v>1070</v>
      </c>
      <c r="I572" s="82"/>
      <c r="J572" s="83"/>
      <c r="K572" s="83"/>
      <c r="L572" s="83"/>
      <c r="M572" s="84"/>
    </row>
    <row r="573" spans="1:13" ht="64.5" thickBot="1" x14ac:dyDescent="0.3">
      <c r="A573" s="15" t="s">
        <v>927</v>
      </c>
      <c r="B573" s="16" t="s">
        <v>928</v>
      </c>
      <c r="C573" s="17" t="s">
        <v>929</v>
      </c>
      <c r="D573" s="17" t="s">
        <v>35</v>
      </c>
      <c r="E573" s="17"/>
      <c r="F573" s="24">
        <v>132.6</v>
      </c>
      <c r="G573" s="24">
        <v>0</v>
      </c>
      <c r="H573" s="24">
        <v>0</v>
      </c>
      <c r="I573" s="17" t="s">
        <v>930</v>
      </c>
      <c r="J573" s="19" t="s">
        <v>19</v>
      </c>
      <c r="K573" s="19">
        <v>100</v>
      </c>
      <c r="L573" s="19"/>
      <c r="M573" s="40"/>
    </row>
    <row r="574" spans="1:13" ht="21" customHeight="1" x14ac:dyDescent="0.25">
      <c r="A574" s="85" t="s">
        <v>931</v>
      </c>
      <c r="B574" s="88" t="s">
        <v>932</v>
      </c>
      <c r="C574" s="88" t="s">
        <v>933</v>
      </c>
      <c r="D574" s="17"/>
      <c r="E574" s="17"/>
      <c r="F574" s="18">
        <f>SUM(F575:F577)</f>
        <v>870.6</v>
      </c>
      <c r="G574" s="18">
        <f>SUM(G575:G577)</f>
        <v>0</v>
      </c>
      <c r="H574" s="18">
        <f>SUM(H575:H577)</f>
        <v>0</v>
      </c>
      <c r="I574" s="17" t="s">
        <v>760</v>
      </c>
      <c r="J574" s="19" t="s">
        <v>23</v>
      </c>
      <c r="K574" s="19">
        <v>1</v>
      </c>
      <c r="L574" s="19"/>
      <c r="M574" s="40"/>
    </row>
    <row r="575" spans="1:13" x14ac:dyDescent="0.25">
      <c r="A575" s="86"/>
      <c r="B575" s="89"/>
      <c r="C575" s="89"/>
      <c r="D575" s="21" t="s">
        <v>127</v>
      </c>
      <c r="E575" s="21"/>
      <c r="F575" s="22">
        <v>110.2</v>
      </c>
      <c r="G575" s="22">
        <v>0</v>
      </c>
      <c r="H575" s="22">
        <v>0</v>
      </c>
      <c r="I575" s="21"/>
      <c r="J575" s="23"/>
      <c r="K575" s="23"/>
      <c r="L575" s="23"/>
      <c r="M575" s="41"/>
    </row>
    <row r="576" spans="1:13" x14ac:dyDescent="0.25">
      <c r="A576" s="86"/>
      <c r="B576" s="89"/>
      <c r="C576" s="89"/>
      <c r="D576" s="21" t="s">
        <v>143</v>
      </c>
      <c r="E576" s="21"/>
      <c r="F576" s="22">
        <v>367.3</v>
      </c>
      <c r="G576" s="22">
        <v>0</v>
      </c>
      <c r="H576" s="22">
        <v>0</v>
      </c>
      <c r="I576" s="21"/>
      <c r="J576" s="23"/>
      <c r="K576" s="23"/>
      <c r="L576" s="23"/>
      <c r="M576" s="41"/>
    </row>
    <row r="577" spans="1:13" ht="15.75" thickBot="1" x14ac:dyDescent="0.3">
      <c r="A577" s="87"/>
      <c r="B577" s="90"/>
      <c r="C577" s="90"/>
      <c r="D577" s="21" t="s">
        <v>29</v>
      </c>
      <c r="E577" s="21"/>
      <c r="F577" s="22">
        <v>393.1</v>
      </c>
      <c r="G577" s="22">
        <v>0</v>
      </c>
      <c r="H577" s="22">
        <v>0</v>
      </c>
      <c r="I577" s="21"/>
      <c r="J577" s="23"/>
      <c r="K577" s="23"/>
      <c r="L577" s="23"/>
      <c r="M577" s="41"/>
    </row>
    <row r="578" spans="1:13" ht="39" thickBot="1" x14ac:dyDescent="0.3">
      <c r="A578" s="15" t="s">
        <v>934</v>
      </c>
      <c r="B578" s="16" t="s">
        <v>935</v>
      </c>
      <c r="C578" s="17" t="s">
        <v>936</v>
      </c>
      <c r="D578" s="17" t="s">
        <v>29</v>
      </c>
      <c r="E578" s="17" t="s">
        <v>835</v>
      </c>
      <c r="F578" s="24">
        <v>0</v>
      </c>
      <c r="G578" s="24">
        <v>1930</v>
      </c>
      <c r="H578" s="24">
        <v>1070</v>
      </c>
      <c r="I578" s="17" t="s">
        <v>335</v>
      </c>
      <c r="J578" s="19" t="s">
        <v>19</v>
      </c>
      <c r="K578" s="19"/>
      <c r="L578" s="19">
        <v>50</v>
      </c>
      <c r="M578" s="40">
        <v>100</v>
      </c>
    </row>
    <row r="579" spans="1:13" x14ac:dyDescent="0.25">
      <c r="A579" s="85" t="s">
        <v>937</v>
      </c>
      <c r="B579" s="88" t="s">
        <v>938</v>
      </c>
      <c r="C579" s="88" t="s">
        <v>939</v>
      </c>
      <c r="D579" s="17"/>
      <c r="E579" s="17"/>
      <c r="F579" s="18">
        <f>SUM(F580:F582)</f>
        <v>5143.5</v>
      </c>
      <c r="G579" s="18">
        <f>SUM(G580:G582)</f>
        <v>0</v>
      </c>
      <c r="H579" s="18">
        <f>SUM(H580:H582)</f>
        <v>0</v>
      </c>
      <c r="I579" s="17" t="s">
        <v>940</v>
      </c>
      <c r="J579" s="19" t="s">
        <v>23</v>
      </c>
      <c r="K579" s="19">
        <v>4</v>
      </c>
      <c r="L579" s="19"/>
      <c r="M579" s="40"/>
    </row>
    <row r="580" spans="1:13" ht="38.25" x14ac:dyDescent="0.25">
      <c r="A580" s="86"/>
      <c r="B580" s="89"/>
      <c r="C580" s="89"/>
      <c r="D580" s="21" t="s">
        <v>135</v>
      </c>
      <c r="E580" s="21"/>
      <c r="F580" s="22">
        <v>3288.8</v>
      </c>
      <c r="G580" s="22">
        <v>0</v>
      </c>
      <c r="H580" s="22">
        <v>0</v>
      </c>
      <c r="I580" s="21" t="s">
        <v>941</v>
      </c>
      <c r="J580" s="23" t="s">
        <v>23</v>
      </c>
      <c r="K580" s="23">
        <v>1</v>
      </c>
      <c r="L580" s="23"/>
      <c r="M580" s="41"/>
    </row>
    <row r="581" spans="1:13" x14ac:dyDescent="0.25">
      <c r="A581" s="86"/>
      <c r="B581" s="89"/>
      <c r="C581" s="89"/>
      <c r="D581" s="21" t="s">
        <v>127</v>
      </c>
      <c r="E581" s="21"/>
      <c r="F581" s="22">
        <v>817.4</v>
      </c>
      <c r="G581" s="22">
        <v>0</v>
      </c>
      <c r="H581" s="22">
        <v>0</v>
      </c>
      <c r="I581" s="21" t="s">
        <v>335</v>
      </c>
      <c r="J581" s="23" t="s">
        <v>19</v>
      </c>
      <c r="K581" s="23">
        <v>100</v>
      </c>
      <c r="L581" s="23"/>
      <c r="M581" s="41"/>
    </row>
    <row r="582" spans="1:13" ht="15.75" thickBot="1" x14ac:dyDescent="0.3">
      <c r="A582" s="87"/>
      <c r="B582" s="90"/>
      <c r="C582" s="90"/>
      <c r="D582" s="21" t="s">
        <v>35</v>
      </c>
      <c r="E582" s="21"/>
      <c r="F582" s="22">
        <v>1037.3</v>
      </c>
      <c r="G582" s="22"/>
      <c r="H582" s="22"/>
      <c r="I582" s="21"/>
      <c r="J582" s="23"/>
      <c r="K582" s="23"/>
      <c r="L582" s="23"/>
      <c r="M582" s="41"/>
    </row>
    <row r="583" spans="1:13" x14ac:dyDescent="0.25">
      <c r="A583" s="85" t="s">
        <v>942</v>
      </c>
      <c r="B583" s="88" t="s">
        <v>943</v>
      </c>
      <c r="C583" s="88" t="s">
        <v>944</v>
      </c>
      <c r="D583" s="17"/>
      <c r="E583" s="17"/>
      <c r="F583" s="18">
        <f>SUM(F584:F585)</f>
        <v>30.7</v>
      </c>
      <c r="G583" s="18">
        <f>SUM(G584:G585)</f>
        <v>0</v>
      </c>
      <c r="H583" s="18">
        <f>SUM(H584:H585)</f>
        <v>0</v>
      </c>
      <c r="I583" s="17" t="s">
        <v>746</v>
      </c>
      <c r="J583" s="19" t="s">
        <v>213</v>
      </c>
      <c r="K583" s="19">
        <v>2</v>
      </c>
      <c r="L583" s="19"/>
      <c r="M583" s="40"/>
    </row>
    <row r="584" spans="1:13" x14ac:dyDescent="0.25">
      <c r="A584" s="86"/>
      <c r="B584" s="89"/>
      <c r="C584" s="89"/>
      <c r="D584" s="21" t="s">
        <v>135</v>
      </c>
      <c r="E584" s="21"/>
      <c r="F584" s="22">
        <v>18.7</v>
      </c>
      <c r="G584" s="22">
        <v>0</v>
      </c>
      <c r="H584" s="22">
        <v>0</v>
      </c>
      <c r="I584" s="21"/>
      <c r="J584" s="23"/>
      <c r="K584" s="23"/>
      <c r="L584" s="23"/>
      <c r="M584" s="41"/>
    </row>
    <row r="585" spans="1:13" ht="15.75" thickBot="1" x14ac:dyDescent="0.3">
      <c r="A585" s="87"/>
      <c r="B585" s="90"/>
      <c r="C585" s="90"/>
      <c r="D585" s="21" t="s">
        <v>35</v>
      </c>
      <c r="E585" s="21"/>
      <c r="F585" s="22">
        <v>12</v>
      </c>
      <c r="G585" s="22">
        <v>0</v>
      </c>
      <c r="H585" s="22">
        <v>0</v>
      </c>
      <c r="I585" s="21"/>
      <c r="J585" s="23"/>
      <c r="K585" s="23"/>
      <c r="L585" s="23"/>
      <c r="M585" s="41"/>
    </row>
    <row r="586" spans="1:13" ht="25.5" x14ac:dyDescent="0.25">
      <c r="A586" s="85" t="s">
        <v>945</v>
      </c>
      <c r="B586" s="88" t="s">
        <v>946</v>
      </c>
      <c r="C586" s="88" t="s">
        <v>947</v>
      </c>
      <c r="D586" s="17"/>
      <c r="E586" s="17"/>
      <c r="F586" s="18">
        <f>SUM(F587:F588)</f>
        <v>61</v>
      </c>
      <c r="G586" s="18">
        <f>SUM(G587:G588)</f>
        <v>0</v>
      </c>
      <c r="H586" s="18">
        <f>SUM(H587:H588)</f>
        <v>0</v>
      </c>
      <c r="I586" s="17" t="s">
        <v>948</v>
      </c>
      <c r="J586" s="19" t="s">
        <v>19</v>
      </c>
      <c r="K586" s="19">
        <v>100</v>
      </c>
      <c r="L586" s="19"/>
      <c r="M586" s="40"/>
    </row>
    <row r="587" spans="1:13" ht="25.5" x14ac:dyDescent="0.25">
      <c r="A587" s="86"/>
      <c r="B587" s="89"/>
      <c r="C587" s="89"/>
      <c r="D587" s="21" t="s">
        <v>35</v>
      </c>
      <c r="E587" s="21"/>
      <c r="F587" s="22">
        <v>11</v>
      </c>
      <c r="G587" s="22">
        <v>0</v>
      </c>
      <c r="H587" s="22">
        <v>0</v>
      </c>
      <c r="I587" s="21" t="s">
        <v>949</v>
      </c>
      <c r="J587" s="23" t="s">
        <v>19</v>
      </c>
      <c r="K587" s="23">
        <v>100</v>
      </c>
      <c r="L587" s="23"/>
      <c r="M587" s="41"/>
    </row>
    <row r="588" spans="1:13" ht="15.75" thickBot="1" x14ac:dyDescent="0.3">
      <c r="A588" s="87"/>
      <c r="B588" s="90"/>
      <c r="C588" s="90"/>
      <c r="D588" s="21" t="s">
        <v>29</v>
      </c>
      <c r="E588" s="21"/>
      <c r="F588" s="22">
        <v>50</v>
      </c>
      <c r="G588" s="22"/>
      <c r="H588" s="22"/>
      <c r="I588" s="21"/>
      <c r="J588" s="23"/>
      <c r="K588" s="23"/>
      <c r="L588" s="23"/>
      <c r="M588" s="41"/>
    </row>
    <row r="589" spans="1:13" ht="26.25" customHeight="1" thickBot="1" x14ac:dyDescent="0.3">
      <c r="A589" s="11" t="s">
        <v>950</v>
      </c>
      <c r="B589" s="65" t="s">
        <v>951</v>
      </c>
      <c r="C589" s="66"/>
      <c r="D589" s="66"/>
      <c r="E589" s="67"/>
      <c r="F589" s="13">
        <f>F590+F595+F597+F599+F600+F602+F603+F606</f>
        <v>42075.399999999994</v>
      </c>
      <c r="G589" s="13">
        <f>G590+G595+G597+G599+G600+G602+G603+G606</f>
        <v>40615.399999999994</v>
      </c>
      <c r="H589" s="13">
        <f>H590+H595+H597+H599+H600+H602+H603+H606</f>
        <v>40615.399999999994</v>
      </c>
      <c r="I589" s="82"/>
      <c r="J589" s="83"/>
      <c r="K589" s="83"/>
      <c r="L589" s="83"/>
      <c r="M589" s="84"/>
    </row>
    <row r="590" spans="1:13" x14ac:dyDescent="0.25">
      <c r="A590" s="85" t="s">
        <v>952</v>
      </c>
      <c r="B590" s="88" t="s">
        <v>953</v>
      </c>
      <c r="C590" s="88" t="s">
        <v>954</v>
      </c>
      <c r="D590" s="17"/>
      <c r="E590" s="17"/>
      <c r="F590" s="18">
        <f>SUM(F591:F594)</f>
        <v>6177.5</v>
      </c>
      <c r="G590" s="18">
        <f>SUM(G591:G594)</f>
        <v>5307.5</v>
      </c>
      <c r="H590" s="18">
        <f>SUM(H591:H594)</f>
        <v>5307.5</v>
      </c>
      <c r="I590" s="17" t="s">
        <v>955</v>
      </c>
      <c r="J590" s="19" t="s">
        <v>239</v>
      </c>
      <c r="K590" s="54">
        <v>17000</v>
      </c>
      <c r="L590" s="54">
        <v>17000</v>
      </c>
      <c r="M590" s="55">
        <v>17000</v>
      </c>
    </row>
    <row r="591" spans="1:13" x14ac:dyDescent="0.25">
      <c r="A591" s="86"/>
      <c r="B591" s="89"/>
      <c r="C591" s="89"/>
      <c r="D591" s="21" t="s">
        <v>35</v>
      </c>
      <c r="E591" s="21"/>
      <c r="F591" s="22">
        <v>4875</v>
      </c>
      <c r="G591" s="22">
        <v>0</v>
      </c>
      <c r="H591" s="22">
        <v>0</v>
      </c>
      <c r="I591" s="21" t="s">
        <v>956</v>
      </c>
      <c r="J591" s="23" t="s">
        <v>239</v>
      </c>
      <c r="K591" s="56">
        <v>1701</v>
      </c>
      <c r="L591" s="56">
        <v>1700</v>
      </c>
      <c r="M591" s="57">
        <v>1700</v>
      </c>
    </row>
    <row r="592" spans="1:13" x14ac:dyDescent="0.25">
      <c r="A592" s="86"/>
      <c r="B592" s="89"/>
      <c r="C592" s="89"/>
      <c r="D592" s="21" t="s">
        <v>127</v>
      </c>
      <c r="E592" s="21"/>
      <c r="F592" s="22">
        <v>420</v>
      </c>
      <c r="G592" s="22"/>
      <c r="H592" s="22"/>
      <c r="I592" s="21"/>
      <c r="J592" s="23"/>
      <c r="K592" s="56"/>
      <c r="L592" s="56"/>
      <c r="M592" s="57"/>
    </row>
    <row r="593" spans="1:13" x14ac:dyDescent="0.25">
      <c r="A593" s="86"/>
      <c r="B593" s="89"/>
      <c r="C593" s="89"/>
      <c r="D593" s="21" t="s">
        <v>29</v>
      </c>
      <c r="E593" s="21"/>
      <c r="F593" s="22">
        <v>148</v>
      </c>
      <c r="G593" s="22">
        <v>4573</v>
      </c>
      <c r="H593" s="22">
        <v>4573</v>
      </c>
      <c r="I593" s="21"/>
      <c r="J593" s="23"/>
      <c r="K593" s="56"/>
      <c r="L593" s="56"/>
      <c r="M593" s="57"/>
    </row>
    <row r="594" spans="1:13" ht="15.75" thickBot="1" x14ac:dyDescent="0.3">
      <c r="A594" s="87"/>
      <c r="B594" s="90"/>
      <c r="C594" s="90"/>
      <c r="D594" s="21" t="s">
        <v>493</v>
      </c>
      <c r="E594" s="21"/>
      <c r="F594" s="22">
        <v>734.5</v>
      </c>
      <c r="G594" s="22">
        <v>734.5</v>
      </c>
      <c r="H594" s="22">
        <v>734.5</v>
      </c>
      <c r="I594" s="21"/>
      <c r="J594" s="23"/>
      <c r="K594" s="56"/>
      <c r="L594" s="56"/>
      <c r="M594" s="57"/>
    </row>
    <row r="595" spans="1:13" x14ac:dyDescent="0.25">
      <c r="A595" s="85" t="s">
        <v>957</v>
      </c>
      <c r="B595" s="88" t="s">
        <v>958</v>
      </c>
      <c r="C595" s="88" t="s">
        <v>954</v>
      </c>
      <c r="D595" s="17" t="s">
        <v>124</v>
      </c>
      <c r="E595" s="17"/>
      <c r="F595" s="18">
        <f>SUM(F596:F596)+22721.2</f>
        <v>22721.200000000001</v>
      </c>
      <c r="G595" s="18">
        <f>SUM(G596:G596)+22721.2</f>
        <v>22721.200000000001</v>
      </c>
      <c r="H595" s="18">
        <f>SUM(H596:H596)+22721.2</f>
        <v>22721.200000000001</v>
      </c>
      <c r="I595" s="17" t="s">
        <v>959</v>
      </c>
      <c r="J595" s="19" t="s">
        <v>239</v>
      </c>
      <c r="K595" s="54">
        <v>19000</v>
      </c>
      <c r="L595" s="54">
        <v>19000</v>
      </c>
      <c r="M595" s="55">
        <v>21000</v>
      </c>
    </row>
    <row r="596" spans="1:13" ht="15.75" thickBot="1" x14ac:dyDescent="0.3">
      <c r="A596" s="87"/>
      <c r="B596" s="90"/>
      <c r="C596" s="90"/>
      <c r="D596" s="21"/>
      <c r="E596" s="21"/>
      <c r="F596" s="22">
        <v>0</v>
      </c>
      <c r="G596" s="22">
        <v>0</v>
      </c>
      <c r="H596" s="22">
        <v>0</v>
      </c>
      <c r="I596" s="21" t="s">
        <v>960</v>
      </c>
      <c r="J596" s="23" t="s">
        <v>239</v>
      </c>
      <c r="K596" s="56">
        <v>33</v>
      </c>
      <c r="L596" s="56">
        <v>33</v>
      </c>
      <c r="M596" s="57">
        <v>34</v>
      </c>
    </row>
    <row r="597" spans="1:13" ht="15" customHeight="1" x14ac:dyDescent="0.25">
      <c r="A597" s="85" t="s">
        <v>961</v>
      </c>
      <c r="B597" s="88" t="s">
        <v>962</v>
      </c>
      <c r="C597" s="88" t="s">
        <v>954</v>
      </c>
      <c r="D597" s="17" t="s">
        <v>124</v>
      </c>
      <c r="E597" s="17"/>
      <c r="F597" s="18">
        <f>SUM(F598:F598)+9527.5</f>
        <v>9527.5</v>
      </c>
      <c r="G597" s="18">
        <f>SUM(G598:G598)+9527.5</f>
        <v>9527.5</v>
      </c>
      <c r="H597" s="18">
        <f>SUM(H598:H598)+9527.5</f>
        <v>9527.5</v>
      </c>
      <c r="I597" s="17" t="s">
        <v>959</v>
      </c>
      <c r="J597" s="19" t="s">
        <v>239</v>
      </c>
      <c r="K597" s="54">
        <v>3650</v>
      </c>
      <c r="L597" s="54">
        <v>3650</v>
      </c>
      <c r="M597" s="55">
        <v>4400</v>
      </c>
    </row>
    <row r="598" spans="1:13" ht="15.75" thickBot="1" x14ac:dyDescent="0.3">
      <c r="A598" s="87"/>
      <c r="B598" s="90"/>
      <c r="C598" s="90"/>
      <c r="D598" s="21"/>
      <c r="E598" s="21"/>
      <c r="F598" s="22">
        <v>0</v>
      </c>
      <c r="G598" s="22">
        <v>0</v>
      </c>
      <c r="H598" s="22">
        <v>0</v>
      </c>
      <c r="I598" s="21" t="s">
        <v>960</v>
      </c>
      <c r="J598" s="23" t="s">
        <v>239</v>
      </c>
      <c r="K598" s="56">
        <v>33</v>
      </c>
      <c r="L598" s="56">
        <v>33</v>
      </c>
      <c r="M598" s="57">
        <v>33</v>
      </c>
    </row>
    <row r="599" spans="1:13" ht="64.5" thickBot="1" x14ac:dyDescent="0.3">
      <c r="A599" s="15" t="s">
        <v>963</v>
      </c>
      <c r="B599" s="16" t="s">
        <v>964</v>
      </c>
      <c r="C599" s="17" t="s">
        <v>954</v>
      </c>
      <c r="D599" s="17" t="s">
        <v>493</v>
      </c>
      <c r="E599" s="17"/>
      <c r="F599" s="24">
        <v>0.9</v>
      </c>
      <c r="G599" s="24">
        <v>0.9</v>
      </c>
      <c r="H599" s="24">
        <v>0.9</v>
      </c>
      <c r="I599" s="17" t="s">
        <v>959</v>
      </c>
      <c r="J599" s="19" t="s">
        <v>239</v>
      </c>
      <c r="K599" s="54">
        <v>1</v>
      </c>
      <c r="L599" s="54">
        <v>1</v>
      </c>
      <c r="M599" s="55">
        <v>1</v>
      </c>
    </row>
    <row r="600" spans="1:13" x14ac:dyDescent="0.25">
      <c r="A600" s="85" t="s">
        <v>965</v>
      </c>
      <c r="B600" s="88" t="s">
        <v>966</v>
      </c>
      <c r="C600" s="88" t="s">
        <v>954</v>
      </c>
      <c r="D600" s="17"/>
      <c r="E600" s="17"/>
      <c r="F600" s="18">
        <f>SUM(F601:F601)</f>
        <v>5.2</v>
      </c>
      <c r="G600" s="18">
        <f>SUM(G601:G601)</f>
        <v>5.2</v>
      </c>
      <c r="H600" s="18">
        <f>SUM(H601:H601)</f>
        <v>5.2</v>
      </c>
      <c r="I600" s="17" t="s">
        <v>959</v>
      </c>
      <c r="J600" s="19" t="s">
        <v>239</v>
      </c>
      <c r="K600" s="54">
        <v>2</v>
      </c>
      <c r="L600" s="54">
        <v>2</v>
      </c>
      <c r="M600" s="55">
        <v>2</v>
      </c>
    </row>
    <row r="601" spans="1:13" ht="15.75" thickBot="1" x14ac:dyDescent="0.3">
      <c r="A601" s="87"/>
      <c r="B601" s="90"/>
      <c r="C601" s="90"/>
      <c r="D601" s="21" t="s">
        <v>29</v>
      </c>
      <c r="E601" s="21"/>
      <c r="F601" s="22">
        <v>5.2</v>
      </c>
      <c r="G601" s="22">
        <v>5.2</v>
      </c>
      <c r="H601" s="22">
        <v>5.2</v>
      </c>
      <c r="I601" s="21"/>
      <c r="J601" s="23"/>
      <c r="K601" s="56"/>
      <c r="L601" s="56"/>
      <c r="M601" s="57"/>
    </row>
    <row r="602" spans="1:13" ht="26.25" thickBot="1" x14ac:dyDescent="0.3">
      <c r="A602" s="15" t="s">
        <v>967</v>
      </c>
      <c r="B602" s="16" t="s">
        <v>968</v>
      </c>
      <c r="C602" s="17" t="s">
        <v>954</v>
      </c>
      <c r="D602" s="17" t="s">
        <v>493</v>
      </c>
      <c r="E602" s="17"/>
      <c r="F602" s="24">
        <v>1396.1</v>
      </c>
      <c r="G602" s="24">
        <v>1396.1</v>
      </c>
      <c r="H602" s="24">
        <v>1396.1</v>
      </c>
      <c r="I602" s="17" t="s">
        <v>959</v>
      </c>
      <c r="J602" s="19" t="s">
        <v>239</v>
      </c>
      <c r="K602" s="54">
        <v>4150</v>
      </c>
      <c r="L602" s="54">
        <v>4150</v>
      </c>
      <c r="M602" s="55">
        <v>6500</v>
      </c>
    </row>
    <row r="603" spans="1:13" ht="25.5" customHeight="1" x14ac:dyDescent="0.25">
      <c r="A603" s="85" t="s">
        <v>969</v>
      </c>
      <c r="B603" s="88" t="s">
        <v>970</v>
      </c>
      <c r="C603" s="88" t="s">
        <v>382</v>
      </c>
      <c r="D603" s="17"/>
      <c r="E603" s="17"/>
      <c r="F603" s="18">
        <f>SUM(F604:F605)</f>
        <v>2217</v>
      </c>
      <c r="G603" s="18">
        <f>SUM(G604:G605)</f>
        <v>1657</v>
      </c>
      <c r="H603" s="18">
        <f>SUM(H604:H605)</f>
        <v>1657</v>
      </c>
      <c r="I603" s="17" t="s">
        <v>971</v>
      </c>
      <c r="J603" s="19" t="s">
        <v>19</v>
      </c>
      <c r="K603" s="54">
        <v>100</v>
      </c>
      <c r="L603" s="54">
        <v>100</v>
      </c>
      <c r="M603" s="55">
        <v>100</v>
      </c>
    </row>
    <row r="604" spans="1:13" x14ac:dyDescent="0.25">
      <c r="A604" s="86"/>
      <c r="B604" s="89"/>
      <c r="C604" s="89"/>
      <c r="D604" s="21" t="s">
        <v>35</v>
      </c>
      <c r="E604" s="21"/>
      <c r="F604" s="22">
        <v>2217</v>
      </c>
      <c r="G604" s="22">
        <v>0</v>
      </c>
      <c r="H604" s="22">
        <v>0</v>
      </c>
      <c r="I604" s="21"/>
      <c r="J604" s="23"/>
      <c r="K604" s="56"/>
      <c r="L604" s="56"/>
      <c r="M604" s="57"/>
    </row>
    <row r="605" spans="1:13" ht="15.75" thickBot="1" x14ac:dyDescent="0.3">
      <c r="A605" s="87"/>
      <c r="B605" s="90"/>
      <c r="C605" s="90"/>
      <c r="D605" s="21" t="s">
        <v>29</v>
      </c>
      <c r="E605" s="21"/>
      <c r="F605" s="22">
        <v>0</v>
      </c>
      <c r="G605" s="22">
        <v>1657</v>
      </c>
      <c r="H605" s="22">
        <v>1657</v>
      </c>
      <c r="I605" s="21"/>
      <c r="J605" s="23"/>
      <c r="K605" s="56"/>
      <c r="L605" s="56"/>
      <c r="M605" s="57"/>
    </row>
    <row r="606" spans="1:13" ht="28.5" customHeight="1" x14ac:dyDescent="0.25">
      <c r="A606" s="85" t="s">
        <v>972</v>
      </c>
      <c r="B606" s="88" t="s">
        <v>973</v>
      </c>
      <c r="C606" s="88" t="s">
        <v>974</v>
      </c>
      <c r="D606" s="17"/>
      <c r="E606" s="17"/>
      <c r="F606" s="18">
        <f>SUM(F607:F607)</f>
        <v>30</v>
      </c>
      <c r="G606" s="18">
        <f>SUM(G607:G607)</f>
        <v>0</v>
      </c>
      <c r="H606" s="18">
        <f>SUM(H607:H607)</f>
        <v>0</v>
      </c>
      <c r="I606" s="17" t="s">
        <v>975</v>
      </c>
      <c r="J606" s="19" t="s">
        <v>19</v>
      </c>
      <c r="K606" s="54">
        <v>100</v>
      </c>
      <c r="L606" s="54"/>
      <c r="M606" s="55"/>
    </row>
    <row r="607" spans="1:13" ht="15.75" thickBot="1" x14ac:dyDescent="0.3">
      <c r="A607" s="87"/>
      <c r="B607" s="90"/>
      <c r="C607" s="90"/>
      <c r="D607" s="21" t="s">
        <v>120</v>
      </c>
      <c r="E607" s="21"/>
      <c r="F607" s="22">
        <v>30</v>
      </c>
      <c r="G607" s="22">
        <v>0</v>
      </c>
      <c r="H607" s="22">
        <v>0</v>
      </c>
      <c r="I607" s="21"/>
      <c r="J607" s="23"/>
      <c r="K607" s="56"/>
      <c r="L607" s="56"/>
      <c r="M607" s="57"/>
    </row>
    <row r="608" spans="1:13" ht="28.5" customHeight="1" thickBot="1" x14ac:dyDescent="0.3">
      <c r="A608" s="4" t="s">
        <v>976</v>
      </c>
      <c r="B608" s="5" t="s">
        <v>977</v>
      </c>
      <c r="C608" s="91" t="s">
        <v>978</v>
      </c>
      <c r="D608" s="92"/>
      <c r="E608" s="93"/>
      <c r="F608" s="6">
        <f>F609+F684</f>
        <v>21609.700000000004</v>
      </c>
      <c r="G608" s="6">
        <f>G609+G684</f>
        <v>19604.199999999997</v>
      </c>
      <c r="H608" s="6">
        <f>H609+H684</f>
        <v>19039.699999999997</v>
      </c>
      <c r="I608" s="68"/>
      <c r="J608" s="69"/>
      <c r="K608" s="69"/>
      <c r="L608" s="69"/>
      <c r="M608" s="70"/>
    </row>
    <row r="609" spans="1:13" ht="25.5" x14ac:dyDescent="0.25">
      <c r="A609" s="100" t="s">
        <v>979</v>
      </c>
      <c r="B609" s="103" t="s">
        <v>980</v>
      </c>
      <c r="C609" s="104"/>
      <c r="D609" s="104"/>
      <c r="E609" s="105"/>
      <c r="F609" s="9">
        <f>F610+F611+F612+F640+F661+F670+F679</f>
        <v>21013.300000000003</v>
      </c>
      <c r="G609" s="9">
        <f>G610+G611+G612+G640+G661+G670+G679</f>
        <v>19222.599999999999</v>
      </c>
      <c r="H609" s="9">
        <f>H610+H611+H612+H640+H661+H670+H679</f>
        <v>18658.099999999999</v>
      </c>
      <c r="I609" s="8" t="s">
        <v>981</v>
      </c>
      <c r="J609" s="10" t="s">
        <v>19</v>
      </c>
      <c r="K609" s="50">
        <v>80</v>
      </c>
      <c r="L609" s="50">
        <v>80</v>
      </c>
      <c r="M609" s="51">
        <v>80</v>
      </c>
    </row>
    <row r="610" spans="1:13" x14ac:dyDescent="0.25">
      <c r="A610" s="101"/>
      <c r="B610" s="106"/>
      <c r="C610" s="107"/>
      <c r="D610" s="107"/>
      <c r="E610" s="108"/>
      <c r="F610" s="36">
        <v>0</v>
      </c>
      <c r="G610" s="36">
        <v>0</v>
      </c>
      <c r="H610" s="36">
        <v>0</v>
      </c>
      <c r="I610" s="37" t="s">
        <v>982</v>
      </c>
      <c r="J610" s="38" t="s">
        <v>23</v>
      </c>
      <c r="K610" s="52">
        <v>12000</v>
      </c>
      <c r="L610" s="52">
        <v>14000</v>
      </c>
      <c r="M610" s="53">
        <v>20000</v>
      </c>
    </row>
    <row r="611" spans="1:13" ht="15.75" thickBot="1" x14ac:dyDescent="0.3">
      <c r="A611" s="102"/>
      <c r="B611" s="109"/>
      <c r="C611" s="110"/>
      <c r="D611" s="110"/>
      <c r="E611" s="111"/>
      <c r="F611" s="36">
        <v>0</v>
      </c>
      <c r="G611" s="36">
        <v>0</v>
      </c>
      <c r="H611" s="36">
        <v>0</v>
      </c>
      <c r="I611" s="37" t="s">
        <v>983</v>
      </c>
      <c r="J611" s="38" t="s">
        <v>23</v>
      </c>
      <c r="K611" s="52">
        <v>25</v>
      </c>
      <c r="L611" s="52">
        <v>27</v>
      </c>
      <c r="M611" s="53">
        <v>27</v>
      </c>
    </row>
    <row r="612" spans="1:13" ht="27.75" customHeight="1" thickBot="1" x14ac:dyDescent="0.3">
      <c r="A612" s="11" t="s">
        <v>984</v>
      </c>
      <c r="B612" s="65" t="s">
        <v>985</v>
      </c>
      <c r="C612" s="66"/>
      <c r="D612" s="66"/>
      <c r="E612" s="67"/>
      <c r="F612" s="13">
        <f>F613+F624+F627+F628+F631+F633+F636</f>
        <v>11978.8</v>
      </c>
      <c r="G612" s="13">
        <f>G613+G624+G627+G628+G631+G633+G636</f>
        <v>11567.4</v>
      </c>
      <c r="H612" s="13">
        <f>H613+H624+H627+H628+H631+H633+H636</f>
        <v>11467.4</v>
      </c>
      <c r="I612" s="82"/>
      <c r="J612" s="83"/>
      <c r="K612" s="83"/>
      <c r="L612" s="83"/>
      <c r="M612" s="84"/>
    </row>
    <row r="613" spans="1:13" x14ac:dyDescent="0.25">
      <c r="A613" s="85" t="s">
        <v>986</v>
      </c>
      <c r="B613" s="88" t="s">
        <v>987</v>
      </c>
      <c r="C613" s="88" t="s">
        <v>988</v>
      </c>
      <c r="D613" s="17"/>
      <c r="E613" s="17"/>
      <c r="F613" s="18">
        <f>SUM(F614:F623)</f>
        <v>8899.4</v>
      </c>
      <c r="G613" s="18">
        <f>SUM(G614:G623)</f>
        <v>8488.4</v>
      </c>
      <c r="H613" s="18">
        <f>SUM(H614:H623)</f>
        <v>8488.4</v>
      </c>
      <c r="I613" s="17" t="s">
        <v>989</v>
      </c>
      <c r="J613" s="19" t="s">
        <v>239</v>
      </c>
      <c r="K613" s="46">
        <v>181</v>
      </c>
      <c r="L613" s="46">
        <v>181</v>
      </c>
      <c r="M613" s="47">
        <v>209</v>
      </c>
    </row>
    <row r="614" spans="1:13" x14ac:dyDescent="0.25">
      <c r="A614" s="86"/>
      <c r="B614" s="89"/>
      <c r="C614" s="89"/>
      <c r="D614" s="21" t="s">
        <v>35</v>
      </c>
      <c r="E614" s="21"/>
      <c r="F614" s="22">
        <v>411</v>
      </c>
      <c r="G614" s="22">
        <v>0</v>
      </c>
      <c r="H614" s="22">
        <v>0</v>
      </c>
      <c r="I614" s="21" t="s">
        <v>990</v>
      </c>
      <c r="J614" s="23" t="s">
        <v>239</v>
      </c>
      <c r="K614" s="48">
        <v>85</v>
      </c>
      <c r="L614" s="48">
        <v>85</v>
      </c>
      <c r="M614" s="49">
        <v>57</v>
      </c>
    </row>
    <row r="615" spans="1:13" x14ac:dyDescent="0.25">
      <c r="A615" s="86"/>
      <c r="B615" s="89"/>
      <c r="C615" s="89"/>
      <c r="D615" s="21" t="s">
        <v>122</v>
      </c>
      <c r="E615" s="21"/>
      <c r="F615" s="22">
        <v>1.5</v>
      </c>
      <c r="G615" s="22">
        <v>1.5</v>
      </c>
      <c r="H615" s="22">
        <v>1.5</v>
      </c>
      <c r="I615" s="21" t="s">
        <v>991</v>
      </c>
      <c r="J615" s="23" t="s">
        <v>19</v>
      </c>
      <c r="K615" s="48">
        <v>100</v>
      </c>
      <c r="L615" s="48">
        <v>100</v>
      </c>
      <c r="M615" s="49">
        <v>100</v>
      </c>
    </row>
    <row r="616" spans="1:13" x14ac:dyDescent="0.25">
      <c r="A616" s="86"/>
      <c r="B616" s="89"/>
      <c r="C616" s="89"/>
      <c r="D616" s="21" t="s">
        <v>29</v>
      </c>
      <c r="E616" s="21"/>
      <c r="F616" s="22">
        <v>8486.9</v>
      </c>
      <c r="G616" s="22">
        <v>8486.9</v>
      </c>
      <c r="H616" s="22">
        <v>8486.9</v>
      </c>
      <c r="I616" s="21" t="s">
        <v>992</v>
      </c>
      <c r="J616" s="23" t="s">
        <v>23</v>
      </c>
      <c r="K616" s="48">
        <v>40</v>
      </c>
      <c r="L616" s="48">
        <v>40</v>
      </c>
      <c r="M616" s="49">
        <v>40</v>
      </c>
    </row>
    <row r="617" spans="1:13" x14ac:dyDescent="0.25">
      <c r="A617" s="86"/>
      <c r="B617" s="89"/>
      <c r="C617" s="89"/>
      <c r="D617" s="21"/>
      <c r="E617" s="21"/>
      <c r="F617" s="22">
        <v>0</v>
      </c>
      <c r="G617" s="22">
        <v>0</v>
      </c>
      <c r="H617" s="22">
        <v>0</v>
      </c>
      <c r="I617" s="21" t="s">
        <v>993</v>
      </c>
      <c r="J617" s="23" t="s">
        <v>23</v>
      </c>
      <c r="K617" s="48">
        <v>3</v>
      </c>
      <c r="L617" s="48">
        <v>3</v>
      </c>
      <c r="M617" s="49">
        <v>3</v>
      </c>
    </row>
    <row r="618" spans="1:13" x14ac:dyDescent="0.25">
      <c r="A618" s="86"/>
      <c r="B618" s="89"/>
      <c r="C618" s="89"/>
      <c r="D618" s="21"/>
      <c r="E618" s="21"/>
      <c r="F618" s="22">
        <v>0</v>
      </c>
      <c r="G618" s="22">
        <v>0</v>
      </c>
      <c r="H618" s="22">
        <v>0</v>
      </c>
      <c r="I618" s="21" t="s">
        <v>994</v>
      </c>
      <c r="J618" s="23" t="s">
        <v>23</v>
      </c>
      <c r="K618" s="48">
        <v>3</v>
      </c>
      <c r="L618" s="48">
        <v>10</v>
      </c>
      <c r="M618" s="49">
        <v>10</v>
      </c>
    </row>
    <row r="619" spans="1:13" x14ac:dyDescent="0.25">
      <c r="A619" s="86"/>
      <c r="B619" s="89"/>
      <c r="C619" s="89"/>
      <c r="D619" s="21"/>
      <c r="E619" s="21"/>
      <c r="F619" s="22">
        <v>0</v>
      </c>
      <c r="G619" s="22">
        <v>0</v>
      </c>
      <c r="H619" s="22">
        <v>0</v>
      </c>
      <c r="I619" s="21" t="s">
        <v>995</v>
      </c>
      <c r="J619" s="23" t="s">
        <v>23</v>
      </c>
      <c r="K619" s="48">
        <v>1</v>
      </c>
      <c r="L619" s="48">
        <v>3</v>
      </c>
      <c r="M619" s="49">
        <v>3</v>
      </c>
    </row>
    <row r="620" spans="1:13" x14ac:dyDescent="0.25">
      <c r="A620" s="86"/>
      <c r="B620" s="89"/>
      <c r="C620" s="89"/>
      <c r="D620" s="21"/>
      <c r="E620" s="21"/>
      <c r="F620" s="22">
        <v>0</v>
      </c>
      <c r="G620" s="22">
        <v>0</v>
      </c>
      <c r="H620" s="22">
        <v>0</v>
      </c>
      <c r="I620" s="21" t="s">
        <v>996</v>
      </c>
      <c r="J620" s="23" t="s">
        <v>23</v>
      </c>
      <c r="K620" s="48">
        <v>300</v>
      </c>
      <c r="L620" s="48">
        <v>330</v>
      </c>
      <c r="M620" s="49">
        <v>330</v>
      </c>
    </row>
    <row r="621" spans="1:13" ht="25.5" x14ac:dyDescent="0.25">
      <c r="A621" s="86"/>
      <c r="B621" s="89"/>
      <c r="C621" s="89"/>
      <c r="D621" s="21"/>
      <c r="E621" s="21"/>
      <c r="F621" s="22">
        <v>0</v>
      </c>
      <c r="G621" s="22">
        <v>0</v>
      </c>
      <c r="H621" s="22">
        <v>0</v>
      </c>
      <c r="I621" s="21" t="s">
        <v>997</v>
      </c>
      <c r="J621" s="23" t="s">
        <v>239</v>
      </c>
      <c r="K621" s="48">
        <v>18000</v>
      </c>
      <c r="L621" s="48">
        <v>19000</v>
      </c>
      <c r="M621" s="49">
        <v>20000</v>
      </c>
    </row>
    <row r="622" spans="1:13" x14ac:dyDescent="0.25">
      <c r="A622" s="86"/>
      <c r="B622" s="89"/>
      <c r="C622" s="89"/>
      <c r="D622" s="21"/>
      <c r="E622" s="21"/>
      <c r="F622" s="22">
        <v>0</v>
      </c>
      <c r="G622" s="22">
        <v>0</v>
      </c>
      <c r="H622" s="22">
        <v>0</v>
      </c>
      <c r="I622" s="21" t="s">
        <v>998</v>
      </c>
      <c r="J622" s="23" t="s">
        <v>239</v>
      </c>
      <c r="K622" s="48">
        <v>280</v>
      </c>
      <c r="L622" s="48">
        <v>280</v>
      </c>
      <c r="M622" s="49">
        <v>300</v>
      </c>
    </row>
    <row r="623" spans="1:13" ht="26.25" thickBot="1" x14ac:dyDescent="0.3">
      <c r="A623" s="87"/>
      <c r="B623" s="90"/>
      <c r="C623" s="90"/>
      <c r="D623" s="21"/>
      <c r="E623" s="21"/>
      <c r="F623" s="22">
        <v>0</v>
      </c>
      <c r="G623" s="22">
        <v>0</v>
      </c>
      <c r="H623" s="22">
        <v>0</v>
      </c>
      <c r="I623" s="21" t="s">
        <v>999</v>
      </c>
      <c r="J623" s="23" t="s">
        <v>239</v>
      </c>
      <c r="K623" s="48">
        <v>2000</v>
      </c>
      <c r="L623" s="48">
        <v>2200</v>
      </c>
      <c r="M623" s="49">
        <v>2400</v>
      </c>
    </row>
    <row r="624" spans="1:13" ht="24.75" customHeight="1" x14ac:dyDescent="0.25">
      <c r="A624" s="85" t="s">
        <v>1000</v>
      </c>
      <c r="B624" s="88" t="s">
        <v>1001</v>
      </c>
      <c r="C624" s="88" t="s">
        <v>988</v>
      </c>
      <c r="D624" s="17" t="s">
        <v>29</v>
      </c>
      <c r="E624" s="17"/>
      <c r="F624" s="18">
        <f>SUM(F625:F626)+804.1</f>
        <v>804.1</v>
      </c>
      <c r="G624" s="18">
        <f>SUM(G625:G626)+804.1</f>
        <v>804.1</v>
      </c>
      <c r="H624" s="18">
        <f>SUM(H625:H626)+804.1</f>
        <v>804.1</v>
      </c>
      <c r="I624" s="17" t="s">
        <v>1002</v>
      </c>
      <c r="J624" s="19" t="s">
        <v>239</v>
      </c>
      <c r="K624" s="46">
        <v>8</v>
      </c>
      <c r="L624" s="46">
        <v>8</v>
      </c>
      <c r="M624" s="47">
        <v>8</v>
      </c>
    </row>
    <row r="625" spans="1:13" x14ac:dyDescent="0.25">
      <c r="A625" s="86"/>
      <c r="B625" s="89"/>
      <c r="C625" s="89"/>
      <c r="D625" s="21"/>
      <c r="E625" s="21"/>
      <c r="F625" s="22">
        <v>0</v>
      </c>
      <c r="G625" s="22">
        <v>0</v>
      </c>
      <c r="H625" s="22">
        <v>0</v>
      </c>
      <c r="I625" s="21" t="s">
        <v>1003</v>
      </c>
      <c r="J625" s="23" t="s">
        <v>19</v>
      </c>
      <c r="K625" s="48">
        <v>100</v>
      </c>
      <c r="L625" s="48">
        <v>100</v>
      </c>
      <c r="M625" s="49">
        <v>100</v>
      </c>
    </row>
    <row r="626" spans="1:13" ht="15.75" thickBot="1" x14ac:dyDescent="0.3">
      <c r="A626" s="87"/>
      <c r="B626" s="90"/>
      <c r="C626" s="90"/>
      <c r="D626" s="21"/>
      <c r="E626" s="21"/>
      <c r="F626" s="22">
        <v>0</v>
      </c>
      <c r="G626" s="22">
        <v>0</v>
      </c>
      <c r="H626" s="22">
        <v>0</v>
      </c>
      <c r="I626" s="21" t="s">
        <v>1004</v>
      </c>
      <c r="J626" s="23" t="s">
        <v>19</v>
      </c>
      <c r="K626" s="48">
        <v>100</v>
      </c>
      <c r="L626" s="48">
        <v>100</v>
      </c>
      <c r="M626" s="49">
        <v>100</v>
      </c>
    </row>
    <row r="627" spans="1:13" ht="39" thickBot="1" x14ac:dyDescent="0.3">
      <c r="A627" s="15" t="s">
        <v>1005</v>
      </c>
      <c r="B627" s="16" t="s">
        <v>1006</v>
      </c>
      <c r="C627" s="17" t="s">
        <v>1007</v>
      </c>
      <c r="D627" s="17" t="s">
        <v>29</v>
      </c>
      <c r="E627" s="17"/>
      <c r="F627" s="24">
        <v>319.39999999999998</v>
      </c>
      <c r="G627" s="24">
        <v>319.39999999999998</v>
      </c>
      <c r="H627" s="24">
        <v>319.39999999999998</v>
      </c>
      <c r="I627" s="17" t="s">
        <v>1008</v>
      </c>
      <c r="J627" s="19" t="s">
        <v>239</v>
      </c>
      <c r="K627" s="46">
        <v>6</v>
      </c>
      <c r="L627" s="46">
        <v>6</v>
      </c>
      <c r="M627" s="47">
        <v>6</v>
      </c>
    </row>
    <row r="628" spans="1:13" ht="25.5" x14ac:dyDescent="0.25">
      <c r="A628" s="85" t="s">
        <v>1009</v>
      </c>
      <c r="B628" s="88" t="s">
        <v>1010</v>
      </c>
      <c r="C628" s="88" t="s">
        <v>382</v>
      </c>
      <c r="D628" s="17"/>
      <c r="E628" s="17"/>
      <c r="F628" s="18">
        <f>SUM(F629:F630)</f>
        <v>1543</v>
      </c>
      <c r="G628" s="18">
        <f>SUM(G629:G630)</f>
        <v>1492.6</v>
      </c>
      <c r="H628" s="18">
        <f>SUM(H629:H630)</f>
        <v>1492.6</v>
      </c>
      <c r="I628" s="17" t="s">
        <v>1011</v>
      </c>
      <c r="J628" s="19" t="s">
        <v>19</v>
      </c>
      <c r="K628" s="46">
        <v>100</v>
      </c>
      <c r="L628" s="46">
        <v>100</v>
      </c>
      <c r="M628" s="47">
        <v>100</v>
      </c>
    </row>
    <row r="629" spans="1:13" x14ac:dyDescent="0.25">
      <c r="A629" s="86"/>
      <c r="B629" s="89"/>
      <c r="C629" s="89"/>
      <c r="D629" s="21" t="s">
        <v>29</v>
      </c>
      <c r="E629" s="21"/>
      <c r="F629" s="22">
        <v>1492.6</v>
      </c>
      <c r="G629" s="22">
        <v>1492.6</v>
      </c>
      <c r="H629" s="22">
        <v>1492.6</v>
      </c>
      <c r="I629" s="21"/>
      <c r="J629" s="23"/>
      <c r="K629" s="48"/>
      <c r="L629" s="48"/>
      <c r="M629" s="49"/>
    </row>
    <row r="630" spans="1:13" ht="15.75" thickBot="1" x14ac:dyDescent="0.3">
      <c r="A630" s="87"/>
      <c r="B630" s="90"/>
      <c r="C630" s="90"/>
      <c r="D630" s="21" t="s">
        <v>35</v>
      </c>
      <c r="E630" s="21"/>
      <c r="F630" s="22">
        <v>50.4</v>
      </c>
      <c r="G630" s="22">
        <v>0</v>
      </c>
      <c r="H630" s="22">
        <v>0</v>
      </c>
      <c r="I630" s="21"/>
      <c r="J630" s="23"/>
      <c r="K630" s="48"/>
      <c r="L630" s="48"/>
      <c r="M630" s="49"/>
    </row>
    <row r="631" spans="1:13" ht="38.25" customHeight="1" x14ac:dyDescent="0.25">
      <c r="A631" s="85" t="s">
        <v>1012</v>
      </c>
      <c r="B631" s="88" t="s">
        <v>1013</v>
      </c>
      <c r="C631" s="88" t="s">
        <v>318</v>
      </c>
      <c r="D631" s="17"/>
      <c r="E631" s="17"/>
      <c r="F631" s="18">
        <f>SUM(F632:F632)</f>
        <v>87.9</v>
      </c>
      <c r="G631" s="18">
        <f>SUM(G632:G632)</f>
        <v>87.9</v>
      </c>
      <c r="H631" s="18">
        <f>SUM(H632:H632)</f>
        <v>87.9</v>
      </c>
      <c r="I631" s="17" t="s">
        <v>1014</v>
      </c>
      <c r="J631" s="19" t="s">
        <v>19</v>
      </c>
      <c r="K631" s="46">
        <v>100</v>
      </c>
      <c r="L631" s="46">
        <v>100</v>
      </c>
      <c r="M631" s="47">
        <v>100</v>
      </c>
    </row>
    <row r="632" spans="1:13" ht="15.75" thickBot="1" x14ac:dyDescent="0.3">
      <c r="A632" s="87"/>
      <c r="B632" s="90"/>
      <c r="C632" s="90"/>
      <c r="D632" s="21" t="s">
        <v>29</v>
      </c>
      <c r="E632" s="21"/>
      <c r="F632" s="22">
        <v>87.9</v>
      </c>
      <c r="G632" s="22">
        <v>87.9</v>
      </c>
      <c r="H632" s="22">
        <v>87.9</v>
      </c>
      <c r="I632" s="21"/>
      <c r="J632" s="23"/>
      <c r="K632" s="48"/>
      <c r="L632" s="48"/>
      <c r="M632" s="49"/>
    </row>
    <row r="633" spans="1:13" ht="38.25" customHeight="1" x14ac:dyDescent="0.25">
      <c r="A633" s="85" t="s">
        <v>1015</v>
      </c>
      <c r="B633" s="88" t="s">
        <v>1016</v>
      </c>
      <c r="C633" s="88" t="s">
        <v>974</v>
      </c>
      <c r="D633" s="17"/>
      <c r="E633" s="17"/>
      <c r="F633" s="18">
        <f>SUM(F634:F635)</f>
        <v>275</v>
      </c>
      <c r="G633" s="18">
        <f>SUM(G634:G635)</f>
        <v>275</v>
      </c>
      <c r="H633" s="18">
        <f>SUM(H634:H635)</f>
        <v>275</v>
      </c>
      <c r="I633" s="17" t="s">
        <v>1017</v>
      </c>
      <c r="J633" s="19" t="s">
        <v>19</v>
      </c>
      <c r="K633" s="46">
        <v>100</v>
      </c>
      <c r="L633" s="46">
        <v>100</v>
      </c>
      <c r="M633" s="47">
        <v>100</v>
      </c>
    </row>
    <row r="634" spans="1:13" x14ac:dyDescent="0.25">
      <c r="A634" s="86"/>
      <c r="B634" s="89"/>
      <c r="C634" s="89"/>
      <c r="D634" s="21" t="s">
        <v>35</v>
      </c>
      <c r="E634" s="21"/>
      <c r="F634" s="22">
        <v>45</v>
      </c>
      <c r="G634" s="22">
        <v>0</v>
      </c>
      <c r="H634" s="22">
        <v>0</v>
      </c>
      <c r="I634" s="21"/>
      <c r="J634" s="23"/>
      <c r="K634" s="48"/>
      <c r="L634" s="48"/>
      <c r="M634" s="49"/>
    </row>
    <row r="635" spans="1:13" ht="15.75" thickBot="1" x14ac:dyDescent="0.3">
      <c r="A635" s="87"/>
      <c r="B635" s="90"/>
      <c r="C635" s="90"/>
      <c r="D635" s="21" t="s">
        <v>29</v>
      </c>
      <c r="E635" s="21"/>
      <c r="F635" s="22">
        <v>230</v>
      </c>
      <c r="G635" s="22">
        <v>275</v>
      </c>
      <c r="H635" s="22">
        <v>275</v>
      </c>
      <c r="I635" s="21"/>
      <c r="J635" s="23"/>
      <c r="K635" s="48"/>
      <c r="L635" s="48"/>
      <c r="M635" s="49"/>
    </row>
    <row r="636" spans="1:13" x14ac:dyDescent="0.25">
      <c r="A636" s="85" t="s">
        <v>1018</v>
      </c>
      <c r="B636" s="88" t="s">
        <v>1019</v>
      </c>
      <c r="C636" s="88" t="s">
        <v>1020</v>
      </c>
      <c r="D636" s="17" t="s">
        <v>29</v>
      </c>
      <c r="E636" s="17"/>
      <c r="F636" s="18">
        <f>SUM(F637:F639)+50</f>
        <v>50</v>
      </c>
      <c r="G636" s="18">
        <f>SUM(G637:G639)+100</f>
        <v>100</v>
      </c>
      <c r="H636" s="18">
        <f>SUM(H637:H639)</f>
        <v>0</v>
      </c>
      <c r="I636" s="17" t="s">
        <v>1021</v>
      </c>
      <c r="J636" s="19" t="s">
        <v>239</v>
      </c>
      <c r="K636" s="46">
        <v>1</v>
      </c>
      <c r="L636" s="46"/>
      <c r="M636" s="47"/>
    </row>
    <row r="637" spans="1:13" x14ac:dyDescent="0.25">
      <c r="A637" s="86"/>
      <c r="B637" s="89"/>
      <c r="C637" s="89"/>
      <c r="D637" s="21"/>
      <c r="E637" s="21"/>
      <c r="F637" s="22">
        <v>0</v>
      </c>
      <c r="G637" s="22">
        <v>0</v>
      </c>
      <c r="H637" s="22">
        <v>0</v>
      </c>
      <c r="I637" s="21" t="s">
        <v>1022</v>
      </c>
      <c r="J637" s="23" t="s">
        <v>23</v>
      </c>
      <c r="K637" s="48">
        <v>1</v>
      </c>
      <c r="L637" s="48"/>
      <c r="M637" s="49"/>
    </row>
    <row r="638" spans="1:13" x14ac:dyDescent="0.25">
      <c r="A638" s="86"/>
      <c r="B638" s="89"/>
      <c r="C638" s="89"/>
      <c r="D638" s="21"/>
      <c r="E638" s="21"/>
      <c r="F638" s="22">
        <v>0</v>
      </c>
      <c r="G638" s="22">
        <v>0</v>
      </c>
      <c r="H638" s="22">
        <v>0</v>
      </c>
      <c r="I638" s="21" t="s">
        <v>1023</v>
      </c>
      <c r="J638" s="23" t="s">
        <v>23</v>
      </c>
      <c r="K638" s="48"/>
      <c r="L638" s="48">
        <v>1</v>
      </c>
      <c r="M638" s="49"/>
    </row>
    <row r="639" spans="1:13" ht="15.75" thickBot="1" x14ac:dyDescent="0.3">
      <c r="A639" s="87"/>
      <c r="B639" s="90"/>
      <c r="C639" s="90"/>
      <c r="D639" s="21"/>
      <c r="E639" s="21"/>
      <c r="F639" s="22">
        <v>0</v>
      </c>
      <c r="G639" s="22">
        <v>0</v>
      </c>
      <c r="H639" s="22">
        <v>0</v>
      </c>
      <c r="I639" s="21" t="s">
        <v>1024</v>
      </c>
      <c r="J639" s="23" t="s">
        <v>23</v>
      </c>
      <c r="K639" s="48"/>
      <c r="L639" s="48">
        <v>1</v>
      </c>
      <c r="M639" s="49"/>
    </row>
    <row r="640" spans="1:13" ht="26.25" customHeight="1" thickBot="1" x14ac:dyDescent="0.3">
      <c r="A640" s="11" t="s">
        <v>1025</v>
      </c>
      <c r="B640" s="65" t="s">
        <v>1026</v>
      </c>
      <c r="C640" s="66"/>
      <c r="D640" s="66"/>
      <c r="E640" s="67"/>
      <c r="F640" s="13">
        <f>F641+F642+F643+F644+F645+F646+F647+F648+F649+F650+F651+F652+F653+F654+F655+F656+F657+F659+F660</f>
        <v>547.79999999999995</v>
      </c>
      <c r="G640" s="13">
        <f>G641+G642+G643+G644+G645+G646+G647+G648+G649+G650+G651+G652+G653+G654+G655+G656+G657+G659+G660</f>
        <v>547.79999999999995</v>
      </c>
      <c r="H640" s="13">
        <f>H641+H642+H643+H644+H645+H646+H647+H648+H649+H650+H651+H652+H653+H654+H655+H656+H657+H659+H660</f>
        <v>547.79999999999995</v>
      </c>
      <c r="I640" s="82"/>
      <c r="J640" s="83"/>
      <c r="K640" s="83"/>
      <c r="L640" s="83"/>
      <c r="M640" s="84"/>
    </row>
    <row r="641" spans="1:13" ht="15.75" thickBot="1" x14ac:dyDescent="0.3">
      <c r="A641" s="15" t="s">
        <v>1027</v>
      </c>
      <c r="B641" s="16" t="s">
        <v>1028</v>
      </c>
      <c r="C641" s="17" t="s">
        <v>978</v>
      </c>
      <c r="D641" s="17" t="s">
        <v>493</v>
      </c>
      <c r="E641" s="17"/>
      <c r="F641" s="24">
        <v>11.3</v>
      </c>
      <c r="G641" s="24">
        <v>11.3</v>
      </c>
      <c r="H641" s="24">
        <v>11.3</v>
      </c>
      <c r="I641" s="17" t="s">
        <v>1029</v>
      </c>
      <c r="J641" s="19" t="s">
        <v>19</v>
      </c>
      <c r="K641" s="19">
        <v>100</v>
      </c>
      <c r="L641" s="19">
        <v>100</v>
      </c>
      <c r="M641" s="40">
        <v>100</v>
      </c>
    </row>
    <row r="642" spans="1:13" ht="26.25" thickBot="1" x14ac:dyDescent="0.3">
      <c r="A642" s="15" t="s">
        <v>1030</v>
      </c>
      <c r="B642" s="16" t="s">
        <v>1031</v>
      </c>
      <c r="C642" s="17" t="s">
        <v>382</v>
      </c>
      <c r="D642" s="17" t="s">
        <v>493</v>
      </c>
      <c r="E642" s="17"/>
      <c r="F642" s="24">
        <v>0.2</v>
      </c>
      <c r="G642" s="24">
        <v>0.2</v>
      </c>
      <c r="H642" s="24">
        <v>0.2</v>
      </c>
      <c r="I642" s="17" t="s">
        <v>1029</v>
      </c>
      <c r="J642" s="19" t="s">
        <v>19</v>
      </c>
      <c r="K642" s="19">
        <v>100</v>
      </c>
      <c r="L642" s="19">
        <v>100</v>
      </c>
      <c r="M642" s="40">
        <v>100</v>
      </c>
    </row>
    <row r="643" spans="1:13" ht="15.75" thickBot="1" x14ac:dyDescent="0.3">
      <c r="A643" s="15" t="s">
        <v>1032</v>
      </c>
      <c r="B643" s="16" t="s">
        <v>1033</v>
      </c>
      <c r="C643" s="17" t="s">
        <v>1034</v>
      </c>
      <c r="D643" s="17" t="s">
        <v>493</v>
      </c>
      <c r="E643" s="17"/>
      <c r="F643" s="24">
        <v>28.8</v>
      </c>
      <c r="G643" s="24">
        <v>28.8</v>
      </c>
      <c r="H643" s="24">
        <v>28.8</v>
      </c>
      <c r="I643" s="17" t="s">
        <v>1029</v>
      </c>
      <c r="J643" s="19" t="s">
        <v>19</v>
      </c>
      <c r="K643" s="19">
        <v>100</v>
      </c>
      <c r="L643" s="19">
        <v>100</v>
      </c>
      <c r="M643" s="40">
        <v>100</v>
      </c>
    </row>
    <row r="644" spans="1:13" ht="26.25" thickBot="1" x14ac:dyDescent="0.3">
      <c r="A644" s="15" t="s">
        <v>1035</v>
      </c>
      <c r="B644" s="16" t="s">
        <v>1036</v>
      </c>
      <c r="C644" s="17" t="s">
        <v>1037</v>
      </c>
      <c r="D644" s="17" t="s">
        <v>493</v>
      </c>
      <c r="E644" s="17"/>
      <c r="F644" s="24">
        <v>58.4</v>
      </c>
      <c r="G644" s="24">
        <v>58.4</v>
      </c>
      <c r="H644" s="24">
        <v>58.4</v>
      </c>
      <c r="I644" s="17" t="s">
        <v>1029</v>
      </c>
      <c r="J644" s="19" t="s">
        <v>19</v>
      </c>
      <c r="K644" s="19">
        <v>100</v>
      </c>
      <c r="L644" s="19">
        <v>100</v>
      </c>
      <c r="M644" s="40">
        <v>100</v>
      </c>
    </row>
    <row r="645" spans="1:13" ht="26.25" thickBot="1" x14ac:dyDescent="0.3">
      <c r="A645" s="15" t="s">
        <v>1038</v>
      </c>
      <c r="B645" s="16" t="s">
        <v>1039</v>
      </c>
      <c r="C645" s="17" t="s">
        <v>1037</v>
      </c>
      <c r="D645" s="17" t="s">
        <v>493</v>
      </c>
      <c r="E645" s="17"/>
      <c r="F645" s="24">
        <v>1.9</v>
      </c>
      <c r="G645" s="24">
        <v>1.9</v>
      </c>
      <c r="H645" s="24">
        <v>1.9</v>
      </c>
      <c r="I645" s="17" t="s">
        <v>1029</v>
      </c>
      <c r="J645" s="19" t="s">
        <v>19</v>
      </c>
      <c r="K645" s="19">
        <v>100</v>
      </c>
      <c r="L645" s="19">
        <v>100</v>
      </c>
      <c r="M645" s="40">
        <v>100</v>
      </c>
    </row>
    <row r="646" spans="1:13" ht="26.25" thickBot="1" x14ac:dyDescent="0.3">
      <c r="A646" s="15" t="s">
        <v>1040</v>
      </c>
      <c r="B646" s="16" t="s">
        <v>1041</v>
      </c>
      <c r="C646" s="17" t="s">
        <v>90</v>
      </c>
      <c r="D646" s="17" t="s">
        <v>493</v>
      </c>
      <c r="E646" s="17"/>
      <c r="F646" s="24">
        <v>17</v>
      </c>
      <c r="G646" s="24">
        <v>17</v>
      </c>
      <c r="H646" s="24">
        <v>17</v>
      </c>
      <c r="I646" s="17" t="s">
        <v>1029</v>
      </c>
      <c r="J646" s="19" t="s">
        <v>19</v>
      </c>
      <c r="K646" s="19">
        <v>100</v>
      </c>
      <c r="L646" s="19">
        <v>100</v>
      </c>
      <c r="M646" s="40">
        <v>100</v>
      </c>
    </row>
    <row r="647" spans="1:13" ht="39" thickBot="1" x14ac:dyDescent="0.3">
      <c r="A647" s="15" t="s">
        <v>1042</v>
      </c>
      <c r="B647" s="16" t="s">
        <v>1043</v>
      </c>
      <c r="C647" s="17" t="s">
        <v>1044</v>
      </c>
      <c r="D647" s="17" t="s">
        <v>493</v>
      </c>
      <c r="E647" s="17"/>
      <c r="F647" s="24">
        <v>27.3</v>
      </c>
      <c r="G647" s="24">
        <v>27.3</v>
      </c>
      <c r="H647" s="24">
        <v>27.3</v>
      </c>
      <c r="I647" s="17" t="s">
        <v>1029</v>
      </c>
      <c r="J647" s="19" t="s">
        <v>19</v>
      </c>
      <c r="K647" s="19">
        <v>100</v>
      </c>
      <c r="L647" s="19">
        <v>100</v>
      </c>
      <c r="M647" s="40">
        <v>100</v>
      </c>
    </row>
    <row r="648" spans="1:13" ht="15.75" thickBot="1" x14ac:dyDescent="0.3">
      <c r="A648" s="15" t="s">
        <v>1045</v>
      </c>
      <c r="B648" s="16" t="s">
        <v>1046</v>
      </c>
      <c r="C648" s="17" t="s">
        <v>978</v>
      </c>
      <c r="D648" s="17" t="s">
        <v>493</v>
      </c>
      <c r="E648" s="17"/>
      <c r="F648" s="24">
        <v>80.599999999999994</v>
      </c>
      <c r="G648" s="24">
        <v>80.599999999999994</v>
      </c>
      <c r="H648" s="24">
        <v>80.599999999999994</v>
      </c>
      <c r="I648" s="17" t="s">
        <v>1029</v>
      </c>
      <c r="J648" s="19" t="s">
        <v>19</v>
      </c>
      <c r="K648" s="19">
        <v>100</v>
      </c>
      <c r="L648" s="19">
        <v>100</v>
      </c>
      <c r="M648" s="40">
        <v>100</v>
      </c>
    </row>
    <row r="649" spans="1:13" ht="26.25" thickBot="1" x14ac:dyDescent="0.3">
      <c r="A649" s="15" t="s">
        <v>1047</v>
      </c>
      <c r="B649" s="16" t="s">
        <v>1048</v>
      </c>
      <c r="C649" s="17" t="s">
        <v>974</v>
      </c>
      <c r="D649" s="17" t="s">
        <v>493</v>
      </c>
      <c r="E649" s="17"/>
      <c r="F649" s="24">
        <v>40.1</v>
      </c>
      <c r="G649" s="24">
        <v>40.1</v>
      </c>
      <c r="H649" s="24">
        <v>40.1</v>
      </c>
      <c r="I649" s="17" t="s">
        <v>1029</v>
      </c>
      <c r="J649" s="19" t="s">
        <v>19</v>
      </c>
      <c r="K649" s="19">
        <v>100</v>
      </c>
      <c r="L649" s="19">
        <v>100</v>
      </c>
      <c r="M649" s="40">
        <v>100</v>
      </c>
    </row>
    <row r="650" spans="1:13" ht="26.25" thickBot="1" x14ac:dyDescent="0.3">
      <c r="A650" s="15" t="s">
        <v>1049</v>
      </c>
      <c r="B650" s="16" t="s">
        <v>1050</v>
      </c>
      <c r="C650" s="17" t="s">
        <v>974</v>
      </c>
      <c r="D650" s="17" t="s">
        <v>493</v>
      </c>
      <c r="E650" s="17"/>
      <c r="F650" s="24">
        <v>92.2</v>
      </c>
      <c r="G650" s="24">
        <v>92.2</v>
      </c>
      <c r="H650" s="24">
        <v>92.2</v>
      </c>
      <c r="I650" s="17" t="s">
        <v>1029</v>
      </c>
      <c r="J650" s="19" t="s">
        <v>19</v>
      </c>
      <c r="K650" s="19">
        <v>100</v>
      </c>
      <c r="L650" s="19">
        <v>100</v>
      </c>
      <c r="M650" s="40">
        <v>100</v>
      </c>
    </row>
    <row r="651" spans="1:13" ht="26.25" thickBot="1" x14ac:dyDescent="0.3">
      <c r="A651" s="15" t="s">
        <v>1051</v>
      </c>
      <c r="B651" s="16" t="s">
        <v>1052</v>
      </c>
      <c r="C651" s="17" t="s">
        <v>187</v>
      </c>
      <c r="D651" s="17" t="s">
        <v>493</v>
      </c>
      <c r="E651" s="17"/>
      <c r="F651" s="24">
        <v>8.4</v>
      </c>
      <c r="G651" s="24">
        <v>8.4</v>
      </c>
      <c r="H651" s="24">
        <v>8.4</v>
      </c>
      <c r="I651" s="17" t="s">
        <v>1029</v>
      </c>
      <c r="J651" s="19" t="s">
        <v>19</v>
      </c>
      <c r="K651" s="19">
        <v>100</v>
      </c>
      <c r="L651" s="19">
        <v>100</v>
      </c>
      <c r="M651" s="40">
        <v>100</v>
      </c>
    </row>
    <row r="652" spans="1:13" ht="26.25" thickBot="1" x14ac:dyDescent="0.3">
      <c r="A652" s="15" t="s">
        <v>1053</v>
      </c>
      <c r="B652" s="16" t="s">
        <v>1054</v>
      </c>
      <c r="C652" s="17" t="s">
        <v>856</v>
      </c>
      <c r="D652" s="17" t="s">
        <v>493</v>
      </c>
      <c r="E652" s="17"/>
      <c r="F652" s="24">
        <v>7.6</v>
      </c>
      <c r="G652" s="24">
        <v>7.6</v>
      </c>
      <c r="H652" s="24">
        <v>7.6</v>
      </c>
      <c r="I652" s="17" t="s">
        <v>1029</v>
      </c>
      <c r="J652" s="19" t="s">
        <v>19</v>
      </c>
      <c r="K652" s="19">
        <v>100</v>
      </c>
      <c r="L652" s="19">
        <v>100</v>
      </c>
      <c r="M652" s="40">
        <v>100</v>
      </c>
    </row>
    <row r="653" spans="1:13" ht="26.25" thickBot="1" x14ac:dyDescent="0.3">
      <c r="A653" s="15" t="s">
        <v>1055</v>
      </c>
      <c r="B653" s="16" t="s">
        <v>1056</v>
      </c>
      <c r="C653" s="17" t="s">
        <v>954</v>
      </c>
      <c r="D653" s="17" t="s">
        <v>493</v>
      </c>
      <c r="E653" s="17"/>
      <c r="F653" s="24">
        <v>22</v>
      </c>
      <c r="G653" s="24">
        <v>22</v>
      </c>
      <c r="H653" s="24">
        <v>22</v>
      </c>
      <c r="I653" s="17" t="s">
        <v>1029</v>
      </c>
      <c r="J653" s="19" t="s">
        <v>19</v>
      </c>
      <c r="K653" s="19">
        <v>100</v>
      </c>
      <c r="L653" s="19">
        <v>100</v>
      </c>
      <c r="M653" s="40">
        <v>100</v>
      </c>
    </row>
    <row r="654" spans="1:13" ht="26.25" thickBot="1" x14ac:dyDescent="0.3">
      <c r="A654" s="15" t="s">
        <v>1057</v>
      </c>
      <c r="B654" s="16" t="s">
        <v>1058</v>
      </c>
      <c r="C654" s="17" t="s">
        <v>954</v>
      </c>
      <c r="D654" s="17" t="s">
        <v>493</v>
      </c>
      <c r="E654" s="17"/>
      <c r="F654" s="24">
        <v>55.8</v>
      </c>
      <c r="G654" s="24">
        <v>55.8</v>
      </c>
      <c r="H654" s="24">
        <v>55.8</v>
      </c>
      <c r="I654" s="17" t="s">
        <v>1029</v>
      </c>
      <c r="J654" s="19" t="s">
        <v>19</v>
      </c>
      <c r="K654" s="19">
        <v>100</v>
      </c>
      <c r="L654" s="19">
        <v>100</v>
      </c>
      <c r="M654" s="40">
        <v>100</v>
      </c>
    </row>
    <row r="655" spans="1:13" ht="26.25" thickBot="1" x14ac:dyDescent="0.3">
      <c r="A655" s="15" t="s">
        <v>1059</v>
      </c>
      <c r="B655" s="16" t="s">
        <v>1060</v>
      </c>
      <c r="C655" s="17" t="s">
        <v>856</v>
      </c>
      <c r="D655" s="17" t="s">
        <v>493</v>
      </c>
      <c r="E655" s="17"/>
      <c r="F655" s="24">
        <v>46.7</v>
      </c>
      <c r="G655" s="24">
        <v>46.7</v>
      </c>
      <c r="H655" s="24">
        <v>46.7</v>
      </c>
      <c r="I655" s="17" t="s">
        <v>1029</v>
      </c>
      <c r="J655" s="19" t="s">
        <v>19</v>
      </c>
      <c r="K655" s="19">
        <v>100</v>
      </c>
      <c r="L655" s="19">
        <v>100</v>
      </c>
      <c r="M655" s="40">
        <v>100</v>
      </c>
    </row>
    <row r="656" spans="1:13" ht="39" thickBot="1" x14ac:dyDescent="0.3">
      <c r="A656" s="15" t="s">
        <v>1061</v>
      </c>
      <c r="B656" s="16" t="s">
        <v>1062</v>
      </c>
      <c r="C656" s="17" t="s">
        <v>954</v>
      </c>
      <c r="D656" s="17" t="s">
        <v>493</v>
      </c>
      <c r="E656" s="17"/>
      <c r="F656" s="24">
        <v>2.2999999999999998</v>
      </c>
      <c r="G656" s="24">
        <v>2.2999999999999998</v>
      </c>
      <c r="H656" s="24">
        <v>2.2999999999999998</v>
      </c>
      <c r="I656" s="17" t="s">
        <v>1029</v>
      </c>
      <c r="J656" s="19" t="s">
        <v>19</v>
      </c>
      <c r="K656" s="19">
        <v>100</v>
      </c>
      <c r="L656" s="19">
        <v>100</v>
      </c>
      <c r="M656" s="40">
        <v>100</v>
      </c>
    </row>
    <row r="657" spans="1:13" ht="26.25" customHeight="1" x14ac:dyDescent="0.25">
      <c r="A657" s="85" t="s">
        <v>1063</v>
      </c>
      <c r="B657" s="88" t="s">
        <v>1064</v>
      </c>
      <c r="C657" s="88" t="s">
        <v>777</v>
      </c>
      <c r="D657" s="17" t="s">
        <v>493</v>
      </c>
      <c r="E657" s="17"/>
      <c r="F657" s="18">
        <f>SUM(F658:F658)+8.4</f>
        <v>8.4</v>
      </c>
      <c r="G657" s="18">
        <f>SUM(G658:G658)+8.4</f>
        <v>8.4</v>
      </c>
      <c r="H657" s="18">
        <f>SUM(H658:H658)+8.4</f>
        <v>8.4</v>
      </c>
      <c r="I657" s="17" t="s">
        <v>1065</v>
      </c>
      <c r="J657" s="19" t="s">
        <v>23</v>
      </c>
      <c r="K657" s="19">
        <v>2</v>
      </c>
      <c r="L657" s="19">
        <v>2</v>
      </c>
      <c r="M657" s="40">
        <v>2</v>
      </c>
    </row>
    <row r="658" spans="1:13" ht="15.75" thickBot="1" x14ac:dyDescent="0.3">
      <c r="A658" s="87"/>
      <c r="B658" s="90"/>
      <c r="C658" s="90"/>
      <c r="D658" s="21"/>
      <c r="E658" s="21"/>
      <c r="F658" s="22">
        <v>0</v>
      </c>
      <c r="G658" s="22">
        <v>0</v>
      </c>
      <c r="H658" s="22">
        <v>0</v>
      </c>
      <c r="I658" s="21" t="s">
        <v>1066</v>
      </c>
      <c r="J658" s="23" t="s">
        <v>23</v>
      </c>
      <c r="K658" s="23">
        <v>250</v>
      </c>
      <c r="L658" s="23">
        <v>250</v>
      </c>
      <c r="M658" s="41">
        <v>250</v>
      </c>
    </row>
    <row r="659" spans="1:13" ht="39" hidden="1" thickBot="1" x14ac:dyDescent="0.3">
      <c r="A659" s="15" t="s">
        <v>1067</v>
      </c>
      <c r="B659" s="16" t="s">
        <v>1068</v>
      </c>
      <c r="C659" s="17" t="s">
        <v>988</v>
      </c>
      <c r="D659" s="17" t="s">
        <v>127</v>
      </c>
      <c r="E659" s="17"/>
      <c r="F659" s="24">
        <v>0</v>
      </c>
      <c r="G659" s="24">
        <v>0</v>
      </c>
      <c r="H659" s="24">
        <v>0</v>
      </c>
      <c r="I659" s="17" t="s">
        <v>1029</v>
      </c>
      <c r="J659" s="19" t="s">
        <v>19</v>
      </c>
      <c r="K659" s="19">
        <v>100</v>
      </c>
      <c r="L659" s="19">
        <v>100</v>
      </c>
      <c r="M659" s="40">
        <v>100</v>
      </c>
    </row>
    <row r="660" spans="1:13" ht="26.25" thickBot="1" x14ac:dyDescent="0.3">
      <c r="A660" s="15" t="s">
        <v>1069</v>
      </c>
      <c r="B660" s="16" t="s">
        <v>1070</v>
      </c>
      <c r="C660" s="17" t="s">
        <v>988</v>
      </c>
      <c r="D660" s="17" t="s">
        <v>493</v>
      </c>
      <c r="E660" s="17"/>
      <c r="F660" s="24">
        <v>38.799999999999997</v>
      </c>
      <c r="G660" s="24">
        <v>38.799999999999997</v>
      </c>
      <c r="H660" s="24">
        <v>38.799999999999997</v>
      </c>
      <c r="I660" s="17" t="s">
        <v>1071</v>
      </c>
      <c r="J660" s="19" t="s">
        <v>19</v>
      </c>
      <c r="K660" s="19">
        <v>100</v>
      </c>
      <c r="L660" s="19">
        <v>100</v>
      </c>
      <c r="M660" s="40">
        <v>100</v>
      </c>
    </row>
    <row r="661" spans="1:13" ht="27" customHeight="1" thickBot="1" x14ac:dyDescent="0.3">
      <c r="A661" s="11" t="s">
        <v>1072</v>
      </c>
      <c r="B661" s="65" t="s">
        <v>1073</v>
      </c>
      <c r="C661" s="66"/>
      <c r="D661" s="66"/>
      <c r="E661" s="67"/>
      <c r="F661" s="13">
        <f>F662+F663+F668</f>
        <v>689.2</v>
      </c>
      <c r="G661" s="13">
        <f>G662+G663+G668</f>
        <v>0</v>
      </c>
      <c r="H661" s="13">
        <f>H662+H663+H668</f>
        <v>0</v>
      </c>
      <c r="I661" s="82"/>
      <c r="J661" s="83"/>
      <c r="K661" s="83"/>
      <c r="L661" s="83"/>
      <c r="M661" s="84"/>
    </row>
    <row r="662" spans="1:13" ht="39" thickBot="1" x14ac:dyDescent="0.3">
      <c r="A662" s="15" t="s">
        <v>1074</v>
      </c>
      <c r="B662" s="16" t="s">
        <v>1075</v>
      </c>
      <c r="C662" s="17" t="s">
        <v>978</v>
      </c>
      <c r="D662" s="17"/>
      <c r="E662" s="17"/>
      <c r="F662" s="24">
        <v>0</v>
      </c>
      <c r="G662" s="24">
        <v>0</v>
      </c>
      <c r="H662" s="24">
        <v>0</v>
      </c>
      <c r="I662" s="17" t="s">
        <v>1076</v>
      </c>
      <c r="J662" s="19" t="s">
        <v>23</v>
      </c>
      <c r="K662" s="19">
        <v>10</v>
      </c>
      <c r="L662" s="19">
        <v>10</v>
      </c>
      <c r="M662" s="40">
        <v>10</v>
      </c>
    </row>
    <row r="663" spans="1:13" ht="25.5" x14ac:dyDescent="0.25">
      <c r="A663" s="85" t="s">
        <v>1077</v>
      </c>
      <c r="B663" s="88" t="s">
        <v>1078</v>
      </c>
      <c r="C663" s="88" t="s">
        <v>1079</v>
      </c>
      <c r="D663" s="17"/>
      <c r="E663" s="17"/>
      <c r="F663" s="18">
        <f>SUM(F664:F667)</f>
        <v>561.70000000000005</v>
      </c>
      <c r="G663" s="18">
        <f>SUM(G664:G667)</f>
        <v>0</v>
      </c>
      <c r="H663" s="18">
        <f>SUM(H664:H667)</f>
        <v>0</v>
      </c>
      <c r="I663" s="17" t="s">
        <v>1080</v>
      </c>
      <c r="J663" s="19" t="s">
        <v>23</v>
      </c>
      <c r="K663" s="19">
        <v>4</v>
      </c>
      <c r="L663" s="19"/>
      <c r="M663" s="40"/>
    </row>
    <row r="664" spans="1:13" x14ac:dyDescent="0.25">
      <c r="A664" s="86"/>
      <c r="B664" s="89"/>
      <c r="C664" s="89"/>
      <c r="D664" s="21" t="s">
        <v>35</v>
      </c>
      <c r="E664" s="21"/>
      <c r="F664" s="22">
        <v>2.2000000000000002</v>
      </c>
      <c r="G664" s="22">
        <v>0</v>
      </c>
      <c r="H664" s="22">
        <v>0</v>
      </c>
      <c r="I664" s="21"/>
      <c r="J664" s="23"/>
      <c r="K664" s="23"/>
      <c r="L664" s="23"/>
      <c r="M664" s="41"/>
    </row>
    <row r="665" spans="1:13" x14ac:dyDescent="0.25">
      <c r="A665" s="86"/>
      <c r="B665" s="89"/>
      <c r="C665" s="89"/>
      <c r="D665" s="21" t="s">
        <v>135</v>
      </c>
      <c r="E665" s="21"/>
      <c r="F665" s="22">
        <v>480</v>
      </c>
      <c r="G665" s="22">
        <v>0</v>
      </c>
      <c r="H665" s="22">
        <v>0</v>
      </c>
      <c r="I665" s="21"/>
      <c r="J665" s="23"/>
      <c r="K665" s="23"/>
      <c r="L665" s="23"/>
      <c r="M665" s="41"/>
    </row>
    <row r="666" spans="1:13" x14ac:dyDescent="0.25">
      <c r="A666" s="86"/>
      <c r="B666" s="89"/>
      <c r="C666" s="89"/>
      <c r="D666" s="21" t="s">
        <v>127</v>
      </c>
      <c r="E666" s="21"/>
      <c r="F666" s="22">
        <v>59</v>
      </c>
      <c r="G666" s="22">
        <v>0</v>
      </c>
      <c r="H666" s="22">
        <v>0</v>
      </c>
      <c r="I666" s="21"/>
      <c r="J666" s="23"/>
      <c r="K666" s="23"/>
      <c r="L666" s="23"/>
      <c r="M666" s="41"/>
    </row>
    <row r="667" spans="1:13" ht="15.75" thickBot="1" x14ac:dyDescent="0.3">
      <c r="A667" s="87"/>
      <c r="B667" s="90"/>
      <c r="C667" s="90"/>
      <c r="D667" s="21" t="s">
        <v>29</v>
      </c>
      <c r="E667" s="21"/>
      <c r="F667" s="22">
        <v>20.5</v>
      </c>
      <c r="G667" s="22">
        <v>0</v>
      </c>
      <c r="H667" s="22">
        <v>0</v>
      </c>
      <c r="I667" s="21"/>
      <c r="J667" s="23"/>
      <c r="K667" s="23"/>
      <c r="L667" s="23"/>
      <c r="M667" s="41"/>
    </row>
    <row r="668" spans="1:13" ht="40.5" customHeight="1" x14ac:dyDescent="0.25">
      <c r="A668" s="85" t="s">
        <v>1081</v>
      </c>
      <c r="B668" s="88" t="s">
        <v>1082</v>
      </c>
      <c r="C668" s="88" t="s">
        <v>1083</v>
      </c>
      <c r="D668" s="17"/>
      <c r="E668" s="17"/>
      <c r="F668" s="18">
        <f>SUM(F669:F669)</f>
        <v>127.5</v>
      </c>
      <c r="G668" s="18">
        <f>SUM(G669:G669)</f>
        <v>0</v>
      </c>
      <c r="H668" s="18">
        <f>SUM(H669:H669)</f>
        <v>0</v>
      </c>
      <c r="I668" s="17" t="s">
        <v>1084</v>
      </c>
      <c r="J668" s="19" t="s">
        <v>239</v>
      </c>
      <c r="K668" s="19">
        <v>6</v>
      </c>
      <c r="L668" s="19"/>
      <c r="M668" s="40"/>
    </row>
    <row r="669" spans="1:13" ht="15.75" thickBot="1" x14ac:dyDescent="0.3">
      <c r="A669" s="87"/>
      <c r="B669" s="90"/>
      <c r="C669" s="90"/>
      <c r="D669" s="21" t="s">
        <v>35</v>
      </c>
      <c r="E669" s="21"/>
      <c r="F669" s="22">
        <v>127.5</v>
      </c>
      <c r="G669" s="22">
        <v>0</v>
      </c>
      <c r="H669" s="22">
        <v>0</v>
      </c>
      <c r="I669" s="21" t="s">
        <v>1085</v>
      </c>
      <c r="J669" s="23" t="s">
        <v>23</v>
      </c>
      <c r="K669" s="23">
        <v>2</v>
      </c>
      <c r="L669" s="23"/>
      <c r="M669" s="41"/>
    </row>
    <row r="670" spans="1:13" ht="26.25" customHeight="1" thickBot="1" x14ac:dyDescent="0.3">
      <c r="A670" s="11" t="s">
        <v>1086</v>
      </c>
      <c r="B670" s="65" t="s">
        <v>1087</v>
      </c>
      <c r="C670" s="66"/>
      <c r="D670" s="66"/>
      <c r="E670" s="67"/>
      <c r="F670" s="13">
        <f>F671+F673+F676+F677</f>
        <v>7785.6</v>
      </c>
      <c r="G670" s="13">
        <f>G671+G673+G676+G677</f>
        <v>7095.3</v>
      </c>
      <c r="H670" s="13">
        <f>H671+H673+H676+H677</f>
        <v>6630.5</v>
      </c>
      <c r="I670" s="82"/>
      <c r="J670" s="83"/>
      <c r="K670" s="83"/>
      <c r="L670" s="83"/>
      <c r="M670" s="84"/>
    </row>
    <row r="671" spans="1:13" ht="27" customHeight="1" x14ac:dyDescent="0.25">
      <c r="A671" s="85" t="s">
        <v>1088</v>
      </c>
      <c r="B671" s="88" t="s">
        <v>1089</v>
      </c>
      <c r="C671" s="88" t="s">
        <v>1020</v>
      </c>
      <c r="D671" s="17"/>
      <c r="E671" s="17"/>
      <c r="F671" s="18">
        <f>SUM(F672:F672)</f>
        <v>4905.1000000000004</v>
      </c>
      <c r="G671" s="18">
        <f>SUM(G672:G672)</f>
        <v>4045.3</v>
      </c>
      <c r="H671" s="18">
        <f>SUM(H672:H672)</f>
        <v>3065.6</v>
      </c>
      <c r="I671" s="17" t="s">
        <v>1090</v>
      </c>
      <c r="J671" s="19" t="s">
        <v>239</v>
      </c>
      <c r="K671" s="19">
        <v>8</v>
      </c>
      <c r="L671" s="19">
        <v>8</v>
      </c>
      <c r="M671" s="40">
        <v>8</v>
      </c>
    </row>
    <row r="672" spans="1:13" ht="15.75" thickBot="1" x14ac:dyDescent="0.3">
      <c r="A672" s="87"/>
      <c r="B672" s="90"/>
      <c r="C672" s="90"/>
      <c r="D672" s="21" t="s">
        <v>29</v>
      </c>
      <c r="E672" s="21"/>
      <c r="F672" s="22">
        <v>4905.1000000000004</v>
      </c>
      <c r="G672" s="22">
        <v>4045.3</v>
      </c>
      <c r="H672" s="22">
        <v>3065.6</v>
      </c>
      <c r="I672" s="21" t="s">
        <v>1091</v>
      </c>
      <c r="J672" s="23" t="s">
        <v>19</v>
      </c>
      <c r="K672" s="23">
        <v>100</v>
      </c>
      <c r="L672" s="23">
        <v>100</v>
      </c>
      <c r="M672" s="41">
        <v>100</v>
      </c>
    </row>
    <row r="673" spans="1:13" ht="38.25" customHeight="1" x14ac:dyDescent="0.25">
      <c r="A673" s="85" t="s">
        <v>1092</v>
      </c>
      <c r="B673" s="88" t="s">
        <v>1093</v>
      </c>
      <c r="C673" s="88" t="s">
        <v>382</v>
      </c>
      <c r="D673" s="17"/>
      <c r="E673" s="17"/>
      <c r="F673" s="18">
        <f>SUM(F674:F675)</f>
        <v>2706.8</v>
      </c>
      <c r="G673" s="18">
        <f>SUM(G674:G675)</f>
        <v>2705</v>
      </c>
      <c r="H673" s="18">
        <f>SUM(H674:H675)</f>
        <v>3219.9</v>
      </c>
      <c r="I673" s="17" t="s">
        <v>1094</v>
      </c>
      <c r="J673" s="19" t="s">
        <v>19</v>
      </c>
      <c r="K673" s="19">
        <v>100</v>
      </c>
      <c r="L673" s="19">
        <v>100</v>
      </c>
      <c r="M673" s="40">
        <v>100</v>
      </c>
    </row>
    <row r="674" spans="1:13" x14ac:dyDescent="0.25">
      <c r="A674" s="86"/>
      <c r="B674" s="89"/>
      <c r="C674" s="89"/>
      <c r="D674" s="21" t="s">
        <v>35</v>
      </c>
      <c r="E674" s="21"/>
      <c r="F674" s="22">
        <v>717.8</v>
      </c>
      <c r="G674" s="22">
        <v>0</v>
      </c>
      <c r="H674" s="22">
        <v>0</v>
      </c>
      <c r="I674" s="21"/>
      <c r="J674" s="23"/>
      <c r="K674" s="23"/>
      <c r="L674" s="23"/>
      <c r="M674" s="41"/>
    </row>
    <row r="675" spans="1:13" ht="15.75" thickBot="1" x14ac:dyDescent="0.3">
      <c r="A675" s="87"/>
      <c r="B675" s="90"/>
      <c r="C675" s="90"/>
      <c r="D675" s="21" t="s">
        <v>29</v>
      </c>
      <c r="E675" s="21"/>
      <c r="F675" s="22">
        <v>1989</v>
      </c>
      <c r="G675" s="22">
        <v>2705</v>
      </c>
      <c r="H675" s="22">
        <v>3219.9</v>
      </c>
      <c r="I675" s="21"/>
      <c r="J675" s="23"/>
      <c r="K675" s="23"/>
      <c r="L675" s="23"/>
      <c r="M675" s="41"/>
    </row>
    <row r="676" spans="1:13" ht="26.25" thickBot="1" x14ac:dyDescent="0.3">
      <c r="A676" s="15" t="s">
        <v>1095</v>
      </c>
      <c r="B676" s="16" t="s">
        <v>1096</v>
      </c>
      <c r="C676" s="17" t="s">
        <v>133</v>
      </c>
      <c r="D676" s="17" t="s">
        <v>29</v>
      </c>
      <c r="E676" s="17"/>
      <c r="F676" s="24">
        <v>28.7</v>
      </c>
      <c r="G676" s="24">
        <v>200</v>
      </c>
      <c r="H676" s="24">
        <v>200</v>
      </c>
      <c r="I676" s="17" t="s">
        <v>1094</v>
      </c>
      <c r="J676" s="19" t="s">
        <v>19</v>
      </c>
      <c r="K676" s="19">
        <v>100</v>
      </c>
      <c r="L676" s="19">
        <v>100</v>
      </c>
      <c r="M676" s="40">
        <v>100</v>
      </c>
    </row>
    <row r="677" spans="1:13" ht="25.5" x14ac:dyDescent="0.25">
      <c r="A677" s="85" t="s">
        <v>1097</v>
      </c>
      <c r="B677" s="88" t="s">
        <v>1098</v>
      </c>
      <c r="C677" s="88" t="s">
        <v>584</v>
      </c>
      <c r="D677" s="17" t="s">
        <v>29</v>
      </c>
      <c r="E677" s="17"/>
      <c r="F677" s="18">
        <f>SUM(F678:F678)+145</f>
        <v>145</v>
      </c>
      <c r="G677" s="18">
        <f>SUM(G678:G678)+145</f>
        <v>145</v>
      </c>
      <c r="H677" s="18">
        <f>SUM(H678:H678)+145</f>
        <v>145</v>
      </c>
      <c r="I677" s="17" t="s">
        <v>1099</v>
      </c>
      <c r="J677" s="19" t="s">
        <v>19</v>
      </c>
      <c r="K677" s="19">
        <v>100</v>
      </c>
      <c r="L677" s="19">
        <v>100</v>
      </c>
      <c r="M677" s="40">
        <v>100</v>
      </c>
    </row>
    <row r="678" spans="1:13" ht="26.25" thickBot="1" x14ac:dyDescent="0.3">
      <c r="A678" s="87"/>
      <c r="B678" s="90"/>
      <c r="C678" s="90"/>
      <c r="D678" s="21"/>
      <c r="E678" s="21"/>
      <c r="F678" s="22">
        <v>0</v>
      </c>
      <c r="G678" s="22">
        <v>0</v>
      </c>
      <c r="H678" s="22">
        <v>0</v>
      </c>
      <c r="I678" s="21" t="s">
        <v>1100</v>
      </c>
      <c r="J678" s="23" t="s">
        <v>239</v>
      </c>
      <c r="K678" s="23">
        <v>74</v>
      </c>
      <c r="L678" s="23">
        <v>74</v>
      </c>
      <c r="M678" s="41">
        <v>74</v>
      </c>
    </row>
    <row r="679" spans="1:13" ht="27" customHeight="1" thickBot="1" x14ac:dyDescent="0.3">
      <c r="A679" s="11" t="s">
        <v>1101</v>
      </c>
      <c r="B679" s="65" t="s">
        <v>1102</v>
      </c>
      <c r="C679" s="66"/>
      <c r="D679" s="66"/>
      <c r="E679" s="67"/>
      <c r="F679" s="13">
        <f>SUM(F680:F682)</f>
        <v>11.9</v>
      </c>
      <c r="G679" s="13">
        <f>SUM(G680:G682)</f>
        <v>12.1</v>
      </c>
      <c r="H679" s="13">
        <f>SUM(H680:H682)</f>
        <v>12.4</v>
      </c>
      <c r="I679" s="65"/>
      <c r="J679" s="66"/>
      <c r="K679" s="66"/>
      <c r="L679" s="66"/>
      <c r="M679" s="112"/>
    </row>
    <row r="680" spans="1:13" ht="51.75" thickBot="1" x14ac:dyDescent="0.3">
      <c r="A680" s="15" t="s">
        <v>1103</v>
      </c>
      <c r="B680" s="16" t="s">
        <v>1104</v>
      </c>
      <c r="C680" s="17" t="s">
        <v>978</v>
      </c>
      <c r="D680" s="17"/>
      <c r="E680" s="17"/>
      <c r="F680" s="24">
        <v>0</v>
      </c>
      <c r="G680" s="24">
        <v>0</v>
      </c>
      <c r="H680" s="24">
        <v>0</v>
      </c>
      <c r="I680" s="17" t="s">
        <v>1105</v>
      </c>
      <c r="J680" s="19" t="s">
        <v>19</v>
      </c>
      <c r="K680" s="19">
        <v>100</v>
      </c>
      <c r="L680" s="19">
        <v>100</v>
      </c>
      <c r="M680" s="40">
        <v>100</v>
      </c>
    </row>
    <row r="681" spans="1:13" ht="51.75" thickBot="1" x14ac:dyDescent="0.3">
      <c r="A681" s="15" t="s">
        <v>1106</v>
      </c>
      <c r="B681" s="16" t="s">
        <v>1107</v>
      </c>
      <c r="C681" s="17" t="s">
        <v>978</v>
      </c>
      <c r="D681" s="17"/>
      <c r="E681" s="17"/>
      <c r="F681" s="24">
        <v>0</v>
      </c>
      <c r="G681" s="24">
        <v>0</v>
      </c>
      <c r="H681" s="24">
        <v>0</v>
      </c>
      <c r="I681" s="17" t="s">
        <v>1108</v>
      </c>
      <c r="J681" s="19" t="s">
        <v>23</v>
      </c>
      <c r="K681" s="19">
        <v>2</v>
      </c>
      <c r="L681" s="19">
        <v>2</v>
      </c>
      <c r="M681" s="40">
        <v>2</v>
      </c>
    </row>
    <row r="682" spans="1:13" x14ac:dyDescent="0.25">
      <c r="A682" s="85" t="s">
        <v>1109</v>
      </c>
      <c r="B682" s="88" t="s">
        <v>1110</v>
      </c>
      <c r="C682" s="88" t="s">
        <v>978</v>
      </c>
      <c r="D682" s="17"/>
      <c r="E682" s="17"/>
      <c r="F682" s="18">
        <f>SUM(F683:F683)</f>
        <v>11.9</v>
      </c>
      <c r="G682" s="18">
        <f>SUM(G683:G683)</f>
        <v>12.1</v>
      </c>
      <c r="H682" s="18">
        <f>SUM(H683:H683)</f>
        <v>12.4</v>
      </c>
      <c r="I682" s="17" t="s">
        <v>1111</v>
      </c>
      <c r="J682" s="19" t="s">
        <v>23</v>
      </c>
      <c r="K682" s="19">
        <v>3</v>
      </c>
      <c r="L682" s="19">
        <v>4</v>
      </c>
      <c r="M682" s="40">
        <v>4</v>
      </c>
    </row>
    <row r="683" spans="1:13" ht="15.75" thickBot="1" x14ac:dyDescent="0.3">
      <c r="A683" s="87"/>
      <c r="B683" s="90"/>
      <c r="C683" s="90"/>
      <c r="D683" s="21" t="s">
        <v>29</v>
      </c>
      <c r="E683" s="21"/>
      <c r="F683" s="22">
        <v>11.9</v>
      </c>
      <c r="G683" s="22">
        <v>12.1</v>
      </c>
      <c r="H683" s="22">
        <v>12.4</v>
      </c>
      <c r="I683" s="21"/>
      <c r="J683" s="23"/>
      <c r="K683" s="23"/>
      <c r="L683" s="23"/>
      <c r="M683" s="41"/>
    </row>
    <row r="684" spans="1:13" x14ac:dyDescent="0.25">
      <c r="A684" s="100" t="s">
        <v>1112</v>
      </c>
      <c r="B684" s="103" t="s">
        <v>1113</v>
      </c>
      <c r="C684" s="104"/>
      <c r="D684" s="104"/>
      <c r="E684" s="105"/>
      <c r="F684" s="9">
        <f>SUM(F685:F686)</f>
        <v>596.40000000000009</v>
      </c>
      <c r="G684" s="9">
        <f>SUM(G685:G686)</f>
        <v>381.6</v>
      </c>
      <c r="H684" s="9">
        <f>SUM(H685:H686)</f>
        <v>381.6</v>
      </c>
      <c r="I684" s="8" t="s">
        <v>1114</v>
      </c>
      <c r="J684" s="10" t="s">
        <v>19</v>
      </c>
      <c r="K684" s="10">
        <v>100</v>
      </c>
      <c r="L684" s="10">
        <v>100</v>
      </c>
      <c r="M684" s="45">
        <v>100</v>
      </c>
    </row>
    <row r="685" spans="1:13" ht="15.75" thickBot="1" x14ac:dyDescent="0.3">
      <c r="A685" s="102"/>
      <c r="B685" s="109"/>
      <c r="C685" s="110"/>
      <c r="D685" s="110"/>
      <c r="E685" s="111"/>
      <c r="F685" s="36">
        <v>0</v>
      </c>
      <c r="G685" s="36">
        <v>0</v>
      </c>
      <c r="H685" s="36">
        <v>0</v>
      </c>
      <c r="I685" s="37" t="s">
        <v>1115</v>
      </c>
      <c r="J685" s="38" t="s">
        <v>23</v>
      </c>
      <c r="K685" s="38">
        <v>39</v>
      </c>
      <c r="L685" s="38">
        <v>39</v>
      </c>
      <c r="M685" s="42">
        <v>39</v>
      </c>
    </row>
    <row r="686" spans="1:13" ht="27" customHeight="1" thickBot="1" x14ac:dyDescent="0.3">
      <c r="A686" s="11" t="s">
        <v>1116</v>
      </c>
      <c r="B686" s="65" t="s">
        <v>1117</v>
      </c>
      <c r="C686" s="66"/>
      <c r="D686" s="66"/>
      <c r="E686" s="67"/>
      <c r="F686" s="13">
        <f>F687+F688+F692+F694+F696+F699+F702</f>
        <v>596.40000000000009</v>
      </c>
      <c r="G686" s="13">
        <f>G687+G688+G692+G694+G696+G699+G702</f>
        <v>381.6</v>
      </c>
      <c r="H686" s="13">
        <f>H687+H688+H692+H694+H696+H699+H702</f>
        <v>381.6</v>
      </c>
      <c r="I686" s="82"/>
      <c r="J686" s="83"/>
      <c r="K686" s="83"/>
      <c r="L686" s="83"/>
      <c r="M686" s="84"/>
    </row>
    <row r="687" spans="1:13" ht="26.25" thickBot="1" x14ac:dyDescent="0.3">
      <c r="A687" s="15" t="s">
        <v>1118</v>
      </c>
      <c r="B687" s="16" t="s">
        <v>1119</v>
      </c>
      <c r="C687" s="17" t="s">
        <v>974</v>
      </c>
      <c r="D687" s="17" t="s">
        <v>29</v>
      </c>
      <c r="E687" s="17"/>
      <c r="F687" s="24">
        <v>43</v>
      </c>
      <c r="G687" s="24">
        <v>43</v>
      </c>
      <c r="H687" s="24">
        <v>43</v>
      </c>
      <c r="I687" s="17" t="s">
        <v>1120</v>
      </c>
      <c r="J687" s="19" t="s">
        <v>239</v>
      </c>
      <c r="K687" s="46">
        <v>37</v>
      </c>
      <c r="L687" s="46">
        <v>37</v>
      </c>
      <c r="M687" s="47">
        <v>37</v>
      </c>
    </row>
    <row r="688" spans="1:13" x14ac:dyDescent="0.25">
      <c r="A688" s="85" t="s">
        <v>1121</v>
      </c>
      <c r="B688" s="88" t="s">
        <v>1122</v>
      </c>
      <c r="C688" s="88" t="s">
        <v>1123</v>
      </c>
      <c r="D688" s="17"/>
      <c r="E688" s="17"/>
      <c r="F688" s="18">
        <f>SUM(F689:F691)</f>
        <v>223.6</v>
      </c>
      <c r="G688" s="18">
        <f>SUM(G689:G691)</f>
        <v>73.599999999999994</v>
      </c>
      <c r="H688" s="18">
        <f>SUM(H689:H691)</f>
        <v>73.599999999999994</v>
      </c>
      <c r="I688" s="17" t="s">
        <v>1124</v>
      </c>
      <c r="J688" s="19" t="s">
        <v>23</v>
      </c>
      <c r="K688" s="46">
        <v>10</v>
      </c>
      <c r="L688" s="46">
        <v>11</v>
      </c>
      <c r="M688" s="47">
        <v>12</v>
      </c>
    </row>
    <row r="689" spans="1:13" x14ac:dyDescent="0.25">
      <c r="A689" s="86"/>
      <c r="B689" s="89"/>
      <c r="C689" s="89"/>
      <c r="D689" s="21" t="s">
        <v>35</v>
      </c>
      <c r="E689" s="21"/>
      <c r="F689" s="22">
        <v>100</v>
      </c>
      <c r="G689" s="22">
        <v>0</v>
      </c>
      <c r="H689" s="22">
        <v>0</v>
      </c>
      <c r="I689" s="21" t="s">
        <v>1125</v>
      </c>
      <c r="J689" s="23" t="s">
        <v>23</v>
      </c>
      <c r="K689" s="48">
        <v>2</v>
      </c>
      <c r="L689" s="48">
        <v>0</v>
      </c>
      <c r="M689" s="49">
        <v>0</v>
      </c>
    </row>
    <row r="690" spans="1:13" x14ac:dyDescent="0.25">
      <c r="A690" s="86"/>
      <c r="B690" s="89"/>
      <c r="C690" s="89"/>
      <c r="D690" s="21" t="s">
        <v>29</v>
      </c>
      <c r="E690" s="21"/>
      <c r="F690" s="22">
        <v>50</v>
      </c>
      <c r="G690" s="22"/>
      <c r="H690" s="22"/>
      <c r="I690" s="21" t="s">
        <v>1135</v>
      </c>
      <c r="J690" s="23" t="s">
        <v>239</v>
      </c>
      <c r="K690" s="48">
        <v>2</v>
      </c>
      <c r="L690" s="48"/>
      <c r="M690" s="49"/>
    </row>
    <row r="691" spans="1:13" ht="15.75" thickBot="1" x14ac:dyDescent="0.3">
      <c r="A691" s="87"/>
      <c r="B691" s="90"/>
      <c r="C691" s="90"/>
      <c r="D691" s="21" t="s">
        <v>127</v>
      </c>
      <c r="E691" s="21"/>
      <c r="F691" s="22">
        <v>73.599999999999994</v>
      </c>
      <c r="G691" s="22">
        <v>73.599999999999994</v>
      </c>
      <c r="H691" s="22">
        <v>73.599999999999994</v>
      </c>
      <c r="I691" s="21"/>
      <c r="J691" s="23"/>
      <c r="K691" s="48"/>
      <c r="L691" s="48"/>
      <c r="M691" s="49"/>
    </row>
    <row r="692" spans="1:13" ht="24.75" customHeight="1" x14ac:dyDescent="0.25">
      <c r="A692" s="85" t="s">
        <v>1126</v>
      </c>
      <c r="B692" s="88" t="s">
        <v>1127</v>
      </c>
      <c r="C692" s="88" t="s">
        <v>1123</v>
      </c>
      <c r="D692" s="17" t="s">
        <v>29</v>
      </c>
      <c r="E692" s="17"/>
      <c r="F692" s="18">
        <f>SUM(F693:F693)+35</f>
        <v>35</v>
      </c>
      <c r="G692" s="18">
        <f>SUM(G693:G693)+35</f>
        <v>35</v>
      </c>
      <c r="H692" s="18">
        <f>SUM(H693:H693)+35</f>
        <v>35</v>
      </c>
      <c r="I692" s="17" t="s">
        <v>1124</v>
      </c>
      <c r="J692" s="19" t="s">
        <v>23</v>
      </c>
      <c r="K692" s="46">
        <v>11</v>
      </c>
      <c r="L692" s="46">
        <v>12</v>
      </c>
      <c r="M692" s="47">
        <v>12</v>
      </c>
    </row>
    <row r="693" spans="1:13" ht="15.75" thickBot="1" x14ac:dyDescent="0.3">
      <c r="A693" s="87"/>
      <c r="B693" s="90"/>
      <c r="C693" s="90"/>
      <c r="D693" s="21"/>
      <c r="E693" s="21"/>
      <c r="F693" s="22">
        <v>0</v>
      </c>
      <c r="G693" s="22">
        <v>0</v>
      </c>
      <c r="H693" s="22">
        <v>0</v>
      </c>
      <c r="I693" s="21" t="s">
        <v>1128</v>
      </c>
      <c r="J693" s="23" t="s">
        <v>23</v>
      </c>
      <c r="K693" s="48">
        <v>1</v>
      </c>
      <c r="L693" s="48">
        <v>1</v>
      </c>
      <c r="M693" s="49">
        <v>1</v>
      </c>
    </row>
    <row r="694" spans="1:13" x14ac:dyDescent="0.25">
      <c r="A694" s="85" t="s">
        <v>1129</v>
      </c>
      <c r="B694" s="88" t="s">
        <v>1130</v>
      </c>
      <c r="C694" s="88" t="s">
        <v>133</v>
      </c>
      <c r="D694" s="17"/>
      <c r="E694" s="17"/>
      <c r="F694" s="18">
        <f>SUM(F695:F695)</f>
        <v>44.8</v>
      </c>
      <c r="G694" s="18">
        <f>SUM(G695:G695)</f>
        <v>0</v>
      </c>
      <c r="H694" s="18">
        <f>SUM(H695:H695)</f>
        <v>0</v>
      </c>
      <c r="I694" s="17" t="s">
        <v>1131</v>
      </c>
      <c r="J694" s="19" t="s">
        <v>23</v>
      </c>
      <c r="K694" s="46">
        <v>11</v>
      </c>
      <c r="L694" s="46"/>
      <c r="M694" s="47"/>
    </row>
    <row r="695" spans="1:13" ht="15.75" thickBot="1" x14ac:dyDescent="0.3">
      <c r="A695" s="87"/>
      <c r="B695" s="90"/>
      <c r="C695" s="90"/>
      <c r="D695" s="21" t="s">
        <v>35</v>
      </c>
      <c r="E695" s="21"/>
      <c r="F695" s="22">
        <v>44.8</v>
      </c>
      <c r="G695" s="22">
        <v>0</v>
      </c>
      <c r="H695" s="22">
        <v>0</v>
      </c>
      <c r="I695" s="21"/>
      <c r="J695" s="23"/>
      <c r="K695" s="48"/>
      <c r="L695" s="48"/>
      <c r="M695" s="49"/>
    </row>
    <row r="696" spans="1:13" x14ac:dyDescent="0.25">
      <c r="A696" s="85" t="s">
        <v>1132</v>
      </c>
      <c r="B696" s="88" t="s">
        <v>1133</v>
      </c>
      <c r="C696" s="88" t="s">
        <v>1134</v>
      </c>
      <c r="D696" s="17"/>
      <c r="E696" s="17"/>
      <c r="F696" s="18">
        <f>SUM(F697:F698)</f>
        <v>220</v>
      </c>
      <c r="G696" s="18">
        <f>SUM(G697:G698)</f>
        <v>200</v>
      </c>
      <c r="H696" s="18">
        <f>SUM(H697:H698)</f>
        <v>200</v>
      </c>
      <c r="I696" s="17" t="s">
        <v>1135</v>
      </c>
      <c r="J696" s="19" t="s">
        <v>23</v>
      </c>
      <c r="K696" s="46">
        <v>2</v>
      </c>
      <c r="L696" s="46">
        <v>2</v>
      </c>
      <c r="M696" s="47">
        <v>2</v>
      </c>
    </row>
    <row r="697" spans="1:13" x14ac:dyDescent="0.25">
      <c r="A697" s="86"/>
      <c r="B697" s="89"/>
      <c r="C697" s="89"/>
      <c r="D697" s="21" t="s">
        <v>35</v>
      </c>
      <c r="E697" s="21"/>
      <c r="F697" s="22">
        <v>20</v>
      </c>
      <c r="G697" s="22">
        <v>0</v>
      </c>
      <c r="H697" s="22">
        <v>0</v>
      </c>
      <c r="I697" s="21"/>
      <c r="J697" s="23"/>
      <c r="K697" s="48"/>
      <c r="L697" s="48"/>
      <c r="M697" s="49"/>
    </row>
    <row r="698" spans="1:13" ht="15.75" thickBot="1" x14ac:dyDescent="0.3">
      <c r="A698" s="87"/>
      <c r="B698" s="90"/>
      <c r="C698" s="90"/>
      <c r="D698" s="21" t="s">
        <v>29</v>
      </c>
      <c r="E698" s="21"/>
      <c r="F698" s="22">
        <v>200</v>
      </c>
      <c r="G698" s="22">
        <v>200</v>
      </c>
      <c r="H698" s="22">
        <v>200</v>
      </c>
      <c r="I698" s="21"/>
      <c r="J698" s="23"/>
      <c r="K698" s="48"/>
      <c r="L698" s="48"/>
      <c r="M698" s="49"/>
    </row>
    <row r="699" spans="1:13" x14ac:dyDescent="0.25">
      <c r="A699" s="85" t="s">
        <v>1136</v>
      </c>
      <c r="B699" s="88" t="s">
        <v>1043</v>
      </c>
      <c r="C699" s="88" t="s">
        <v>1044</v>
      </c>
      <c r="D699" s="17" t="s">
        <v>29</v>
      </c>
      <c r="E699" s="17"/>
      <c r="F699" s="18">
        <f>SUM(F700:F701)+25</f>
        <v>25</v>
      </c>
      <c r="G699" s="18">
        <f>SUM(G700:G701)+25</f>
        <v>25</v>
      </c>
      <c r="H699" s="18">
        <f>SUM(H700:H701)+25</f>
        <v>25</v>
      </c>
      <c r="I699" s="17" t="s">
        <v>1124</v>
      </c>
      <c r="J699" s="19" t="s">
        <v>23</v>
      </c>
      <c r="K699" s="46">
        <v>5</v>
      </c>
      <c r="L699" s="46">
        <v>5</v>
      </c>
      <c r="M699" s="47">
        <v>5</v>
      </c>
    </row>
    <row r="700" spans="1:13" x14ac:dyDescent="0.25">
      <c r="A700" s="86"/>
      <c r="B700" s="89"/>
      <c r="C700" s="89"/>
      <c r="D700" s="21"/>
      <c r="E700" s="21"/>
      <c r="F700" s="22">
        <v>0</v>
      </c>
      <c r="G700" s="22">
        <v>0</v>
      </c>
      <c r="H700" s="22">
        <v>0</v>
      </c>
      <c r="I700" s="21" t="s">
        <v>1137</v>
      </c>
      <c r="J700" s="23" t="s">
        <v>239</v>
      </c>
      <c r="K700" s="48">
        <v>1000</v>
      </c>
      <c r="L700" s="48">
        <v>1000</v>
      </c>
      <c r="M700" s="49">
        <v>1000</v>
      </c>
    </row>
    <row r="701" spans="1:13" ht="26.25" thickBot="1" x14ac:dyDescent="0.3">
      <c r="A701" s="87"/>
      <c r="B701" s="90"/>
      <c r="C701" s="90"/>
      <c r="D701" s="21"/>
      <c r="E701" s="21"/>
      <c r="F701" s="22">
        <v>0</v>
      </c>
      <c r="G701" s="22">
        <v>0</v>
      </c>
      <c r="H701" s="22">
        <v>0</v>
      </c>
      <c r="I701" s="21" t="s">
        <v>1138</v>
      </c>
      <c r="J701" s="23" t="s">
        <v>19</v>
      </c>
      <c r="K701" s="48">
        <v>0.6</v>
      </c>
      <c r="L701" s="48">
        <v>0.6</v>
      </c>
      <c r="M701" s="49">
        <v>0.6</v>
      </c>
    </row>
    <row r="702" spans="1:13" x14ac:dyDescent="0.25">
      <c r="A702" s="85" t="s">
        <v>1139</v>
      </c>
      <c r="B702" s="88" t="s">
        <v>1140</v>
      </c>
      <c r="C702" s="88" t="s">
        <v>856</v>
      </c>
      <c r="D702" s="17" t="s">
        <v>29</v>
      </c>
      <c r="E702" s="17"/>
      <c r="F702" s="18">
        <f>SUM(F703:F705)+5</f>
        <v>5</v>
      </c>
      <c r="G702" s="18">
        <f>SUM(G703:G705)+5</f>
        <v>5</v>
      </c>
      <c r="H702" s="18">
        <f>SUM(H703:H705)+5</f>
        <v>5</v>
      </c>
      <c r="I702" s="17" t="s">
        <v>1141</v>
      </c>
      <c r="J702" s="19" t="s">
        <v>23</v>
      </c>
      <c r="K702" s="46">
        <v>5000</v>
      </c>
      <c r="L702" s="46"/>
      <c r="M702" s="47"/>
    </row>
    <row r="703" spans="1:13" ht="25.5" x14ac:dyDescent="0.25">
      <c r="A703" s="86"/>
      <c r="B703" s="89"/>
      <c r="C703" s="89"/>
      <c r="D703" s="21"/>
      <c r="E703" s="21"/>
      <c r="F703" s="22">
        <v>0</v>
      </c>
      <c r="G703" s="22">
        <v>0</v>
      </c>
      <c r="H703" s="22">
        <v>0</v>
      </c>
      <c r="I703" s="21" t="s">
        <v>1142</v>
      </c>
      <c r="J703" s="23" t="s">
        <v>19</v>
      </c>
      <c r="K703" s="48">
        <v>50</v>
      </c>
      <c r="L703" s="48">
        <v>70</v>
      </c>
      <c r="M703" s="49">
        <v>100</v>
      </c>
    </row>
    <row r="704" spans="1:13" ht="27" customHeight="1" x14ac:dyDescent="0.25">
      <c r="A704" s="86"/>
      <c r="B704" s="89"/>
      <c r="C704" s="89"/>
      <c r="D704" s="21"/>
      <c r="E704" s="21"/>
      <c r="F704" s="22">
        <v>0</v>
      </c>
      <c r="G704" s="22">
        <v>0</v>
      </c>
      <c r="H704" s="22">
        <v>0</v>
      </c>
      <c r="I704" s="21" t="s">
        <v>1143</v>
      </c>
      <c r="J704" s="23" t="s">
        <v>239</v>
      </c>
      <c r="K704" s="48">
        <v>60</v>
      </c>
      <c r="L704" s="48">
        <v>60</v>
      </c>
      <c r="M704" s="49">
        <v>60</v>
      </c>
    </row>
    <row r="705" spans="1:13" ht="15.75" thickBot="1" x14ac:dyDescent="0.3">
      <c r="A705" s="87"/>
      <c r="B705" s="90"/>
      <c r="C705" s="90"/>
      <c r="D705" s="25"/>
      <c r="E705" s="25"/>
      <c r="F705" s="26">
        <v>0</v>
      </c>
      <c r="G705" s="26">
        <v>0</v>
      </c>
      <c r="H705" s="26">
        <v>0</v>
      </c>
      <c r="I705" s="25" t="s">
        <v>1144</v>
      </c>
      <c r="J705" s="27" t="s">
        <v>23</v>
      </c>
      <c r="K705" s="58"/>
      <c r="L705" s="58">
        <v>1</v>
      </c>
      <c r="M705" s="59"/>
    </row>
    <row r="706" spans="1:13" s="3" customFormat="1" x14ac:dyDescent="0.25">
      <c r="A706" s="28"/>
      <c r="B706" s="28"/>
      <c r="C706" s="29"/>
      <c r="D706" s="29"/>
      <c r="E706" s="29"/>
      <c r="F706" s="30"/>
      <c r="G706" s="30"/>
      <c r="H706" s="30"/>
      <c r="I706" s="29"/>
      <c r="J706" s="31"/>
      <c r="K706" s="31"/>
      <c r="L706" s="31"/>
      <c r="M706" s="31"/>
    </row>
    <row r="707" spans="1:13" s="3" customFormat="1" x14ac:dyDescent="0.25">
      <c r="A707" s="28"/>
      <c r="B707" s="28"/>
      <c r="C707" s="29"/>
      <c r="D707" s="29"/>
      <c r="E707" s="29"/>
      <c r="F707" s="30"/>
      <c r="G707" s="30"/>
      <c r="H707" s="30"/>
      <c r="I707" s="29"/>
      <c r="J707" s="31"/>
      <c r="K707" s="31"/>
      <c r="L707" s="31"/>
      <c r="M707" s="31"/>
    </row>
    <row r="708" spans="1:13" s="3" customFormat="1" x14ac:dyDescent="0.25">
      <c r="A708" s="28"/>
      <c r="B708" s="28"/>
      <c r="C708" s="29"/>
      <c r="D708" s="29"/>
      <c r="E708" s="29"/>
      <c r="F708" s="30"/>
      <c r="G708" s="30"/>
      <c r="H708" s="30"/>
      <c r="I708" s="29"/>
      <c r="J708" s="31"/>
      <c r="K708" s="31"/>
      <c r="L708" s="31"/>
      <c r="M708" s="31"/>
    </row>
    <row r="709" spans="1:13" s="3" customFormat="1" x14ac:dyDescent="0.25">
      <c r="A709" s="28"/>
      <c r="B709" s="28"/>
      <c r="C709" s="29"/>
      <c r="D709" s="29"/>
      <c r="E709" s="29"/>
      <c r="F709" s="30"/>
      <c r="G709" s="30"/>
      <c r="H709" s="30"/>
      <c r="I709" s="29"/>
      <c r="J709" s="31"/>
      <c r="K709" s="31"/>
      <c r="L709" s="31"/>
      <c r="M709" s="31"/>
    </row>
    <row r="710" spans="1:13" s="3" customFormat="1" x14ac:dyDescent="0.25">
      <c r="A710" s="28"/>
      <c r="B710" s="28"/>
      <c r="C710" s="29"/>
      <c r="D710" s="29"/>
      <c r="E710" s="29"/>
      <c r="F710" s="30"/>
      <c r="G710" s="30"/>
      <c r="H710" s="30"/>
      <c r="I710" s="29"/>
      <c r="J710" s="31"/>
      <c r="K710" s="31"/>
      <c r="L710" s="31"/>
      <c r="M710" s="31"/>
    </row>
    <row r="711" spans="1:13" ht="33.75" customHeight="1" x14ac:dyDescent="0.25">
      <c r="A711" s="39" t="s">
        <v>1</v>
      </c>
      <c r="B711" s="39" t="s">
        <v>2</v>
      </c>
      <c r="C711" s="39" t="s">
        <v>6</v>
      </c>
      <c r="D711" s="39" t="s">
        <v>7</v>
      </c>
      <c r="E711" s="39" t="s">
        <v>8</v>
      </c>
    </row>
    <row r="712" spans="1:13" ht="25.5" x14ac:dyDescent="0.25">
      <c r="A712" s="20" t="s">
        <v>1145</v>
      </c>
      <c r="B712" s="20" t="s">
        <v>1146</v>
      </c>
      <c r="C712" s="32">
        <f>SUM(C713:C724)</f>
        <v>223152.4</v>
      </c>
      <c r="D712" s="32">
        <f>SUM(D713:D724)</f>
        <v>203461.50000000003</v>
      </c>
      <c r="E712" s="32">
        <f>SUM(E713:E724)</f>
        <v>204944.5</v>
      </c>
    </row>
    <row r="713" spans="1:13" x14ac:dyDescent="0.25">
      <c r="A713" s="20" t="s">
        <v>29</v>
      </c>
      <c r="B713" s="20" t="s">
        <v>1147</v>
      </c>
      <c r="C713" s="22">
        <v>102904.4</v>
      </c>
      <c r="D713" s="22">
        <v>119589.7</v>
      </c>
      <c r="E713" s="22">
        <v>120730.1</v>
      </c>
    </row>
    <row r="714" spans="1:13" x14ac:dyDescent="0.25">
      <c r="A714" s="20" t="s">
        <v>143</v>
      </c>
      <c r="B714" s="20" t="s">
        <v>1148</v>
      </c>
      <c r="C714" s="22">
        <v>4626.5</v>
      </c>
      <c r="D714" s="22">
        <v>0</v>
      </c>
      <c r="E714" s="22">
        <v>0</v>
      </c>
    </row>
    <row r="715" spans="1:13" x14ac:dyDescent="0.25">
      <c r="A715" s="20" t="s">
        <v>637</v>
      </c>
      <c r="B715" s="20" t="s">
        <v>1149</v>
      </c>
      <c r="C715" s="22">
        <v>49909.5</v>
      </c>
      <c r="D715" s="22">
        <v>49909.5</v>
      </c>
      <c r="E715" s="22">
        <v>49909.5</v>
      </c>
    </row>
    <row r="716" spans="1:13" ht="25.5" x14ac:dyDescent="0.25">
      <c r="A716" s="20" t="s">
        <v>493</v>
      </c>
      <c r="B716" s="20" t="s">
        <v>1150</v>
      </c>
      <c r="C716" s="22">
        <v>6791.3</v>
      </c>
      <c r="D716" s="22">
        <v>6959.4</v>
      </c>
      <c r="E716" s="22">
        <v>6959.4</v>
      </c>
    </row>
    <row r="717" spans="1:13" x14ac:dyDescent="0.25">
      <c r="A717" s="20" t="s">
        <v>127</v>
      </c>
      <c r="B717" s="20" t="s">
        <v>1151</v>
      </c>
      <c r="C717" s="22">
        <v>11540</v>
      </c>
      <c r="D717" s="22">
        <v>8414.6</v>
      </c>
      <c r="E717" s="22">
        <v>8451.5</v>
      </c>
    </row>
    <row r="718" spans="1:13" ht="25.5" x14ac:dyDescent="0.25">
      <c r="A718" s="20" t="s">
        <v>296</v>
      </c>
      <c r="B718" s="20" t="s">
        <v>1152</v>
      </c>
      <c r="C718" s="22">
        <v>5000</v>
      </c>
      <c r="D718" s="22">
        <v>5000</v>
      </c>
      <c r="E718" s="22">
        <v>5000</v>
      </c>
    </row>
    <row r="719" spans="1:13" ht="25.5" x14ac:dyDescent="0.25">
      <c r="A719" s="20" t="s">
        <v>556</v>
      </c>
      <c r="B719" s="20" t="s">
        <v>1153</v>
      </c>
      <c r="C719" s="22">
        <v>2275.1999999999998</v>
      </c>
      <c r="D719" s="22">
        <v>0</v>
      </c>
      <c r="E719" s="22">
        <v>0</v>
      </c>
    </row>
    <row r="720" spans="1:13" x14ac:dyDescent="0.25">
      <c r="A720" s="20" t="s">
        <v>135</v>
      </c>
      <c r="B720" s="20" t="s">
        <v>1154</v>
      </c>
      <c r="C720" s="22">
        <v>10988.8</v>
      </c>
      <c r="D720" s="22">
        <v>7032.2</v>
      </c>
      <c r="E720" s="22">
        <v>7250</v>
      </c>
    </row>
    <row r="721" spans="1:5" x14ac:dyDescent="0.25">
      <c r="A721" s="20" t="s">
        <v>122</v>
      </c>
      <c r="B721" s="20" t="s">
        <v>1155</v>
      </c>
      <c r="C721" s="22">
        <v>6032.7</v>
      </c>
      <c r="D721" s="22">
        <v>6156.1</v>
      </c>
      <c r="E721" s="22">
        <v>6244</v>
      </c>
    </row>
    <row r="722" spans="1:5" ht="25.5" x14ac:dyDescent="0.25">
      <c r="A722" s="20" t="s">
        <v>35</v>
      </c>
      <c r="B722" s="20" t="s">
        <v>1156</v>
      </c>
      <c r="C722" s="22">
        <v>22251.4</v>
      </c>
      <c r="D722" s="22">
        <v>0</v>
      </c>
      <c r="E722" s="22">
        <v>0</v>
      </c>
    </row>
    <row r="723" spans="1:5" ht="38.25" x14ac:dyDescent="0.25">
      <c r="A723" s="20" t="s">
        <v>202</v>
      </c>
      <c r="B723" s="20" t="s">
        <v>1157</v>
      </c>
      <c r="C723" s="22">
        <v>400</v>
      </c>
      <c r="D723" s="22">
        <v>400</v>
      </c>
      <c r="E723" s="22">
        <v>400</v>
      </c>
    </row>
    <row r="724" spans="1:5" ht="38.25" x14ac:dyDescent="0.25">
      <c r="A724" s="20" t="s">
        <v>224</v>
      </c>
      <c r="B724" s="20" t="s">
        <v>1158</v>
      </c>
      <c r="C724" s="22">
        <v>432.6</v>
      </c>
      <c r="D724" s="22">
        <v>0</v>
      </c>
      <c r="E724" s="22">
        <v>0</v>
      </c>
    </row>
    <row r="725" spans="1:5" x14ac:dyDescent="0.25">
      <c r="A725" s="20" t="s">
        <v>1159</v>
      </c>
      <c r="B725" s="20" t="s">
        <v>1160</v>
      </c>
      <c r="C725" s="32">
        <f>SUM(C726:C728)</f>
        <v>36668.100000000006</v>
      </c>
      <c r="D725" s="32">
        <f>SUM(D726:D728)</f>
        <v>36660.400000000001</v>
      </c>
      <c r="E725" s="32">
        <f>SUM(E726:E728)</f>
        <v>35191.1</v>
      </c>
    </row>
    <row r="726" spans="1:5" x14ac:dyDescent="0.25">
      <c r="A726" s="20" t="s">
        <v>124</v>
      </c>
      <c r="B726" s="20" t="s">
        <v>1161</v>
      </c>
      <c r="C726" s="22">
        <v>33241.9</v>
      </c>
      <c r="D726" s="22">
        <v>34553.699999999997</v>
      </c>
      <c r="E726" s="22">
        <v>33221.199999999997</v>
      </c>
    </row>
    <row r="727" spans="1:5" x14ac:dyDescent="0.25">
      <c r="A727" s="20" t="s">
        <v>118</v>
      </c>
      <c r="B727" s="20" t="s">
        <v>1162</v>
      </c>
      <c r="C727" s="22">
        <v>1778.3</v>
      </c>
      <c r="D727" s="22">
        <v>643.79999999999995</v>
      </c>
      <c r="E727" s="22">
        <v>523.79999999999995</v>
      </c>
    </row>
    <row r="728" spans="1:5" x14ac:dyDescent="0.25">
      <c r="A728" s="20" t="s">
        <v>120</v>
      </c>
      <c r="B728" s="20" t="s">
        <v>1163</v>
      </c>
      <c r="C728" s="22">
        <v>1647.9</v>
      </c>
      <c r="D728" s="22">
        <v>1462.9</v>
      </c>
      <c r="E728" s="22">
        <v>1446.1</v>
      </c>
    </row>
    <row r="729" spans="1:5" x14ac:dyDescent="0.25">
      <c r="A729" s="33"/>
      <c r="B729" s="34" t="s">
        <v>1164</v>
      </c>
      <c r="C729" s="35">
        <f>C712+C725</f>
        <v>259820.5</v>
      </c>
      <c r="D729" s="35">
        <f>D712+D725</f>
        <v>240121.90000000002</v>
      </c>
      <c r="E729" s="35">
        <f>E712+E725</f>
        <v>240135.6</v>
      </c>
    </row>
  </sheetData>
  <mergeCells count="580">
    <mergeCell ref="A702:A705"/>
    <mergeCell ref="B702:B705"/>
    <mergeCell ref="C702:C705"/>
    <mergeCell ref="A696:A698"/>
    <mergeCell ref="B696:B698"/>
    <mergeCell ref="C696:C698"/>
    <mergeCell ref="A699:A701"/>
    <mergeCell ref="B699:B701"/>
    <mergeCell ref="C699:C701"/>
    <mergeCell ref="A692:A693"/>
    <mergeCell ref="B692:B693"/>
    <mergeCell ref="C692:C693"/>
    <mergeCell ref="A694:A695"/>
    <mergeCell ref="B694:B695"/>
    <mergeCell ref="C694:C695"/>
    <mergeCell ref="B686:E686"/>
    <mergeCell ref="I686:M686"/>
    <mergeCell ref="A688:A691"/>
    <mergeCell ref="B688:B691"/>
    <mergeCell ref="C688:C691"/>
    <mergeCell ref="A682:A683"/>
    <mergeCell ref="B682:B683"/>
    <mergeCell ref="C682:C683"/>
    <mergeCell ref="A684:A685"/>
    <mergeCell ref="B684:E685"/>
    <mergeCell ref="A677:A678"/>
    <mergeCell ref="B677:B678"/>
    <mergeCell ref="C677:C678"/>
    <mergeCell ref="B679:E679"/>
    <mergeCell ref="I679:M679"/>
    <mergeCell ref="A671:A672"/>
    <mergeCell ref="B671:B672"/>
    <mergeCell ref="C671:C672"/>
    <mergeCell ref="A673:A675"/>
    <mergeCell ref="B673:B675"/>
    <mergeCell ref="C673:C675"/>
    <mergeCell ref="A668:A669"/>
    <mergeCell ref="B668:B669"/>
    <mergeCell ref="C668:C669"/>
    <mergeCell ref="B670:E670"/>
    <mergeCell ref="I670:M670"/>
    <mergeCell ref="B661:E661"/>
    <mergeCell ref="I661:M661"/>
    <mergeCell ref="A663:A667"/>
    <mergeCell ref="B663:B667"/>
    <mergeCell ref="C663:C667"/>
    <mergeCell ref="B640:E640"/>
    <mergeCell ref="I640:M640"/>
    <mergeCell ref="A657:A658"/>
    <mergeCell ref="B657:B658"/>
    <mergeCell ref="C657:C658"/>
    <mergeCell ref="A633:A635"/>
    <mergeCell ref="B633:B635"/>
    <mergeCell ref="C633:C635"/>
    <mergeCell ref="A636:A639"/>
    <mergeCell ref="B636:B639"/>
    <mergeCell ref="C636:C639"/>
    <mergeCell ref="A628:A630"/>
    <mergeCell ref="B628:B630"/>
    <mergeCell ref="C628:C630"/>
    <mergeCell ref="A631:A632"/>
    <mergeCell ref="B631:B632"/>
    <mergeCell ref="C631:C632"/>
    <mergeCell ref="A613:A623"/>
    <mergeCell ref="B613:B623"/>
    <mergeCell ref="C613:C623"/>
    <mergeCell ref="A624:A626"/>
    <mergeCell ref="B624:B626"/>
    <mergeCell ref="C624:C626"/>
    <mergeCell ref="C608:E608"/>
    <mergeCell ref="I608:M608"/>
    <mergeCell ref="A609:A611"/>
    <mergeCell ref="B609:E611"/>
    <mergeCell ref="B612:E612"/>
    <mergeCell ref="I612:M612"/>
    <mergeCell ref="A603:A605"/>
    <mergeCell ref="B603:B605"/>
    <mergeCell ref="C603:C605"/>
    <mergeCell ref="A606:A607"/>
    <mergeCell ref="B606:B607"/>
    <mergeCell ref="C606:C607"/>
    <mergeCell ref="A597:A598"/>
    <mergeCell ref="B597:B598"/>
    <mergeCell ref="C597:C598"/>
    <mergeCell ref="A600:A601"/>
    <mergeCell ref="B600:B601"/>
    <mergeCell ref="C600:C601"/>
    <mergeCell ref="A590:A594"/>
    <mergeCell ref="B590:B594"/>
    <mergeCell ref="C590:C594"/>
    <mergeCell ref="A595:A596"/>
    <mergeCell ref="B595:B596"/>
    <mergeCell ref="C595:C596"/>
    <mergeCell ref="A586:A588"/>
    <mergeCell ref="B586:B588"/>
    <mergeCell ref="C586:C588"/>
    <mergeCell ref="B589:E589"/>
    <mergeCell ref="I589:M589"/>
    <mergeCell ref="A579:A582"/>
    <mergeCell ref="B579:B582"/>
    <mergeCell ref="C579:C582"/>
    <mergeCell ref="A583:A585"/>
    <mergeCell ref="B583:B585"/>
    <mergeCell ref="C583:C585"/>
    <mergeCell ref="B572:E572"/>
    <mergeCell ref="I572:M572"/>
    <mergeCell ref="A574:A577"/>
    <mergeCell ref="B574:B577"/>
    <mergeCell ref="C574:C577"/>
    <mergeCell ref="A565:A567"/>
    <mergeCell ref="B565:B567"/>
    <mergeCell ref="C565:C567"/>
    <mergeCell ref="A568:A571"/>
    <mergeCell ref="B568:B571"/>
    <mergeCell ref="C568:C571"/>
    <mergeCell ref="A558:A559"/>
    <mergeCell ref="B558:B559"/>
    <mergeCell ref="C558:C559"/>
    <mergeCell ref="A561:A564"/>
    <mergeCell ref="B561:B564"/>
    <mergeCell ref="C561:C564"/>
    <mergeCell ref="A552:A554"/>
    <mergeCell ref="B552:B554"/>
    <mergeCell ref="C552:C554"/>
    <mergeCell ref="A555:A557"/>
    <mergeCell ref="B555:B557"/>
    <mergeCell ref="C555:C557"/>
    <mergeCell ref="A540:A548"/>
    <mergeCell ref="B540:B548"/>
    <mergeCell ref="C540:C548"/>
    <mergeCell ref="A549:A551"/>
    <mergeCell ref="B549:B551"/>
    <mergeCell ref="C549:C551"/>
    <mergeCell ref="A530:A533"/>
    <mergeCell ref="B530:B533"/>
    <mergeCell ref="C530:C533"/>
    <mergeCell ref="A534:A539"/>
    <mergeCell ref="B534:B539"/>
    <mergeCell ref="C534:C539"/>
    <mergeCell ref="A524:A527"/>
    <mergeCell ref="B524:B527"/>
    <mergeCell ref="C524:C527"/>
    <mergeCell ref="A528:A529"/>
    <mergeCell ref="B528:B529"/>
    <mergeCell ref="C528:C529"/>
    <mergeCell ref="C519:E519"/>
    <mergeCell ref="I519:M519"/>
    <mergeCell ref="A520:A522"/>
    <mergeCell ref="B520:E522"/>
    <mergeCell ref="B523:E523"/>
    <mergeCell ref="I523:M523"/>
    <mergeCell ref="A512:A513"/>
    <mergeCell ref="B512:B513"/>
    <mergeCell ref="C512:C513"/>
    <mergeCell ref="A515:A518"/>
    <mergeCell ref="B515:B518"/>
    <mergeCell ref="C515:C518"/>
    <mergeCell ref="A505:A508"/>
    <mergeCell ref="B505:B508"/>
    <mergeCell ref="C505:C508"/>
    <mergeCell ref="A509:A511"/>
    <mergeCell ref="B509:B511"/>
    <mergeCell ref="C509:C511"/>
    <mergeCell ref="A501:A503"/>
    <mergeCell ref="B501:B503"/>
    <mergeCell ref="C501:C503"/>
    <mergeCell ref="B504:E504"/>
    <mergeCell ref="I504:M504"/>
    <mergeCell ref="A491:A495"/>
    <mergeCell ref="B491:B495"/>
    <mergeCell ref="C491:C495"/>
    <mergeCell ref="A496:A500"/>
    <mergeCell ref="B496:B500"/>
    <mergeCell ref="C496:C500"/>
    <mergeCell ref="A485:A487"/>
    <mergeCell ref="B485:B487"/>
    <mergeCell ref="C485:C487"/>
    <mergeCell ref="B489:E489"/>
    <mergeCell ref="I489:M489"/>
    <mergeCell ref="A477:A481"/>
    <mergeCell ref="B477:B481"/>
    <mergeCell ref="C477:C481"/>
    <mergeCell ref="A482:A484"/>
    <mergeCell ref="B482:B484"/>
    <mergeCell ref="C482:C484"/>
    <mergeCell ref="C473:E473"/>
    <mergeCell ref="I473:M473"/>
    <mergeCell ref="B474:E474"/>
    <mergeCell ref="B475:E475"/>
    <mergeCell ref="I475:M475"/>
    <mergeCell ref="A465:A468"/>
    <mergeCell ref="B465:B468"/>
    <mergeCell ref="C465:C468"/>
    <mergeCell ref="A469:A472"/>
    <mergeCell ref="B469:B472"/>
    <mergeCell ref="C469:C472"/>
    <mergeCell ref="A456:A460"/>
    <mergeCell ref="B456:B460"/>
    <mergeCell ref="C456:C460"/>
    <mergeCell ref="A463:A464"/>
    <mergeCell ref="B463:B464"/>
    <mergeCell ref="C463:C464"/>
    <mergeCell ref="A447:A450"/>
    <mergeCell ref="B447:B450"/>
    <mergeCell ref="C447:C450"/>
    <mergeCell ref="A452:A455"/>
    <mergeCell ref="B452:B455"/>
    <mergeCell ref="C452:C455"/>
    <mergeCell ref="A440:A442"/>
    <mergeCell ref="B440:B442"/>
    <mergeCell ref="C440:C442"/>
    <mergeCell ref="A443:A446"/>
    <mergeCell ref="B443:B446"/>
    <mergeCell ref="C443:C446"/>
    <mergeCell ref="A433:A434"/>
    <mergeCell ref="B433:B434"/>
    <mergeCell ref="C433:C434"/>
    <mergeCell ref="A435:A439"/>
    <mergeCell ref="B435:B439"/>
    <mergeCell ref="C435:C439"/>
    <mergeCell ref="A424:A428"/>
    <mergeCell ref="B424:B428"/>
    <mergeCell ref="C424:C428"/>
    <mergeCell ref="A429:A431"/>
    <mergeCell ref="B429:B431"/>
    <mergeCell ref="C429:C431"/>
    <mergeCell ref="B419:E419"/>
    <mergeCell ref="B420:E420"/>
    <mergeCell ref="I420:M420"/>
    <mergeCell ref="A421:A422"/>
    <mergeCell ref="B421:B422"/>
    <mergeCell ref="C421:C422"/>
    <mergeCell ref="A412:A413"/>
    <mergeCell ref="B412:B413"/>
    <mergeCell ref="C412:C413"/>
    <mergeCell ref="A416:A417"/>
    <mergeCell ref="B416:B417"/>
    <mergeCell ref="C416:C417"/>
    <mergeCell ref="A398:A399"/>
    <mergeCell ref="B398:B399"/>
    <mergeCell ref="C398:C399"/>
    <mergeCell ref="A401:A409"/>
    <mergeCell ref="B401:B409"/>
    <mergeCell ref="C401:C409"/>
    <mergeCell ref="A387:A389"/>
    <mergeCell ref="B387:B389"/>
    <mergeCell ref="C387:C389"/>
    <mergeCell ref="A390:A397"/>
    <mergeCell ref="B390:B397"/>
    <mergeCell ref="C390:C397"/>
    <mergeCell ref="A381:A382"/>
    <mergeCell ref="B381:B382"/>
    <mergeCell ref="C381:C382"/>
    <mergeCell ref="A384:A386"/>
    <mergeCell ref="B384:B386"/>
    <mergeCell ref="C384:C386"/>
    <mergeCell ref="B370:E370"/>
    <mergeCell ref="I370:M370"/>
    <mergeCell ref="A371:A380"/>
    <mergeCell ref="B371:B380"/>
    <mergeCell ref="C371:C380"/>
    <mergeCell ref="A351:A356"/>
    <mergeCell ref="B351:B356"/>
    <mergeCell ref="C351:C356"/>
    <mergeCell ref="A357:A367"/>
    <mergeCell ref="B357:B367"/>
    <mergeCell ref="C357:C367"/>
    <mergeCell ref="A342:A348"/>
    <mergeCell ref="B342:B348"/>
    <mergeCell ref="C342:C348"/>
    <mergeCell ref="A349:A350"/>
    <mergeCell ref="B349:B350"/>
    <mergeCell ref="C349:C350"/>
    <mergeCell ref="C338:E338"/>
    <mergeCell ref="I338:M338"/>
    <mergeCell ref="A339:A340"/>
    <mergeCell ref="B339:E340"/>
    <mergeCell ref="B341:E341"/>
    <mergeCell ref="I341:M341"/>
    <mergeCell ref="B334:E334"/>
    <mergeCell ref="I334:M334"/>
    <mergeCell ref="A335:A336"/>
    <mergeCell ref="B335:B336"/>
    <mergeCell ref="C335:C336"/>
    <mergeCell ref="A328:A329"/>
    <mergeCell ref="B328:B329"/>
    <mergeCell ref="C328:C329"/>
    <mergeCell ref="A330:A332"/>
    <mergeCell ref="B330:B332"/>
    <mergeCell ref="C330:C332"/>
    <mergeCell ref="A321:A324"/>
    <mergeCell ref="B321:B324"/>
    <mergeCell ref="C321:C324"/>
    <mergeCell ref="A325:A327"/>
    <mergeCell ref="B325:B327"/>
    <mergeCell ref="C325:C327"/>
    <mergeCell ref="A312:A318"/>
    <mergeCell ref="B312:B318"/>
    <mergeCell ref="C312:C318"/>
    <mergeCell ref="B320:E320"/>
    <mergeCell ref="I320:M320"/>
    <mergeCell ref="A305:A307"/>
    <mergeCell ref="B305:B307"/>
    <mergeCell ref="C305:C307"/>
    <mergeCell ref="A308:A311"/>
    <mergeCell ref="B308:B311"/>
    <mergeCell ref="C308:C311"/>
    <mergeCell ref="A298:A302"/>
    <mergeCell ref="B298:B302"/>
    <mergeCell ref="C298:C302"/>
    <mergeCell ref="A303:A304"/>
    <mergeCell ref="B303:B304"/>
    <mergeCell ref="C303:C304"/>
    <mergeCell ref="B289:E289"/>
    <mergeCell ref="I289:M289"/>
    <mergeCell ref="A290:A297"/>
    <mergeCell ref="B290:B297"/>
    <mergeCell ref="C290:C297"/>
    <mergeCell ref="A279:A282"/>
    <mergeCell ref="B279:B282"/>
    <mergeCell ref="C279:C282"/>
    <mergeCell ref="C286:E286"/>
    <mergeCell ref="A287:A288"/>
    <mergeCell ref="B287:E288"/>
    <mergeCell ref="A273:A274"/>
    <mergeCell ref="B273:B274"/>
    <mergeCell ref="C273:C274"/>
    <mergeCell ref="B277:E277"/>
    <mergeCell ref="I277:M277"/>
    <mergeCell ref="B268:E268"/>
    <mergeCell ref="I268:M268"/>
    <mergeCell ref="A269:A270"/>
    <mergeCell ref="B269:B270"/>
    <mergeCell ref="C269:C270"/>
    <mergeCell ref="B263:E263"/>
    <mergeCell ref="I263:M263"/>
    <mergeCell ref="A264:A265"/>
    <mergeCell ref="B264:B265"/>
    <mergeCell ref="C264:C265"/>
    <mergeCell ref="A259:A260"/>
    <mergeCell ref="B259:B260"/>
    <mergeCell ref="C259:C260"/>
    <mergeCell ref="C261:E261"/>
    <mergeCell ref="B262:E262"/>
    <mergeCell ref="A246:A249"/>
    <mergeCell ref="B246:B249"/>
    <mergeCell ref="C246:C249"/>
    <mergeCell ref="A250:A258"/>
    <mergeCell ref="B250:B258"/>
    <mergeCell ref="C250:C258"/>
    <mergeCell ref="A239:A243"/>
    <mergeCell ref="B239:B243"/>
    <mergeCell ref="C239:C243"/>
    <mergeCell ref="A244:A245"/>
    <mergeCell ref="B244:B245"/>
    <mergeCell ref="C244:C245"/>
    <mergeCell ref="A233:A234"/>
    <mergeCell ref="B233:B234"/>
    <mergeCell ref="C233:C234"/>
    <mergeCell ref="A236:A238"/>
    <mergeCell ref="B236:B238"/>
    <mergeCell ref="C236:C238"/>
    <mergeCell ref="A224:A227"/>
    <mergeCell ref="B224:E227"/>
    <mergeCell ref="B228:E228"/>
    <mergeCell ref="I228:M228"/>
    <mergeCell ref="A230:A232"/>
    <mergeCell ref="B230:B232"/>
    <mergeCell ref="C230:C232"/>
    <mergeCell ref="A220:A222"/>
    <mergeCell ref="B220:B222"/>
    <mergeCell ref="C220:C222"/>
    <mergeCell ref="C223:E223"/>
    <mergeCell ref="I223:M223"/>
    <mergeCell ref="B215:E215"/>
    <mergeCell ref="I215:M215"/>
    <mergeCell ref="A216:A219"/>
    <mergeCell ref="B216:B219"/>
    <mergeCell ref="C216:C219"/>
    <mergeCell ref="A205:A207"/>
    <mergeCell ref="B205:B207"/>
    <mergeCell ref="C205:C207"/>
    <mergeCell ref="A210:A212"/>
    <mergeCell ref="B210:B212"/>
    <mergeCell ref="C210:C212"/>
    <mergeCell ref="B199:E199"/>
    <mergeCell ref="B200:E200"/>
    <mergeCell ref="I200:M200"/>
    <mergeCell ref="A201:A204"/>
    <mergeCell ref="B201:B204"/>
    <mergeCell ref="C201:C204"/>
    <mergeCell ref="A192:A194"/>
    <mergeCell ref="B192:B194"/>
    <mergeCell ref="C192:C194"/>
    <mergeCell ref="A195:A198"/>
    <mergeCell ref="B195:B198"/>
    <mergeCell ref="C195:C198"/>
    <mergeCell ref="A183:A186"/>
    <mergeCell ref="B183:B186"/>
    <mergeCell ref="C183:C186"/>
    <mergeCell ref="A187:A191"/>
    <mergeCell ref="B187:B191"/>
    <mergeCell ref="C187:C191"/>
    <mergeCell ref="A175:A178"/>
    <mergeCell ref="B175:B178"/>
    <mergeCell ref="C175:C178"/>
    <mergeCell ref="A179:A182"/>
    <mergeCell ref="B179:B182"/>
    <mergeCell ref="C179:C182"/>
    <mergeCell ref="B170:E170"/>
    <mergeCell ref="I170:M170"/>
    <mergeCell ref="A171:A174"/>
    <mergeCell ref="B171:B174"/>
    <mergeCell ref="C171:C174"/>
    <mergeCell ref="A164:A166"/>
    <mergeCell ref="B164:B166"/>
    <mergeCell ref="C164:C166"/>
    <mergeCell ref="A167:A169"/>
    <mergeCell ref="B167:B169"/>
    <mergeCell ref="C167:C169"/>
    <mergeCell ref="B160:E160"/>
    <mergeCell ref="I160:M160"/>
    <mergeCell ref="A161:A163"/>
    <mergeCell ref="B161:B163"/>
    <mergeCell ref="C161:C163"/>
    <mergeCell ref="A153:A157"/>
    <mergeCell ref="B153:B157"/>
    <mergeCell ref="C153:C157"/>
    <mergeCell ref="A158:A159"/>
    <mergeCell ref="B158:B159"/>
    <mergeCell ref="C158:C159"/>
    <mergeCell ref="C150:E150"/>
    <mergeCell ref="I150:M150"/>
    <mergeCell ref="B151:E151"/>
    <mergeCell ref="B152:E152"/>
    <mergeCell ref="I152:M152"/>
    <mergeCell ref="A144:A145"/>
    <mergeCell ref="B144:B145"/>
    <mergeCell ref="C144:C145"/>
    <mergeCell ref="A146:A149"/>
    <mergeCell ref="B146:B149"/>
    <mergeCell ref="C146:C149"/>
    <mergeCell ref="A140:A142"/>
    <mergeCell ref="B140:B142"/>
    <mergeCell ref="C140:C142"/>
    <mergeCell ref="B143:E143"/>
    <mergeCell ref="I143:M143"/>
    <mergeCell ref="A132:A135"/>
    <mergeCell ref="B132:B135"/>
    <mergeCell ref="C132:C135"/>
    <mergeCell ref="B138:E138"/>
    <mergeCell ref="I138:M138"/>
    <mergeCell ref="A125:A128"/>
    <mergeCell ref="B125:B128"/>
    <mergeCell ref="C125:C128"/>
    <mergeCell ref="A129:A131"/>
    <mergeCell ref="B129:B131"/>
    <mergeCell ref="C129:C131"/>
    <mergeCell ref="A119:A121"/>
    <mergeCell ref="B119:B121"/>
    <mergeCell ref="C119:C121"/>
    <mergeCell ref="A122:A123"/>
    <mergeCell ref="B122:B123"/>
    <mergeCell ref="C122:C123"/>
    <mergeCell ref="A114:A117"/>
    <mergeCell ref="B114:B117"/>
    <mergeCell ref="C114:C117"/>
    <mergeCell ref="B118:E118"/>
    <mergeCell ref="I118:M118"/>
    <mergeCell ref="B111:E111"/>
    <mergeCell ref="I111:M111"/>
    <mergeCell ref="A112:A113"/>
    <mergeCell ref="B112:B113"/>
    <mergeCell ref="C112:C113"/>
    <mergeCell ref="A106:A107"/>
    <mergeCell ref="B106:B107"/>
    <mergeCell ref="C106:C107"/>
    <mergeCell ref="A108:A110"/>
    <mergeCell ref="B108:B110"/>
    <mergeCell ref="C108:C110"/>
    <mergeCell ref="B101:E101"/>
    <mergeCell ref="I101:M101"/>
    <mergeCell ref="A103:A105"/>
    <mergeCell ref="B103:B105"/>
    <mergeCell ref="C103:C105"/>
    <mergeCell ref="I96:M96"/>
    <mergeCell ref="I99:M99"/>
    <mergeCell ref="C99:E99"/>
    <mergeCell ref="B100:E100"/>
    <mergeCell ref="A91:A92"/>
    <mergeCell ref="B91:B92"/>
    <mergeCell ref="C91:C92"/>
    <mergeCell ref="A93:A94"/>
    <mergeCell ref="B93:B94"/>
    <mergeCell ref="C93:C94"/>
    <mergeCell ref="A85:A86"/>
    <mergeCell ref="B85:E86"/>
    <mergeCell ref="B87:E87"/>
    <mergeCell ref="I87:M87"/>
    <mergeCell ref="A88:A90"/>
    <mergeCell ref="B88:B90"/>
    <mergeCell ref="C88:C90"/>
    <mergeCell ref="A76:A78"/>
    <mergeCell ref="B76:B78"/>
    <mergeCell ref="C76:C78"/>
    <mergeCell ref="A79:A82"/>
    <mergeCell ref="B79:B82"/>
    <mergeCell ref="C79:C82"/>
    <mergeCell ref="A69:A71"/>
    <mergeCell ref="B69:B71"/>
    <mergeCell ref="C69:C71"/>
    <mergeCell ref="A72:A75"/>
    <mergeCell ref="B72:B75"/>
    <mergeCell ref="C72:C75"/>
    <mergeCell ref="A57:A66"/>
    <mergeCell ref="B57:B66"/>
    <mergeCell ref="C57:C66"/>
    <mergeCell ref="A67:A68"/>
    <mergeCell ref="B67:B68"/>
    <mergeCell ref="C67:C68"/>
    <mergeCell ref="A53:A55"/>
    <mergeCell ref="B53:B55"/>
    <mergeCell ref="C53:C55"/>
    <mergeCell ref="B56:E56"/>
    <mergeCell ref="I56:M56"/>
    <mergeCell ref="C45:E45"/>
    <mergeCell ref="I45:M45"/>
    <mergeCell ref="A46:A48"/>
    <mergeCell ref="B46:E48"/>
    <mergeCell ref="B49:E49"/>
    <mergeCell ref="I49:M49"/>
    <mergeCell ref="A37:A40"/>
    <mergeCell ref="B37:B40"/>
    <mergeCell ref="C37:C40"/>
    <mergeCell ref="B42:E42"/>
    <mergeCell ref="I42:M42"/>
    <mergeCell ref="A33:A35"/>
    <mergeCell ref="B33:B35"/>
    <mergeCell ref="C33:C35"/>
    <mergeCell ref="B36:E36"/>
    <mergeCell ref="I36:M36"/>
    <mergeCell ref="C26:C31"/>
    <mergeCell ref="C6:E6"/>
    <mergeCell ref="I6:M6"/>
    <mergeCell ref="B7:E7"/>
    <mergeCell ref="B8:E8"/>
    <mergeCell ref="I8:M8"/>
    <mergeCell ref="A20:A21"/>
    <mergeCell ref="B20:B21"/>
    <mergeCell ref="C20:C21"/>
    <mergeCell ref="A22:A24"/>
    <mergeCell ref="B22:B24"/>
    <mergeCell ref="C22:C24"/>
    <mergeCell ref="A9:A10"/>
    <mergeCell ref="B9:B10"/>
    <mergeCell ref="C9:C10"/>
    <mergeCell ref="A11:A19"/>
    <mergeCell ref="B11:B19"/>
    <mergeCell ref="C11:C19"/>
    <mergeCell ref="B96:E96"/>
    <mergeCell ref="B235:E235"/>
    <mergeCell ref="I261:M261"/>
    <mergeCell ref="I286:M286"/>
    <mergeCell ref="A1:M1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I3:M3"/>
    <mergeCell ref="K4:M4"/>
    <mergeCell ref="B25:E25"/>
    <mergeCell ref="I25:M25"/>
    <mergeCell ref="A26:A31"/>
    <mergeCell ref="B26:B31"/>
  </mergeCells>
  <pageMargins left="0.39370078740157483" right="0.39370078740157483" top="0.78740157480314965" bottom="0.39370078740157483" header="0.39370078740157483" footer="0.39370078740157483"/>
  <pageSetup paperSize="9" scale="64" firstPageNumber="71" fitToHeight="0" orientation="landscape" useFirstPageNumber="1" r:id="rId1"/>
  <headerFooter>
    <oddHeader xml:space="preserve">&amp;C&amp;P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Jozonienė</dc:creator>
  <cp:lastModifiedBy>Vaida Kalasevičienė</cp:lastModifiedBy>
  <cp:lastPrinted>2023-01-16T13:31:39Z</cp:lastPrinted>
  <dcterms:created xsi:type="dcterms:W3CDTF">2023-01-16T08:08:55Z</dcterms:created>
  <dcterms:modified xsi:type="dcterms:W3CDTF">2023-01-17T08:10:33Z</dcterms:modified>
</cp:coreProperties>
</file>