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tabRatio="500"/>
  </bookViews>
  <sheets>
    <sheet name="Planas" sheetId="1" r:id="rId1"/>
  </sheets>
  <calcPr calcId="145621"/>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386" i="1" l="1"/>
  <c r="F386" i="1"/>
  <c r="G386" i="1"/>
  <c r="E858" i="1" l="1"/>
  <c r="D858" i="1"/>
  <c r="C858" i="1"/>
  <c r="E845" i="1"/>
  <c r="D845" i="1"/>
  <c r="C845" i="1"/>
  <c r="C862" i="1" s="1"/>
  <c r="G839" i="1"/>
  <c r="G838" i="1" s="1"/>
  <c r="F839" i="1"/>
  <c r="F838" i="1" s="1"/>
  <c r="E839" i="1"/>
  <c r="E838" i="1" s="1"/>
  <c r="G834" i="1"/>
  <c r="F834" i="1"/>
  <c r="E834" i="1"/>
  <c r="G830" i="1"/>
  <c r="F830" i="1"/>
  <c r="E830" i="1"/>
  <c r="G825" i="1"/>
  <c r="F825" i="1"/>
  <c r="E825" i="1"/>
  <c r="G822" i="1"/>
  <c r="F822" i="1"/>
  <c r="E822" i="1"/>
  <c r="G820" i="1"/>
  <c r="F820" i="1"/>
  <c r="E820" i="1"/>
  <c r="G816" i="1"/>
  <c r="G814" i="1" s="1"/>
  <c r="F816" i="1"/>
  <c r="F814" i="1" s="1"/>
  <c r="E816" i="1"/>
  <c r="E814" i="1" s="1"/>
  <c r="G811" i="1"/>
  <c r="F811" i="1"/>
  <c r="E811" i="1"/>
  <c r="G809" i="1"/>
  <c r="F809" i="1"/>
  <c r="E809" i="1"/>
  <c r="G805" i="1"/>
  <c r="F805" i="1"/>
  <c r="E805" i="1"/>
  <c r="G803" i="1"/>
  <c r="F803" i="1"/>
  <c r="E803" i="1"/>
  <c r="G799" i="1"/>
  <c r="F799" i="1"/>
  <c r="E799" i="1"/>
  <c r="G796" i="1"/>
  <c r="F796" i="1"/>
  <c r="E796" i="1"/>
  <c r="G775" i="1"/>
  <c r="F775" i="1"/>
  <c r="E775" i="1"/>
  <c r="G764" i="1"/>
  <c r="F764" i="1"/>
  <c r="E764" i="1"/>
  <c r="G759" i="1"/>
  <c r="G758" i="1" s="1"/>
  <c r="F759" i="1"/>
  <c r="F758" i="1" s="1"/>
  <c r="E759" i="1"/>
  <c r="E758" i="1" s="1"/>
  <c r="G755" i="1"/>
  <c r="G754" i="1" s="1"/>
  <c r="F755" i="1"/>
  <c r="F754" i="1" s="1"/>
  <c r="E755" i="1"/>
  <c r="E754" i="1" s="1"/>
  <c r="G748" i="1"/>
  <c r="G747" i="1" s="1"/>
  <c r="F748" i="1"/>
  <c r="F747" i="1" s="1"/>
  <c r="E748" i="1"/>
  <c r="E747" i="1" s="1"/>
  <c r="G743" i="1"/>
  <c r="F743" i="1"/>
  <c r="E743" i="1"/>
  <c r="G740" i="1"/>
  <c r="G739" i="1" s="1"/>
  <c r="F740" i="1"/>
  <c r="F739" i="1" s="1"/>
  <c r="E740" i="1"/>
  <c r="E739" i="1" s="1"/>
  <c r="G737" i="1"/>
  <c r="F737" i="1"/>
  <c r="E737" i="1"/>
  <c r="G734" i="1"/>
  <c r="F734" i="1"/>
  <c r="E734" i="1"/>
  <c r="G732" i="1"/>
  <c r="F732" i="1"/>
  <c r="E732" i="1"/>
  <c r="G728" i="1"/>
  <c r="F728" i="1"/>
  <c r="E728" i="1"/>
  <c r="G726" i="1"/>
  <c r="F726" i="1"/>
  <c r="E726" i="1"/>
  <c r="G724" i="1"/>
  <c r="F724" i="1"/>
  <c r="E724" i="1"/>
  <c r="G721" i="1"/>
  <c r="F721" i="1"/>
  <c r="E721" i="1"/>
  <c r="G719" i="1"/>
  <c r="F719" i="1"/>
  <c r="E719" i="1"/>
  <c r="G714" i="1"/>
  <c r="G713" i="1" s="1"/>
  <c r="F714" i="1"/>
  <c r="F713" i="1" s="1"/>
  <c r="E714" i="1"/>
  <c r="E713" i="1" s="1"/>
  <c r="G710" i="1"/>
  <c r="G709" i="1" s="1"/>
  <c r="F710" i="1"/>
  <c r="F709" i="1" s="1"/>
  <c r="E710" i="1"/>
  <c r="E709" i="1" s="1"/>
  <c r="G702" i="1"/>
  <c r="G701" i="1" s="1"/>
  <c r="F702" i="1"/>
  <c r="F701" i="1" s="1"/>
  <c r="E702" i="1"/>
  <c r="E701" i="1" s="1"/>
  <c r="G694" i="1"/>
  <c r="F694" i="1"/>
  <c r="E694" i="1"/>
  <c r="G690" i="1"/>
  <c r="F690" i="1"/>
  <c r="E690" i="1"/>
  <c r="G687" i="1"/>
  <c r="F687" i="1"/>
  <c r="E687" i="1"/>
  <c r="G684" i="1"/>
  <c r="F684" i="1"/>
  <c r="E684" i="1"/>
  <c r="G681" i="1"/>
  <c r="F681" i="1"/>
  <c r="E681" i="1"/>
  <c r="G677" i="1"/>
  <c r="F677" i="1"/>
  <c r="E677" i="1"/>
  <c r="G672" i="1"/>
  <c r="F672" i="1"/>
  <c r="E672" i="1"/>
  <c r="G669" i="1"/>
  <c r="F669" i="1"/>
  <c r="E669" i="1"/>
  <c r="G665" i="1"/>
  <c r="F665" i="1"/>
  <c r="E665" i="1"/>
  <c r="G657" i="1"/>
  <c r="F657" i="1"/>
  <c r="E657" i="1"/>
  <c r="G649" i="1"/>
  <c r="F649" i="1"/>
  <c r="E649" i="1"/>
  <c r="G645" i="1"/>
  <c r="F645" i="1"/>
  <c r="E645" i="1"/>
  <c r="G636" i="1"/>
  <c r="F636" i="1"/>
  <c r="E636" i="1"/>
  <c r="G632" i="1"/>
  <c r="F632" i="1"/>
  <c r="E632" i="1"/>
  <c r="G628" i="1"/>
  <c r="F628" i="1"/>
  <c r="E628" i="1"/>
  <c r="G622" i="1"/>
  <c r="F622" i="1"/>
  <c r="E622" i="1"/>
  <c r="G617" i="1"/>
  <c r="F617" i="1"/>
  <c r="E617" i="1"/>
  <c r="G613" i="1"/>
  <c r="F613" i="1"/>
  <c r="E613" i="1"/>
  <c r="G611" i="1"/>
  <c r="F611" i="1"/>
  <c r="E611" i="1"/>
  <c r="G607" i="1"/>
  <c r="F607" i="1"/>
  <c r="E607" i="1"/>
  <c r="G603" i="1"/>
  <c r="F603" i="1"/>
  <c r="E603" i="1"/>
  <c r="G598" i="1"/>
  <c r="F598" i="1"/>
  <c r="E598" i="1"/>
  <c r="G594" i="1"/>
  <c r="F594" i="1"/>
  <c r="E594" i="1"/>
  <c r="G590" i="1"/>
  <c r="F590" i="1"/>
  <c r="E590" i="1"/>
  <c r="G584" i="1"/>
  <c r="F584" i="1"/>
  <c r="E584" i="1"/>
  <c r="G580" i="1"/>
  <c r="G579" i="1" s="1"/>
  <c r="F580" i="1"/>
  <c r="F579" i="1" s="1"/>
  <c r="E580" i="1"/>
  <c r="E579" i="1" s="1"/>
  <c r="G575" i="1"/>
  <c r="F575" i="1"/>
  <c r="E575" i="1"/>
  <c r="G570" i="1"/>
  <c r="F570" i="1"/>
  <c r="E570" i="1"/>
  <c r="G565" i="1"/>
  <c r="F565" i="1"/>
  <c r="E565" i="1"/>
  <c r="G561" i="1"/>
  <c r="F561" i="1"/>
  <c r="E561" i="1"/>
  <c r="G555" i="1"/>
  <c r="F555" i="1"/>
  <c r="E555" i="1"/>
  <c r="G552" i="1"/>
  <c r="F552" i="1"/>
  <c r="E552" i="1"/>
  <c r="G549" i="1"/>
  <c r="F549" i="1"/>
  <c r="E549" i="1"/>
  <c r="G547" i="1"/>
  <c r="F547" i="1"/>
  <c r="E547" i="1"/>
  <c r="G542" i="1"/>
  <c r="F542" i="1"/>
  <c r="E542" i="1"/>
  <c r="G537" i="1"/>
  <c r="F537" i="1"/>
  <c r="E537" i="1"/>
  <c r="G531" i="1"/>
  <c r="F531" i="1"/>
  <c r="E531" i="1"/>
  <c r="G527" i="1"/>
  <c r="F527" i="1"/>
  <c r="E527" i="1"/>
  <c r="G525" i="1"/>
  <c r="F525" i="1"/>
  <c r="E525" i="1"/>
  <c r="G519" i="1"/>
  <c r="F519" i="1"/>
  <c r="E519" i="1"/>
  <c r="G517" i="1"/>
  <c r="F517" i="1"/>
  <c r="E517" i="1"/>
  <c r="G512" i="1"/>
  <c r="F512" i="1"/>
  <c r="E512" i="1"/>
  <c r="G507" i="1"/>
  <c r="F507" i="1"/>
  <c r="E507" i="1"/>
  <c r="G503" i="1"/>
  <c r="F503" i="1"/>
  <c r="E503" i="1"/>
  <c r="G501" i="1"/>
  <c r="F501" i="1"/>
  <c r="E501" i="1"/>
  <c r="G498" i="1"/>
  <c r="G497" i="1" s="1"/>
  <c r="F498" i="1"/>
  <c r="F497" i="1" s="1"/>
  <c r="E498" i="1"/>
  <c r="E497" i="1" s="1"/>
  <c r="G493" i="1"/>
  <c r="F493" i="1"/>
  <c r="E493" i="1"/>
  <c r="G484" i="1"/>
  <c r="G483" i="1" s="1"/>
  <c r="G482" i="1" s="1"/>
  <c r="F484" i="1"/>
  <c r="F483" i="1" s="1"/>
  <c r="F482" i="1" s="1"/>
  <c r="E484" i="1"/>
  <c r="G473" i="1"/>
  <c r="G472" i="1" s="1"/>
  <c r="G471" i="1" s="1"/>
  <c r="F473" i="1"/>
  <c r="F472" i="1" s="1"/>
  <c r="F471" i="1" s="1"/>
  <c r="E473" i="1"/>
  <c r="E472" i="1" s="1"/>
  <c r="E471" i="1" s="1"/>
  <c r="G468" i="1"/>
  <c r="F468" i="1"/>
  <c r="E468" i="1"/>
  <c r="G466" i="1"/>
  <c r="F466" i="1"/>
  <c r="E466" i="1"/>
  <c r="G462" i="1"/>
  <c r="F462" i="1"/>
  <c r="E462" i="1"/>
  <c r="G458" i="1"/>
  <c r="F458" i="1"/>
  <c r="E458" i="1"/>
  <c r="G456" i="1"/>
  <c r="F456" i="1"/>
  <c r="E456" i="1"/>
  <c r="G453" i="1"/>
  <c r="F453" i="1"/>
  <c r="E453" i="1"/>
  <c r="G442" i="1"/>
  <c r="F442" i="1"/>
  <c r="E442" i="1"/>
  <c r="G431" i="1"/>
  <c r="F431" i="1"/>
  <c r="E431" i="1"/>
  <c r="G427" i="1"/>
  <c r="F427" i="1"/>
  <c r="E427" i="1"/>
  <c r="G421" i="1"/>
  <c r="G420" i="1" s="1"/>
  <c r="F421" i="1"/>
  <c r="F420" i="1" s="1"/>
  <c r="E421" i="1"/>
  <c r="E420" i="1" s="1"/>
  <c r="G415" i="1"/>
  <c r="F415" i="1"/>
  <c r="E415" i="1"/>
  <c r="G412" i="1"/>
  <c r="F412" i="1"/>
  <c r="E412" i="1"/>
  <c r="G408" i="1"/>
  <c r="F408" i="1"/>
  <c r="E408" i="1"/>
  <c r="G404" i="1"/>
  <c r="G403" i="1" s="1"/>
  <c r="F404" i="1"/>
  <c r="F403" i="1" s="1"/>
  <c r="E404" i="1"/>
  <c r="E403" i="1" s="1"/>
  <c r="G401" i="1"/>
  <c r="F401" i="1"/>
  <c r="E401" i="1"/>
  <c r="G397" i="1"/>
  <c r="F397" i="1"/>
  <c r="E397" i="1"/>
  <c r="G392" i="1"/>
  <c r="F392" i="1"/>
  <c r="E392" i="1"/>
  <c r="G389" i="1"/>
  <c r="F389" i="1"/>
  <c r="E389" i="1"/>
  <c r="G384" i="1"/>
  <c r="F384" i="1"/>
  <c r="E384" i="1"/>
  <c r="G375" i="1"/>
  <c r="G374" i="1" s="1"/>
  <c r="F375" i="1"/>
  <c r="F374" i="1" s="1"/>
  <c r="E375" i="1"/>
  <c r="E374" i="1" s="1"/>
  <c r="G372" i="1"/>
  <c r="G370" i="1" s="1"/>
  <c r="F372" i="1"/>
  <c r="F370" i="1" s="1"/>
  <c r="E372" i="1"/>
  <c r="E370" i="1" s="1"/>
  <c r="G367" i="1"/>
  <c r="F367" i="1"/>
  <c r="E367" i="1"/>
  <c r="G363" i="1"/>
  <c r="F363" i="1"/>
  <c r="E363" i="1"/>
  <c r="G356" i="1"/>
  <c r="F356" i="1"/>
  <c r="E356" i="1"/>
  <c r="G351" i="1"/>
  <c r="F351" i="1"/>
  <c r="E351" i="1"/>
  <c r="G348" i="1"/>
  <c r="G345" i="1" s="1"/>
  <c r="F348" i="1"/>
  <c r="F345" i="1" s="1"/>
  <c r="E348" i="1"/>
  <c r="E345" i="1" s="1"/>
  <c r="G340" i="1"/>
  <c r="F340" i="1"/>
  <c r="E340" i="1"/>
  <c r="G335" i="1"/>
  <c r="F335" i="1"/>
  <c r="E335" i="1"/>
  <c r="G332" i="1"/>
  <c r="F332" i="1"/>
  <c r="E332" i="1"/>
  <c r="G325" i="1"/>
  <c r="F325" i="1"/>
  <c r="E325" i="1"/>
  <c r="G322" i="1"/>
  <c r="F322" i="1"/>
  <c r="E322" i="1"/>
  <c r="G317" i="1"/>
  <c r="F317" i="1"/>
  <c r="E317" i="1"/>
  <c r="G313" i="1"/>
  <c r="G312" i="1" s="1"/>
  <c r="F313" i="1"/>
  <c r="F312" i="1" s="1"/>
  <c r="E313" i="1"/>
  <c r="E312" i="1" s="1"/>
  <c r="G308" i="1"/>
  <c r="G307" i="1" s="1"/>
  <c r="F308" i="1"/>
  <c r="F307" i="1" s="1"/>
  <c r="E308" i="1"/>
  <c r="E307" i="1" s="1"/>
  <c r="G304" i="1"/>
  <c r="F304" i="1"/>
  <c r="E304" i="1"/>
  <c r="G302" i="1"/>
  <c r="F302" i="1"/>
  <c r="E302" i="1"/>
  <c r="G296" i="1"/>
  <c r="G295" i="1" s="1"/>
  <c r="F296" i="1"/>
  <c r="F295" i="1" s="1"/>
  <c r="E296" i="1"/>
  <c r="E295" i="1" s="1"/>
  <c r="G290" i="1"/>
  <c r="F290" i="1"/>
  <c r="E290" i="1"/>
  <c r="G287" i="1"/>
  <c r="F287" i="1"/>
  <c r="E287" i="1"/>
  <c r="G282" i="1"/>
  <c r="F282" i="1"/>
  <c r="E282" i="1"/>
  <c r="G277" i="1"/>
  <c r="F277" i="1"/>
  <c r="E277" i="1"/>
  <c r="G274" i="1"/>
  <c r="F274" i="1"/>
  <c r="E274" i="1"/>
  <c r="G270" i="1"/>
  <c r="F270" i="1"/>
  <c r="E270" i="1"/>
  <c r="G267" i="1"/>
  <c r="F267" i="1"/>
  <c r="E267" i="1"/>
  <c r="G264" i="1"/>
  <c r="F264" i="1"/>
  <c r="E264" i="1"/>
  <c r="G261" i="1"/>
  <c r="F261" i="1"/>
  <c r="E261" i="1"/>
  <c r="G251" i="1"/>
  <c r="F251" i="1"/>
  <c r="E251" i="1"/>
  <c r="G244" i="1"/>
  <c r="F244" i="1"/>
  <c r="E244" i="1"/>
  <c r="G239" i="1"/>
  <c r="F239" i="1"/>
  <c r="E239" i="1"/>
  <c r="G233" i="1"/>
  <c r="F233" i="1"/>
  <c r="E233" i="1"/>
  <c r="G228" i="1"/>
  <c r="F228" i="1"/>
  <c r="E228" i="1"/>
  <c r="G222" i="1"/>
  <c r="F222" i="1"/>
  <c r="E222" i="1"/>
  <c r="G217" i="1"/>
  <c r="F217" i="1"/>
  <c r="F216" i="1" s="1"/>
  <c r="E217" i="1"/>
  <c r="G212" i="1"/>
  <c r="F212" i="1"/>
  <c r="E212" i="1"/>
  <c r="G209" i="1"/>
  <c r="G208" i="1" s="1"/>
  <c r="F209" i="1"/>
  <c r="F208" i="1" s="1"/>
  <c r="E209" i="1"/>
  <c r="G205" i="1"/>
  <c r="F205" i="1"/>
  <c r="E205" i="1"/>
  <c r="G201" i="1"/>
  <c r="F201" i="1"/>
  <c r="E201" i="1"/>
  <c r="G198" i="1"/>
  <c r="F198" i="1"/>
  <c r="E198" i="1"/>
  <c r="G195" i="1"/>
  <c r="F195" i="1"/>
  <c r="E195" i="1"/>
  <c r="G190" i="1"/>
  <c r="F190" i="1"/>
  <c r="E190" i="1"/>
  <c r="G184" i="1"/>
  <c r="G183" i="1" s="1"/>
  <c r="G182" i="1" s="1"/>
  <c r="F184" i="1"/>
  <c r="F183" i="1" s="1"/>
  <c r="F182" i="1" s="1"/>
  <c r="E184" i="1"/>
  <c r="E183" i="1" s="1"/>
  <c r="E182" i="1" s="1"/>
  <c r="G178" i="1"/>
  <c r="G177" i="1" s="1"/>
  <c r="F178" i="1"/>
  <c r="F177" i="1" s="1"/>
  <c r="E178" i="1"/>
  <c r="E177" i="1" s="1"/>
  <c r="G174" i="1"/>
  <c r="F174" i="1"/>
  <c r="E174" i="1"/>
  <c r="G171" i="1"/>
  <c r="F171" i="1"/>
  <c r="E171" i="1"/>
  <c r="G168" i="1"/>
  <c r="F168" i="1"/>
  <c r="E168" i="1"/>
  <c r="G165" i="1"/>
  <c r="F165" i="1"/>
  <c r="E165" i="1"/>
  <c r="G160" i="1"/>
  <c r="F160" i="1"/>
  <c r="E160" i="1"/>
  <c r="G157" i="1"/>
  <c r="F157" i="1"/>
  <c r="E157" i="1"/>
  <c r="G154" i="1"/>
  <c r="F154" i="1"/>
  <c r="E154" i="1"/>
  <c r="G149" i="1"/>
  <c r="F149" i="1"/>
  <c r="E149" i="1"/>
  <c r="G143" i="1"/>
  <c r="G142" i="1" s="1"/>
  <c r="F143" i="1"/>
  <c r="F142" i="1" s="1"/>
  <c r="E143" i="1"/>
  <c r="E142" i="1" s="1"/>
  <c r="G138" i="1"/>
  <c r="G137" i="1" s="1"/>
  <c r="F138" i="1"/>
  <c r="F137" i="1" s="1"/>
  <c r="E138" i="1"/>
  <c r="E137" i="1" s="1"/>
  <c r="G133" i="1"/>
  <c r="F133" i="1"/>
  <c r="E133" i="1"/>
  <c r="G128" i="1"/>
  <c r="F128" i="1"/>
  <c r="E128" i="1"/>
  <c r="G125" i="1"/>
  <c r="F125" i="1"/>
  <c r="E125" i="1"/>
  <c r="G121" i="1"/>
  <c r="F121" i="1"/>
  <c r="E121" i="1"/>
  <c r="G118" i="1"/>
  <c r="F118" i="1"/>
  <c r="E118" i="1"/>
  <c r="G115" i="1"/>
  <c r="F115" i="1"/>
  <c r="E115" i="1"/>
  <c r="E114" i="1" s="1"/>
  <c r="G110" i="1"/>
  <c r="G109" i="1" s="1"/>
  <c r="F110" i="1"/>
  <c r="F109" i="1" s="1"/>
  <c r="E110" i="1"/>
  <c r="E109" i="1" s="1"/>
  <c r="G106" i="1"/>
  <c r="F106" i="1"/>
  <c r="E106" i="1"/>
  <c r="G103" i="1"/>
  <c r="F103" i="1"/>
  <c r="E103" i="1"/>
  <c r="G100" i="1"/>
  <c r="F100" i="1"/>
  <c r="E100" i="1"/>
  <c r="G97" i="1"/>
  <c r="F97" i="1"/>
  <c r="E97" i="1"/>
  <c r="G92" i="1"/>
  <c r="F92" i="1"/>
  <c r="E92" i="1"/>
  <c r="G89" i="1"/>
  <c r="F89" i="1"/>
  <c r="E89" i="1"/>
  <c r="G85" i="1"/>
  <c r="F85" i="1"/>
  <c r="E85" i="1"/>
  <c r="G82" i="1"/>
  <c r="F82" i="1"/>
  <c r="E82" i="1"/>
  <c r="G71" i="1"/>
  <c r="G70" i="1" s="1"/>
  <c r="F71" i="1"/>
  <c r="F70" i="1" s="1"/>
  <c r="E71" i="1"/>
  <c r="E70" i="1" s="1"/>
  <c r="G58" i="1"/>
  <c r="F58" i="1"/>
  <c r="E58" i="1"/>
  <c r="G56" i="1"/>
  <c r="F56" i="1"/>
  <c r="E56" i="1"/>
  <c r="E52" i="1" s="1"/>
  <c r="G47" i="1"/>
  <c r="G46" i="1" s="1"/>
  <c r="G45" i="1" s="1"/>
  <c r="F47" i="1"/>
  <c r="F46" i="1" s="1"/>
  <c r="F45" i="1" s="1"/>
  <c r="E47" i="1"/>
  <c r="E46" i="1" s="1"/>
  <c r="E45" i="1" s="1"/>
  <c r="G43" i="1"/>
  <c r="F43" i="1"/>
  <c r="E43" i="1"/>
  <c r="G41" i="1"/>
  <c r="F41" i="1"/>
  <c r="E41" i="1"/>
  <c r="G36" i="1"/>
  <c r="G35" i="1" s="1"/>
  <c r="F36" i="1"/>
  <c r="F35" i="1" s="1"/>
  <c r="E36" i="1"/>
  <c r="E35" i="1" s="1"/>
  <c r="G30" i="1"/>
  <c r="G29" i="1" s="1"/>
  <c r="G28" i="1" s="1"/>
  <c r="F30" i="1"/>
  <c r="F29" i="1" s="1"/>
  <c r="F28" i="1" s="1"/>
  <c r="E30" i="1"/>
  <c r="E29" i="1" s="1"/>
  <c r="E28" i="1" s="1"/>
  <c r="G25" i="1"/>
  <c r="F25" i="1"/>
  <c r="E25" i="1"/>
  <c r="G21" i="1"/>
  <c r="F21" i="1"/>
  <c r="E21" i="1"/>
  <c r="E19" i="1"/>
  <c r="G723" i="1" l="1"/>
  <c r="G216" i="1"/>
  <c r="G331" i="1"/>
  <c r="E606" i="1"/>
  <c r="E605" i="1" s="1"/>
  <c r="G301" i="1"/>
  <c r="G300" i="1" s="1"/>
  <c r="G395" i="1"/>
  <c r="F723" i="1"/>
  <c r="G316" i="1"/>
  <c r="G778" i="1"/>
  <c r="G818" i="1"/>
  <c r="G813" i="1" s="1"/>
  <c r="E395" i="1"/>
  <c r="E778" i="1"/>
  <c r="F40" i="1"/>
  <c r="E189" i="1"/>
  <c r="E197" i="1"/>
  <c r="G763" i="1"/>
  <c r="F778" i="1"/>
  <c r="G583" i="1"/>
  <c r="G627" i="1"/>
  <c r="G635" i="1"/>
  <c r="E718" i="1"/>
  <c r="E829" i="1"/>
  <c r="E828" i="1" s="1"/>
  <c r="F818" i="1"/>
  <c r="F813" i="1" s="1"/>
  <c r="F189" i="1"/>
  <c r="F197" i="1"/>
  <c r="F188" i="1" s="1"/>
  <c r="F395" i="1"/>
  <c r="G441" i="1"/>
  <c r="G440" i="1" s="1"/>
  <c r="E500" i="1"/>
  <c r="E496" i="1" s="1"/>
  <c r="E564" i="1"/>
  <c r="F718" i="1"/>
  <c r="G339" i="1"/>
  <c r="G338" i="1" s="1"/>
  <c r="G189" i="1"/>
  <c r="G197" i="1"/>
  <c r="G188" i="1" s="1"/>
  <c r="E383" i="1"/>
  <c r="G718" i="1"/>
  <c r="D862" i="1"/>
  <c r="E813" i="1"/>
  <c r="F96" i="1"/>
  <c r="F95" i="1" s="1"/>
  <c r="F316" i="1"/>
  <c r="E627" i="1"/>
  <c r="E635" i="1"/>
  <c r="E763" i="1"/>
  <c r="F829" i="1"/>
  <c r="E862" i="1"/>
  <c r="G40" i="1"/>
  <c r="G16" i="1" s="1"/>
  <c r="G81" i="1"/>
  <c r="G80" i="1" s="1"/>
  <c r="G96" i="1"/>
  <c r="G95" i="1" s="1"/>
  <c r="G124" i="1"/>
  <c r="F164" i="1"/>
  <c r="E216" i="1"/>
  <c r="G410" i="1"/>
  <c r="F426" i="1"/>
  <c r="F419" i="1" s="1"/>
  <c r="F583" i="1"/>
  <c r="F627" i="1"/>
  <c r="F763" i="1"/>
  <c r="G829" i="1"/>
  <c r="G828" i="1" s="1"/>
  <c r="E818" i="1"/>
  <c r="F18" i="1"/>
  <c r="F17" i="1" s="1"/>
  <c r="F114" i="1"/>
  <c r="E148" i="1"/>
  <c r="G18" i="1"/>
  <c r="G17" i="1" s="1"/>
  <c r="G114" i="1"/>
  <c r="F148" i="1"/>
  <c r="E164" i="1"/>
  <c r="F260" i="1"/>
  <c r="F259" i="1" s="1"/>
  <c r="F383" i="1"/>
  <c r="F382" i="1" s="1"/>
  <c r="E40" i="1"/>
  <c r="E81" i="1"/>
  <c r="E80" i="1" s="1"/>
  <c r="G148" i="1"/>
  <c r="E301" i="1"/>
  <c r="E300" i="1" s="1"/>
  <c r="E331" i="1"/>
  <c r="E339" i="1"/>
  <c r="E338" i="1" s="1"/>
  <c r="E355" i="1"/>
  <c r="E354" i="1" s="1"/>
  <c r="G383" i="1"/>
  <c r="G382" i="1" s="1"/>
  <c r="E483" i="1"/>
  <c r="E482" i="1" s="1"/>
  <c r="F564" i="1"/>
  <c r="F606" i="1"/>
  <c r="F605" i="1" s="1"/>
  <c r="E723" i="1"/>
  <c r="F81" i="1"/>
  <c r="F80" i="1" s="1"/>
  <c r="E96" i="1"/>
  <c r="E95" i="1" s="1"/>
  <c r="E124" i="1"/>
  <c r="G164" i="1"/>
  <c r="E208" i="1"/>
  <c r="F301" i="1"/>
  <c r="F300" i="1" s="1"/>
  <c r="F331" i="1"/>
  <c r="F339" i="1"/>
  <c r="F338" i="1" s="1"/>
  <c r="E410" i="1"/>
  <c r="E407" i="1" s="1"/>
  <c r="G564" i="1"/>
  <c r="G563" i="1" s="1"/>
  <c r="G606" i="1"/>
  <c r="G605" i="1" s="1"/>
  <c r="E802" i="1"/>
  <c r="F410" i="1"/>
  <c r="F407" i="1" s="1"/>
  <c r="G426" i="1"/>
  <c r="G419" i="1" s="1"/>
  <c r="E441" i="1"/>
  <c r="E440" i="1" s="1"/>
  <c r="F802" i="1"/>
  <c r="F762" i="1" s="1"/>
  <c r="E583" i="1"/>
  <c r="G802" i="1"/>
  <c r="F635" i="1"/>
  <c r="E546" i="1"/>
  <c r="E545" i="1" s="1"/>
  <c r="F500" i="1"/>
  <c r="F496" i="1" s="1"/>
  <c r="F546" i="1"/>
  <c r="F545" i="1" s="1"/>
  <c r="G500" i="1"/>
  <c r="G496" i="1" s="1"/>
  <c r="G546" i="1"/>
  <c r="G545" i="1" s="1"/>
  <c r="F124" i="1"/>
  <c r="F441" i="1"/>
  <c r="F440" i="1" s="1"/>
  <c r="E426" i="1"/>
  <c r="E419" i="1" s="1"/>
  <c r="G407" i="1"/>
  <c r="G736" i="1"/>
  <c r="F736" i="1"/>
  <c r="F828" i="1"/>
  <c r="G742" i="1"/>
  <c r="G626" i="1"/>
  <c r="E742" i="1"/>
  <c r="F742" i="1"/>
  <c r="F355" i="1"/>
  <c r="F354" i="1" s="1"/>
  <c r="G355" i="1"/>
  <c r="G354" i="1" s="1"/>
  <c r="G311" i="1"/>
  <c r="E736" i="1"/>
  <c r="E316" i="1"/>
  <c r="E260" i="1"/>
  <c r="E259" i="1" s="1"/>
  <c r="G260" i="1"/>
  <c r="G259" i="1" s="1"/>
  <c r="E51" i="1"/>
  <c r="F52" i="1"/>
  <c r="F51" i="1" s="1"/>
  <c r="G52" i="1"/>
  <c r="G51" i="1" s="1"/>
  <c r="F16" i="1"/>
  <c r="E18" i="1"/>
  <c r="E17" i="1" s="1"/>
  <c r="E16" i="1" s="1"/>
  <c r="F113" i="1" l="1"/>
  <c r="F112" i="1" s="1"/>
  <c r="E563" i="1"/>
  <c r="G762" i="1"/>
  <c r="E382" i="1"/>
  <c r="E188" i="1"/>
  <c r="G544" i="1"/>
  <c r="F311" i="1"/>
  <c r="F299" i="1" s="1"/>
  <c r="E762" i="1"/>
  <c r="F626" i="1"/>
  <c r="F625" i="1" s="1"/>
  <c r="E311" i="1"/>
  <c r="E113" i="1"/>
  <c r="E112" i="1" s="1"/>
  <c r="E626" i="1"/>
  <c r="E625" i="1" s="1"/>
  <c r="G761" i="1"/>
  <c r="G418" i="1"/>
  <c r="E544" i="1"/>
  <c r="F563" i="1"/>
  <c r="F544" i="1" s="1"/>
  <c r="G113" i="1"/>
  <c r="G112" i="1" s="1"/>
  <c r="F761" i="1"/>
  <c r="E761" i="1"/>
  <c r="G50" i="1"/>
  <c r="G353" i="1"/>
  <c r="G625" i="1"/>
  <c r="F418" i="1"/>
  <c r="E418" i="1"/>
  <c r="E353" i="1"/>
  <c r="F353" i="1"/>
  <c r="F187" i="1"/>
  <c r="G299" i="1"/>
  <c r="E299" i="1"/>
  <c r="E187" i="1"/>
  <c r="G187" i="1"/>
  <c r="F50" i="1"/>
  <c r="E50" i="1"/>
</calcChain>
</file>

<file path=xl/sharedStrings.xml><?xml version="1.0" encoding="utf-8"?>
<sst xmlns="http://schemas.openxmlformats.org/spreadsheetml/2006/main" count="4390" uniqueCount="1823">
  <si>
    <t>Kodas</t>
  </si>
  <si>
    <t>Pavadinimas</t>
  </si>
  <si>
    <t>2020 metų patvirtinti asignavimai Nr. T-1 (2020-02-06)</t>
  </si>
  <si>
    <t>2020 metų patikslinti asignavimai Nr. T-459 (2020-12-22)</t>
  </si>
  <si>
    <t>2020 metų kasinės išlaidos (I-IV ketvirtis)</t>
  </si>
  <si>
    <t>Mato vnt.</t>
  </si>
  <si>
    <t>2021</t>
  </si>
  <si>
    <t>2022</t>
  </si>
  <si>
    <t>2023</t>
  </si>
  <si>
    <t>Planas</t>
  </si>
  <si>
    <t>Faktas</t>
  </si>
  <si>
    <t>01.</t>
  </si>
  <si>
    <t>Miesto urbanistinės plėtros programa</t>
  </si>
  <si>
    <t>Architektūros, urbanistikos ir paveldosaugos skyrius</t>
  </si>
  <si>
    <t>01.01.</t>
  </si>
  <si>
    <t>Užtikrinti kompleksišką miesto planavimą ir žemės sklypų formavimą</t>
  </si>
  <si>
    <t>01.01.01.</t>
  </si>
  <si>
    <t>Rengti teritorijų planavimo dokumentus, padedančius užtikrinti darniąją miesto plėtrą</t>
  </si>
  <si>
    <t>01.01.01.01</t>
  </si>
  <si>
    <t>Koreguoti Šiaulių miesto savivaldybės teritorijos bendrąjį planą</t>
  </si>
  <si>
    <t>Parengta bendrojo plano stebėsenos įvadas</t>
  </si>
  <si>
    <t>vnt.</t>
  </si>
  <si>
    <t>1,00</t>
  </si>
  <si>
    <t>0,00</t>
  </si>
  <si>
    <t>2020 m.: Nuspręsta neberengti Bendrojo plano stebėsenos įvado.</t>
  </si>
  <si>
    <t>1.01.</t>
  </si>
  <si>
    <t>01.01.01.02</t>
  </si>
  <si>
    <t>Organizuoti detaliųjų ir specialiųjų planų parengimą</t>
  </si>
  <si>
    <t>Parengtas Teritorijos tarp Gegužių, Architektų, Gardino ir Aido gatvių Šiauliuose detalusis planas</t>
  </si>
  <si>
    <t>2020 m. balandžio 24 d. Nr. SŽ-528 pasirašytas papildomas susitarimas ir pratęsta 2019 m. birželio 21 d. sutartis Nr. SŽ-711</t>
  </si>
  <si>
    <t>1.10.</t>
  </si>
  <si>
    <t>Parengtas Žemės sklypo Vaidoto g. 33, Šiauliuose, detaliojo plano koregavimas</t>
  </si>
  <si>
    <t>Parengtas Teritorijos tarp K. Korsako, Gytarių ir Gegužių gatvių, Šiauliuose, detalusis planas</t>
  </si>
  <si>
    <t>2020 m. vasario 2 d. pasirašyta sutartis Nr. SŽ-79</t>
  </si>
  <si>
    <t>3,00</t>
  </si>
  <si>
    <t>01.01.01.03</t>
  </si>
  <si>
    <t>Įgyvendinti  žemės paėmimo visuomenės poreikiams procedūrą</t>
  </si>
  <si>
    <t>Įgyvendinta žemės paėmimo visuomenės poreikiams procedūra, paimtas žemės sklypas visuomenės poreikiams</t>
  </si>
  <si>
    <t>01.01.01.04</t>
  </si>
  <si>
    <t>Rengti žemėtvarkos planavimo dokumentus, žemės sklypų kadastrinius matavimus</t>
  </si>
  <si>
    <t>Parengta kadastrinių matavimų bylų, žemės sklypų pertvarkymo projektų</t>
  </si>
  <si>
    <t>170,00</t>
  </si>
  <si>
    <t>100,00</t>
  </si>
  <si>
    <t>80,00</t>
  </si>
  <si>
    <t>Parengta kadastrinių matavimų bylų 153, iš jų 114 gatvių sklypai. Parengta 17 Žemės sklypų formavimo ir pertvarkymo projektų. Atlikti veiksmai Registrų centre (žemės sklypų, servitutų įregistravimas, kadastro duomenų keitimas ir kt).</t>
  </si>
  <si>
    <t>01.02.</t>
  </si>
  <si>
    <t>Tobulinti miesto teigiamo architektūrinio ir vizualinio įvaizdžio kokybę</t>
  </si>
  <si>
    <t>01.02.01.</t>
  </si>
  <si>
    <t>Pagerinti miesto teigiamo architektūrinio ir vizualinio įvaizdžio kokybę</t>
  </si>
  <si>
    <t>01.02.01.01</t>
  </si>
  <si>
    <t>Formuoti miesto teigiamą architektūrinį ir vizualųjį įvaizdį</t>
  </si>
  <si>
    <t>Parengtų, įgyvendintų projektinių pasiūlymų, idėjos konkursų</t>
  </si>
  <si>
    <t>2,00</t>
  </si>
  <si>
    <t>Parengtas ir įgyvendintas Pročiūnų žudynių vietos įamžinimo ir prieigų sutvarkymo projektas</t>
  </si>
  <si>
    <t>Parengtas ir įgyvendintas Pročiūnų žudynių vietos įamžinimo ir prieigų sutvarkymo projektas.</t>
  </si>
  <si>
    <t>Parengtas paminklo "Tautos laisvė" idėjos konkursas</t>
  </si>
  <si>
    <t>2020 m. liepos 17 Nr. SŽ-868 pasirašyta Projekto "Paminklo Tautos Laisvei Šiaulių miesto Prisikėlimo aikštėje sukūrimas" konkurso adminstravimo paslaugų teikimo sutartis. Sutarties įvykdymo terminas numatytas 8 mėn.</t>
  </si>
  <si>
    <t>Parengtas Pasaulio Teisuolių įamžinimo Pasaulio Teisuolių skvere techninis projektas</t>
  </si>
  <si>
    <t>Įvykęs konkursas, sumokėtos premijos už Pasaulio teisuolių įamžinimo Pasaulio teisuolių skvere Ežero g. idėjas. Parengtas techninins projektas.Ežero g. idėjas.</t>
  </si>
  <si>
    <t>01.02.01.03</t>
  </si>
  <si>
    <t>Organizuoti architektūriniu, urbanistiniu, valstybiniu ar viešojo intereso požiūriu reikšmingų objektų planavimo ar projektavimo architektūrinius konkursus</t>
  </si>
  <si>
    <t>Suorganizuota architektūrinių konkursų</t>
  </si>
  <si>
    <t>Parengta Dainų parko vaikų žaidimo aikštelės ir pėsčiųjų bei dviračių takų projektiniai architektūriniai pasiūlymai</t>
  </si>
  <si>
    <t>01.03.</t>
  </si>
  <si>
    <t>Išsaugoti nekilnojamąjį kultūros paveldą</t>
  </si>
  <si>
    <t>01.03.01.</t>
  </si>
  <si>
    <t>Organizuoti kultūros paveldo apsaugą</t>
  </si>
  <si>
    <t>01.03.01.03</t>
  </si>
  <si>
    <t>Vykdyti nekilnojamojo kultūros paveldo pažinimo sklaidą ir atgaivinimą</t>
  </si>
  <si>
    <t>Įgyvendinta nekilnojamojo kultūros paveldo pažinimo sklaidos ir atgaivinimo priemonių</t>
  </si>
  <si>
    <t>Suorganizuoti Europos paveldo dienų'20 Šiauliuose (tema - "Kultūros paveldas ir edukacija") renginiai  (7 vnt.)</t>
  </si>
  <si>
    <t>01.03.01.04</t>
  </si>
  <si>
    <t>Plėtoti kultūros paveldo apskaitą</t>
  </si>
  <si>
    <t>Įgyvendinta kultūros paveldo apskaitos priemonių</t>
  </si>
  <si>
    <t>Pagal 2020 m. spalio 23 d. sutartį Nr. SŽ-1324 atlikta Palaikų laidojimo vietos pažymėjimo proejekto parengimo žemės sklype (adresas: Tilžės g., Šiauliai; Nekilnojamojo turto registro unikalus Nr. 4400-2628-3707) paslauga.</t>
  </si>
  <si>
    <t>01.04.</t>
  </si>
  <si>
    <t>Tobulinti ir plėsti miesto geoinformacinę sistemą (GIS)</t>
  </si>
  <si>
    <t>01.04.01.</t>
  </si>
  <si>
    <t>Kokybiškai administruoti Šiaulių m. GIS duomenų bazę</t>
  </si>
  <si>
    <t>01.04.01.01</t>
  </si>
  <si>
    <t>Organizuoti miesto geografinės informacinės sistemos (GIS) priežiūrą, programinės įrangos atnaujinimą ir techninę priežiūrą</t>
  </si>
  <si>
    <t>Atnaujinta duomenų bazės programinės įrangos</t>
  </si>
  <si>
    <t>5,00</t>
  </si>
  <si>
    <t>Atlikti duomenų bazės programinės įrangos atnaujinimai: 1) GIS GeoMap atnaujinimas į naujausią GIS GeoMap 2020 kartu su AutoCad Map 3D 1 metų prenumeratos pratęsimu; 2) GeoMap standartinės licencijos keitimas į tinklinę licenciją; 3) Programinės įrangos "GeoMap 2020" atnaujinimas į "GeoMap 2021";  4) Programinės įrangos "Akis Pro" įmonės tinklinės licencijos atnaujinimas su metiniu programinės įrangos techniniu palaikymu. 5) Projektavimo, programavimo darbai NTR duomenų teikimui pagal Savivaldybės užsakymą.</t>
  </si>
  <si>
    <t>01.04.02.</t>
  </si>
  <si>
    <t>Atnaujinti vietinius geodezinius tinklus</t>
  </si>
  <si>
    <t>01.04.02.01</t>
  </si>
  <si>
    <t>Vykdyti Šiaulių miesto savivaldybės geodezijos ir kartografijos darbus</t>
  </si>
  <si>
    <t>Parengta topografinių planų</t>
  </si>
  <si>
    <t>10,00</t>
  </si>
  <si>
    <t>6,00</t>
  </si>
  <si>
    <t>Darbai atliekami pagal poreikį. Parengti 6 topografiniai planai. Pagal pereikį atlikta gatvėse esančių šulinių detalizacija.</t>
  </si>
  <si>
    <t>01.05.</t>
  </si>
  <si>
    <t>Įgyvendinti techninės dokumentacijos parengimo darbus</t>
  </si>
  <si>
    <t>01.05.01.</t>
  </si>
  <si>
    <t>Rengti Savivaldybės numatomų statyti ar rekonstruoti objektų  ir susisiekimo infrastruktūros objektų  techninius projektus</t>
  </si>
  <si>
    <t>01.05.01.01</t>
  </si>
  <si>
    <t>Organizuoti projektinių darbų finansavimą</t>
  </si>
  <si>
    <t>Statybos ir renovacijos skyriaus parengtų techninių projektų</t>
  </si>
  <si>
    <t>11,00</t>
  </si>
  <si>
    <t>Parengta 11 projektų:  1) Lopšelio darželio „Kregždutė‘ modernizavimo (P. Cvirkos g. 60, Šiauliai) ir vidaus patalpų atnaujinimo techninis projektas; 2) Dalies daugiabučio gyvenamojo namo Aušros al. 29 Šiauliuose kapitalinio remonto projektas  3) Civilinės metrikacijos skyriaus pastato techninis projektas;  4) Šiaulių miesto kultūros centro "Laiptų galerija" senojo pastato Žemaitės g. 83, Šiauliuose, renomto projekto parengimas; 5) Pastato Tiesos g. 3 techninis projektas. 6) Šiaulių miesto savivaldybės socialinių paslaugų centro Paramos tarnybos pastato (Stoties g. 9C, Šiauliai) techninis projektas.   7) Šiaulių m. sav. Globos namai Energetikų 20A projektas. 8) Mokslo paskirties pastato (l/d Drugelis) Vilniaus g. 123A Šiauliai, paprastojo remonto projektas. 9) Mokslo paskirties pastato (l/d "Žibutė") Ežero g. 6A Šiauliai, paprastojo remonto projektas 10)„Delfinas“ (Ežero g. 11A) pastato paprastojo remonto projektas 11) Vaikų muzikos mokyklos Trakų g. 39, Šiauliuose, vėdinimo ir šildymo sistemų pertvarkymo projektas.</t>
  </si>
  <si>
    <t>Architektūros, urbanistikos ir paveldosaugos skyriaus parengtų techninių projektų</t>
  </si>
  <si>
    <t>Parengtas 1 projektas: Dainų parko II-IV etapo techninio projekto geologiniai tyrinėjimai ir Dainų parko pėsčiųjų ir dviračių tako supaprastints statybos (II-IV etapo) techninis projektas, bei atlikta projekto bendroji ekspertizė.</t>
  </si>
  <si>
    <t>Miesto ūkio ir aplinkos skyriaus parengtų techninių projektų</t>
  </si>
  <si>
    <t>15,00</t>
  </si>
  <si>
    <t>02.</t>
  </si>
  <si>
    <t>Kultūros plėtros programa</t>
  </si>
  <si>
    <t>Kultūros skyrius</t>
  </si>
  <si>
    <t>02.01.</t>
  </si>
  <si>
    <t>Skatinti kultūros prieinamumą įvairioms visuomenės grupėms ir jų dalyvavimą kultūroje puoselėjant kultūros tradicijas bei kultūrinės raiškos įvairovę</t>
  </si>
  <si>
    <t>02.01.01.</t>
  </si>
  <si>
    <t>Užtikrinti miesto kultūrinio gyvenimo gyvybingumą, ugdyti ir skatinti miesto gyventojų ir jaunimo pilietinį aktyvumą bei tautinį sąmoningumą</t>
  </si>
  <si>
    <t>02.01.01.01</t>
  </si>
  <si>
    <t>Skatinti Šiaulių miesto kultūros ir meno įvairovę, sklaidą, prieinamumą</t>
  </si>
  <si>
    <t>Finansuotų kultūros projektų</t>
  </si>
  <si>
    <t>34,00</t>
  </si>
  <si>
    <t>24,00</t>
  </si>
  <si>
    <t>Šiaulių miesto savivaldybės Kultūros ekspertų komisijos posėdyje dėl kultūros projektų finansavimo buvo svarstytos konkursui pateiktos 53 kultūros projektų paraiškos. Finansavimą rekomenduota skirti 34-iems kultūros projektams, kuriems įgyvendinti 2020 m. planuota 57,1 tūkst. Eur. Įgyvendinti 24 kultūros projektai, kurių  finansavimui panaudota 42,3 tūkst. Eur.</t>
  </si>
  <si>
    <t>02.01.01.02</t>
  </si>
  <si>
    <t>Skatinti meno kūrėjus</t>
  </si>
  <si>
    <t>Įteiktų premijų ir stipendijų</t>
  </si>
  <si>
    <t>02.01.01.09</t>
  </si>
  <si>
    <t>Skatinti jaunimo iniciatyvas</t>
  </si>
  <si>
    <t>Vyriausiasis specialistas (jaunimo reikalų koordinatorius)</t>
  </si>
  <si>
    <t>02.01.01.10</t>
  </si>
  <si>
    <t>Užtikrinti reprezentacinių Šiaulių miesto festivalių tęstinumą, jų ilgalaikiškumą, dalinį finansavimą, skatinti naujų idėjų, raiškos formų atsiradimą ir raidą</t>
  </si>
  <si>
    <t>Finansuotų festivalių</t>
  </si>
  <si>
    <t>7,00</t>
  </si>
  <si>
    <t>8,00</t>
  </si>
  <si>
    <t>9,00</t>
  </si>
  <si>
    <t>Sukurtų filmų, organizuotų kūrybinių dirbtuvių, soc.reklamos akcijos plakatų</t>
  </si>
  <si>
    <t>2020 m. buvo įgyvendintos reprezentacinės priemonės „Vizualinės medžiagos miesto reprezentaciniams renginiams pristatyti sukūrimas“, kuriai skirta 28 tūkst. Eur, rezultatas: 1. nufotografuoti reprezentaciniai 2020 m. 4 renginiai (po 20 vnt. fotografijų), nufotografuoti reprezentaciniai 2020 m. renginiai (po 10 vnt, fotografijų dronu), surengta fotografijų paroda; 2. nufilmuoti 2020 m. 4 renginiai ir 3 anonsiniai TV videoklipai „Šiauliai šviečia“ iš 2019 m. reprezentacinių renginių, transliuoti 3 vaizdo klipai („Šiauliai šviečia. Vasara“, „Šiauliai šviečia. Ruduo“, „Šiauliai šviečia. „Žiema“) per Lietuvos nacionalinę televiziją 81 dieną nuo 2020 m. liepos mėn. iki 2020 m. gruodžio mėn. 3. organizuotos kūrybinės dirbtuvės-mokymai „Projektas. Praktiniai engimo aspektai“ (8 val.). Etninės kultūros globos tarybos siūlymu Lietuvos Respublikos Seimas 2020-uosius metus buvo paskelbęs Tautodailės metais.  Šia proga Kultūros skyrius inicijavo ir kuravo socialinės reklamos akciją „Kūryba yra džiaugsmas“, skirtą pagerbti Šiaulių regiono tautodailininkus. Akcijos idėja – skatinti žmonių kūrybinę veiklą, kviesti dalyvauti kūrybinėse organizacijose, atkreipti dėmesį į Šiaulių regiono tautodailininkų veiklą. Buvo sukurta didelio formato 6 plakatų kolekcija, kuriuose talpinami Šiaulių apskrities tautodailininkų darbai, atspindintys įvairias kūrybos kryptis. Akcijos pradžia buvo suderinta su rugsėjo antrąją savaitę  Šiaulių dailės galerijoje atidaryta tautodailės paroda „Aukso vainikas“, kurioje buvo galima išvysti plakatuose vaizduojamų darbų originalus. Buvo eksponuojami šių autorių tautodailės darbai: 1. Mezgimas. Janinos Abromavičienės darbas „Kiškis“; 2. Keramika. Vidmanto Vertelio darbas „Puodynė ir dubenėliai“ ir Virginijaus Podgurskio darbas „Zuikis“; 3. Žaislai. Astos Liaudanskienės darbas „Pavasaris“; 4. Tapyba. Veronikos Bieliauskienės darbas „Lietuvaitė“; 5. Akmens skulptūra. Valdo Bandzos darbas „Kanklininkas“; 5.  Medžio skulptūra. Vlado Sutkaus darbas „Altorėlis“.</t>
  </si>
  <si>
    <t>02.01.01.11</t>
  </si>
  <si>
    <t>Koordinuoti valstybinių švenčių, atmintinų datų paminėjimą, svarbių renginių, plenerų organizavimą, puoselėti tautines tradicijas</t>
  </si>
  <si>
    <t>Surengtų valstybinių švenčių renginių</t>
  </si>
  <si>
    <t>14,00</t>
  </si>
  <si>
    <t>2020 m. suorganizuotos šios valstybinės šventės ir atmintinos dienos, kalendorinės šventės: Sausio 13-oji, Laisvės gynėjų diena, Vasario 16-oji, Lietuvos valstybės atkūrimo diena, Užgavėnės, Kovo 11-oji, Lietuvos Nepriklausomybės atkūrimo diena, Tarptautinė vaikų gynimo diena ir jos renginys „Aš - mažasis šiaulietis“, Birželio 14-oji, Gedulo ir vilties diena, Joninės (virtualus projektas - 8 video komiksai „Kaip Jonas Joninių laukė“, iniciatyva „Paparčio žiedo ieškynės Šiauliuose“ Lieporių parke), Liepos 6-oji, Valstybės (Lietuvos Karaliaus Mindaugo karūnavimo) diena,  Rugpjūčio 23-oji, Baltijos kelio diena ir Laisvės diena. Suorganizuota  miesto šventė „Šiaulių dienos 2020“, kurios metu įvyko 53 renginiai, buvo eksponuojama 10 parodų. Kalėdiniu laikotarpiu skvere prie Šiaulių miesto savivaldybės  įgyvendinta meninė iniciatyva - šviečiančių tūrinių dekoracijų forma po atviru dangumi buvo eksponuojamos dailininko Giotto di Bondone sukurtos freskos, vaizduojančios Šv. Pranciškaus Asyžiečio gyvenimo scenas. Suorganizuota laikinoji meninė ekspozicija Prisikėlimo aikštės apžvalgos pastate.</t>
  </si>
  <si>
    <t>Parengtų koncertų ciklų</t>
  </si>
  <si>
    <t>Šiaulių miesto koncertinė įstaiga „Saulė“ parengė koncertų ciklą „Saulės vasaros koncertai“. Buvo organizuota 12, dėl oro sąlygų įvyko 11 koncertų Vilniaus g. pėsčiųjų bulvare, Saulės Laikrodžio aikštėje ir kitose miesto viešosiose erdvėse.</t>
  </si>
  <si>
    <t>Surengtų spektaklių</t>
  </si>
  <si>
    <t>Šiaulių kultūros centro atidarymo proga 2020 m. liepos 31 d. parodytas teatralizuotas istorinis pasakojimas „Be (kultūros) namų negerai“. Jame pristatyta Šiaulių kultūros cento istorija, kaip įstaiga gimė ir augo. Pastatytas Šiaulių kultūros centro choreografijos studijos „Aušrelė“ spektaklis „Svečiuose pas pasaką“. Minint Liepos 6-ąją, Valstybės (Lietuvos Karaliaus Mindaugo karūnavimo) dieną, Prisikėlimo aikštėje buvo parodytas Vilniaus akademinio dramos teatro spektaklio įrašas iš LRT archyvų pagal Justino Marcinkevičiaus istorinę dramą „Mindaugas“ (rež. Henrikas Vancevičius), 1990 m., trukmė 141 min.</t>
  </si>
  <si>
    <t>Suorganizuotų edukacinių renginių</t>
  </si>
  <si>
    <t>Valstybinių švenčių ir atmintinų datų minėjimų metu, miesto šventės „Šiaulių dienos 2020“ metu įvyko 9 edukaciniai renginiai, kuriuos suorganizavo Šiaulių dailės galerija, Šiaulių kultūros centras, Šiaulių miesto kultūros centras „Laiptų galerija“, Šiaulių miesto savivaldybės viešoji biblioteka.</t>
  </si>
  <si>
    <t>Suorganizuotų projektų</t>
  </si>
  <si>
    <t>2020 m.: Dėl Covid-19 pandemijos ir įvesto karantino nepavyko įgyvendinti muzikinio spektaklio „Gimiau pačiu laiku“, skirto Kovo 11-osios 30-mečiui. Planuota, kad jame vaidins Valstybinio Šiaulių dramos teatro aktoriai, dalyvaus Šiaulių kultūros centro mėgėjų meno kolektyvai: teatro studija „Gūžta“, choreografijos studija „Aušrelė“, jaunimo kamerinis choras „Atžalynas“ , Šiaulių universiteto gimnazijos mišrus choras „Poco“, Šiaulių kamerinis orkestras, Šiaulių bigbendas, grupės „BIX“, „Vairas“, „Colours of Bubbles“, „Kitava“, „Kieno mishke kankorezhiai“, Laura Remeikienė, ansamblis „Jonis“.
Renginys planuotas 2020 m. kovo 11 d. Šiaulių arenoje.</t>
  </si>
  <si>
    <t>Išleistų turizmo leidinių</t>
  </si>
  <si>
    <t>2020 m. parengti ir išleisti 2 nauji  Šiaulių miesto turistinius išteklius ir galimybes pristatantys leidiniai: Šiaulių žydų paveldą, kultūrą pristatantis turistinis leidinys LT ir EN kalbomis (1000 vnt.), parengta elektroninė leidinio versija; Šiaulių krašto turizmo išteklius pristatantis leidinys „Saulės žemės turtai“ LT, EN ir LV kalbomis (14 500 vnt.), parengta elektroninė leidinio versija. Papildomai išleisti tiražai: Turistinis Šiaulių miesto žemėlapis LT, LV, EN ir RU kalbomis (10 000 vnt.);  „Šiaulių miesto turizmo gido“ (pirminė versija)  LT kalba (600 vnt.); atnaujintas „Šiaulių turizmo gidas“ ir išleistas papildomas tiražas LT, EN,  LV ir RU kalbomis (10 000 vnt.).</t>
  </si>
  <si>
    <t>Surengtų parodų</t>
  </si>
  <si>
    <t>43,00</t>
  </si>
  <si>
    <t>55,00</t>
  </si>
  <si>
    <t>57,00</t>
  </si>
  <si>
    <t>2020 m. į valstybinių švenčių ir atmintinų dienų minėjimo renginių programas, miesto šventės „Šiaulių dienos 2020“ programą buvo įtrauktos 43 Šiaulių dailės galerijos, Šiaulių miesto kultūros centro „Laiptų galerija“, Šiaulių kultūros centro ir Šiaulių miesto savivaldybės viešosios bibliotekos organizuotos vaizduojamojo meno, fotografijos, literatūrinės, leidinių, tautodailės, keramikos ir kt. parodos.</t>
  </si>
  <si>
    <t>Parengtų koncertų</t>
  </si>
  <si>
    <t>18,00</t>
  </si>
  <si>
    <t>19,00</t>
  </si>
  <si>
    <t>20,00</t>
  </si>
  <si>
    <t>22,00</t>
  </si>
  <si>
    <t>2020 m. valstybinių švenčių ir atmintinų dienų minėjimo renginių metu, miesto šventės „Šiaulių dienos 2020“ metu įvyko 19 koncertų, kuriuos surengė Šiaulių miesto koncertinė įstaiga „Saulė“, Šiaulių miesto kultūros centras „Laiptų galerija“ ir Šiaulių kultūros centras.</t>
  </si>
  <si>
    <t>Suorganizuotų edukacinių renginių ciklų</t>
  </si>
  <si>
    <t>Suorganizuoti šie edukacinių renginių ciklai: Šiaulių dailės galerijos edukacinė programa jaunimui „Menopolis“, Šiaulių kultūros centro edukacinių užsiėmimų programa „Amatų marginys“, Šiaulių miesto savivaldybės viešosios bibliotekos edukacinių  renginių ciklas „Sužinok ir išmok“.</t>
  </si>
  <si>
    <t>Parengtų koncertinių programų</t>
  </si>
  <si>
    <t>4,00</t>
  </si>
  <si>
    <t>Parengtos Sausio 13-osios, Laisvės gynėjų dienos, Vasario 16-osios, Lietuvos valstybės atkūrimo dienos,  Liepos 6-osios, Valstybės (Lietuvos Karaliaus Mindaugo karūnavimo) dienos, Birželio 14-osios, Gedulo ir vilties dienos koncertinės programos.</t>
  </si>
  <si>
    <t>Viešinimo, reklamos ir rinkodaros paslaugų sk.</t>
  </si>
  <si>
    <t>2020 m. Šiaulių turizmo informacijos centras parengė Šiaulių miesto įvaizdžio rinkodaros strategijos gaires, jos buvo pristatytos viešai IV Šiaulių krašto turizmo forume ir Šiaulių miesto savivaldybės Turizmo tarybos posėdyje. Buvo koordinuoti darbo grupės, kurią sudarė Šiaulių miesto savivaldybės administracijos ir Šiaulių turizmo informacijos centro atstovai, susitikimai Šiaulių miesto įvaizdžio rinkodaros strategijos gairių rengimo etape. IV Šiaulių krašto turizmo forumo transliacijai įsigyta nuotolinės konferencijos licencija. Organizuotos kūrybinės dirbtuvės apie miesto įvaizdžio turizmo rinkodaros strategiją, parengtas ir skaitytas pranešimas „Turizmo sektoriaus bendradarbiavimo įtaka įvaizdžio gerinimui“.</t>
  </si>
  <si>
    <t>Surengtų festivalių</t>
  </si>
  <si>
    <t>Įvyko Šiaulių dailės galerijos organizuotas tarptautinis medijų meno festivalis „Enter“, Šiaulių kultūros centro organizuotas mėgėjų meno festivalis „Rudens mozaika“, Šiaulių miesto savivaldybės viešosios bibliotekos organizuotas literatūrinis festivalis „Šiauliai - skaitančių vaikų miestas“, Šiaulių kultūros centro organizuotame renginių cikle „Susitikimo vieta - Prisikėlimo aikštė“ pristatytos Tarptautinio animacinių filmų festivalio „Tindirindis“ ir Kino festivalio „Kino pavasaris“ programos.</t>
  </si>
  <si>
    <t>02.01.04.</t>
  </si>
  <si>
    <t>Užtikrinti kultūros paslaugų sklaidą ir prieinamumą gyventojams</t>
  </si>
  <si>
    <t>02.01.04.01</t>
  </si>
  <si>
    <t>Užtikrinti kultūros įstaigų veiklą</t>
  </si>
  <si>
    <t>Renginių</t>
  </si>
  <si>
    <t>1 375,00</t>
  </si>
  <si>
    <t>1 530,00</t>
  </si>
  <si>
    <t>Šiaulių miesto koncertinė įstaiga „Saulė“ surengė 84 renginius, Šiaulių miesto kultūros centras „Laiptų galerija“ - 160 renginių (lankomų gyvai ir virtualių), Šiaulių miesto savivaldybės viešoji biblioteka - 584 renginius (lankomus gyvai ir virtualius), Šiaulių kultūros centras - 153, Šiaulių dailės galerija - 239 renginius (lankomus gyvai ir virtualius). Iš viso suorganizuota 1220 renginių (lankomų gyvai ir virtualių).</t>
  </si>
  <si>
    <t>1.09.</t>
  </si>
  <si>
    <t>Koncertų</t>
  </si>
  <si>
    <t>173,00</t>
  </si>
  <si>
    <t>233,00</t>
  </si>
  <si>
    <t>Šiaulių miesto koncertinė įstaiga „Saulė“ surengė 84 koncertus, Šiaulių miesto kultūros centras „Laiptų galerija“ - 37 koncertus (lankomus gyvai ir virtualius). Iš viso surengtas 121 koncertas.</t>
  </si>
  <si>
    <t>2.03.</t>
  </si>
  <si>
    <t>Dalyvių / žiūrovų</t>
  </si>
  <si>
    <t>14 000,00</t>
  </si>
  <si>
    <t>14 500,00</t>
  </si>
  <si>
    <t>2020 m. dalyvių / žiūrovų skaičius: Šiaulių kultūros centre 4384 dalyviai ir 3355 dalyviai / žiūrovai, Šiaulių miesto koncertinėje įstaigoje „Saulė“ 2700 dalyvių. Iš viso 10439.</t>
  </si>
  <si>
    <t>Lankytojų</t>
  </si>
  <si>
    <t>372 000,00</t>
  </si>
  <si>
    <t>378 000,00</t>
  </si>
  <si>
    <t>2020 m. lankytojų (gyvai ir virtualių) skaičius kultūros įstaigose: Šiaulių dailės galerija 25 175, Šiaulių miesto kultūros centras „Laiptų galerija“ 26 150, Šiaulių miesto savivaldybės viešoji biblioteka 127 893, Šiaulių kultūros centras 8 130. Iš viso 187 348 lankytojai (atvykę gyvai ir virtualūs).</t>
  </si>
  <si>
    <t>Parodų</t>
  </si>
  <si>
    <t>69,00</t>
  </si>
  <si>
    <t>Šiaulių miesto kultūros centras „Laiptų galerija“ surengė 44 parodas (lankomas gyvai ir virtualias), Šiaulių dailės galerija - 26 parodas, Šiaulių kultūros centras - 6 parodas. Iš viso surengtos 76 parodos.</t>
  </si>
  <si>
    <t>2.01.</t>
  </si>
  <si>
    <t>Projektų</t>
  </si>
  <si>
    <t>26,00</t>
  </si>
  <si>
    <t>Šiaulių miesto koncertinė įstaiga „Saulė“ laimėjo ir  įgyvendino 1 Lietuvos kultūros tarybos finansuojamą projektą, Šiaulių miesto kultūros centras „Laiptų galerija“ - 3 Lietuvos kultūros tarybos finansuojamus projektus, Šiaulių miesto savivaldybės viešoji biblioteka - 8 Lietuvos kultūros tarybos finansuojamus projektus, Šiaulių kultūros centras - 1 Lietuvos kultūros tarybos finansuojamą projektą, Šiaulių dailės galerija - 4 Lietuvos kultūros tarybos finansuojamus projektus, Šiaulių turizmo informacijos centras - laimėjo ir įgyvendino 2 Lietuvos kultūros tarybos finansuojamus projektus ir gavo  Europos Sąjungos struktūrinių fondų finansavimą 4 projektams. Iš viso laimėtas finansavimas 23 projektams.</t>
  </si>
  <si>
    <t>2.02.</t>
  </si>
  <si>
    <t>Šiaulių turizmo informacijos centro lankytojų</t>
  </si>
  <si>
    <t>343 200,00</t>
  </si>
  <si>
    <t>352 200,00</t>
  </si>
  <si>
    <t>Lankytojai (su komunikacijos kontaktais) 147583, iš jų: Turizmo informacijos centro lankytojai – turistai 16 693, interneto svetainių http://tic.siauliai.lt ir www.visitsiauliai.lt naudotojų skaičius 101 756, renginių svetainės www.siauliai-events.lt naudotojų skaičius 21598, Turizmo informacijos centro suorganizuotų ekskursijų Šiauliuose dalyvių skaičius 1695, „Facebook“ paskyros vartotojų 5841. Iš viso 147583 lankytojai.</t>
  </si>
  <si>
    <t>1.05.</t>
  </si>
  <si>
    <t>Žiūrovų</t>
  </si>
  <si>
    <t>70 300,00</t>
  </si>
  <si>
    <t>2020 m. žiūrovų (gyvai ir virtualių) skaičius kultūros įstaigose: Šiaulių miesto kultūros centras „Laiptų galerija“ 9 410, Šiaulių kultūros centras 67 722, Šiaulių miesto koncertinė įstaiga „Saulė“ 36 587. Iš viso 113 719 (atvykusių gyvai ir virtualių).</t>
  </si>
  <si>
    <t>02.01.04.06</t>
  </si>
  <si>
    <t>Modernizuoti bibliotekos paslaugas, plėtoti sistemas pasienio regione</t>
  </si>
  <si>
    <t>Projektų valdymo skyrius</t>
  </si>
  <si>
    <t>02.02.</t>
  </si>
  <si>
    <t>Modernizuoti kultūros infrastruktūrą</t>
  </si>
  <si>
    <t>02.02.01.</t>
  </si>
  <si>
    <t>Rekonstruoti / renovuoti biudžetinių kultūros įstaigų pastatus</t>
  </si>
  <si>
    <t>02.02.01.02</t>
  </si>
  <si>
    <t>Aktualizuoti Šiaulių kultūros centrą (Aušros al. 31)</t>
  </si>
  <si>
    <t>Atlikta planuotų darbų</t>
  </si>
  <si>
    <t>proc.</t>
  </si>
  <si>
    <t>Įsigyta reikiama įranga</t>
  </si>
  <si>
    <t>1.08.</t>
  </si>
  <si>
    <t>02.02.01.04</t>
  </si>
  <si>
    <t>Atnaujinti (modernizuoti) Šiaulių miesto koncertinę įstaigą „Saulė" (Tilžės g. 140), rekonstruoti pastatą ir pastatyti priestatą</t>
  </si>
  <si>
    <t>52,00</t>
  </si>
  <si>
    <t>02.02.01.09</t>
  </si>
  <si>
    <t>Pritaikyti patalpas Vilniaus g. 213 turizmo paslaugų plėtrai</t>
  </si>
  <si>
    <t>Atlikti planuoti remonto darbai</t>
  </si>
  <si>
    <t>2020 m. vykdytas projektas „Pritaikyti patalpas Vilniaus g. 213 turizmo paslaugų plėtrai“. Bendra į šį projektą investuota suma iš Savivaldybės biudžeto, LATLIT ir Turizmo informacijos centro lėšų – 456,6 tūkst. Eur. Šiaulių turizmo informacijos centro įsikėlimui į buvusio „Žiburio“ knygyno patalpas buvo parengtas 13 dalių techninis projektas ir įvykdyti šie darbai: aliuminio vitrinų ir durų, plastikinių langų su pakeitimu statybos rangos darbai, šilumos įrenginių pertvarkymo ir vėdinimo, vėsinimo sistemų įrengimo darbai, I aukšto ir rūsio patalpų bendrastatybiniai darbai, vidaus elektros tinklų, šviestuvų montavimas, apsauginės, pavojaus ir gaisrinės signalizacijos montavimas, kompiuterinių tinklų montavimas, vertikalaus kėlimo atvirojo tipo platforminio keltuvo žmonėms su judėjimo negalia rangos darbai.</t>
  </si>
  <si>
    <t>2020 m.: Dėl lėšų stygiaus 2020 m. nebaigti fasado ir aplinkos tvarkymo, vidaus ir išorės reklamos darbai, neatlikta baldinės įrangos gamyba, neįsigytas ūkinis inventoriui ir priemonės. Šiems tikslams 2021 m.  įsigyti skirta 50,0 tūkst. Eur (SB lėšos). Atlikus likusius fasado ir aplinkos tvarkymo darbus, įrengus vidaus ir išorės reklamą, įsigijus reikiamus baldus ir įrangą, ūkines priemones, Šiaulių turizmo informacijos centras persikels į naujas patalpas.</t>
  </si>
  <si>
    <t>02.02.01.10</t>
  </si>
  <si>
    <t>Įgyvendinti projektą „Šiaulių miesto centrinio parko estrados modernizavimas ir pritaikymas visuomenės poreikiams“</t>
  </si>
  <si>
    <t>Atlikta modernizavimo darbų</t>
  </si>
  <si>
    <t>40,00</t>
  </si>
  <si>
    <t>02.03.</t>
  </si>
  <si>
    <t>Stiprinti miesto įvaizdį ir tapatybę plėtojant pažintinį-kultūrinį turizmą</t>
  </si>
  <si>
    <t>02.03.01.</t>
  </si>
  <si>
    <t>Vystyti aktyvaus laisvalaikio turizmą</t>
  </si>
  <si>
    <t>02.03.01.01</t>
  </si>
  <si>
    <t>Įgyvendinti projektą „Savivaldybes jungiančios turizmo informacinės infrastruktūros plėtra Šiaulių regione“</t>
  </si>
  <si>
    <t>Įrengti ženklinimo infrastruktūros objektai</t>
  </si>
  <si>
    <t>50,00</t>
  </si>
  <si>
    <t>Projekto finansavimo sutartis pasirašyta 2020 m. viduryje, vykdomi viešieji pirkimai.</t>
  </si>
  <si>
    <t>02.03.01.02</t>
  </si>
  <si>
    <t>Įgyvendinti projektą „Tarptautinis kultūros turizmo kelias - Baltų kelias“</t>
  </si>
  <si>
    <t>Įgyvendinta projekto veiklų</t>
  </si>
  <si>
    <t>02.03.01.03</t>
  </si>
  <si>
    <t>Įgyvendinti projektą „Baltų kultūros pažinimo skatinimas ir žinomumo apie tarptautinį kultūros kelią „Baltų kelias“ didinimas“</t>
  </si>
  <si>
    <t>30,00</t>
  </si>
  <si>
    <t>90,00</t>
  </si>
  <si>
    <t>02.03.01.04</t>
  </si>
  <si>
    <t>Įgyvendinti projektą „Saulės kelias“</t>
  </si>
  <si>
    <t>36,00</t>
  </si>
  <si>
    <t>68,00</t>
  </si>
  <si>
    <t>02.03.02.</t>
  </si>
  <si>
    <t>Stiprinti miesto identitetą, vykdyti įvaizdžio rinkodaros programą</t>
  </si>
  <si>
    <t>02.03.02.01</t>
  </si>
  <si>
    <t>Sukurti miesto įvaizdžio rinkodaros strategiją ir ją įgyvendinti</t>
  </si>
  <si>
    <t>Sukurta strategija</t>
  </si>
  <si>
    <t>03.</t>
  </si>
  <si>
    <t>Aplinkos apsaugos programa</t>
  </si>
  <si>
    <t>Miesto ūkio ir aplinkos skyrius</t>
  </si>
  <si>
    <t>03.01.</t>
  </si>
  <si>
    <t>Pagerinti aplinkos kokybę mieste, kurti darnaus vystymosi principais pagrįstą sveiką ir švarią gyvenamąją aplinką mieste</t>
  </si>
  <si>
    <t>03.01.01.</t>
  </si>
  <si>
    <t>Plėtoti ir tobulinti miesto komunalinių atliekų tvarkymo sistemą</t>
  </si>
  <si>
    <t>03.01.01.01</t>
  </si>
  <si>
    <t>Įgyvendinti komunalinių atliekų tvarkymą</t>
  </si>
  <si>
    <t>Sutvarkyta komunalinių atliekų</t>
  </si>
  <si>
    <t>t</t>
  </si>
  <si>
    <t>36 000,00</t>
  </si>
  <si>
    <t>Iš vietinės gyventojų rinkliavos už komunalines atliekas apmokama Všį Šiaulių regiono atliekų tvarkymo centrui už atliekų surinkimą, apdorojimą.</t>
  </si>
  <si>
    <t>Įsigyti konteineriai atliekų surinkimui</t>
  </si>
  <si>
    <t>200,00</t>
  </si>
  <si>
    <t>03.01.01.02</t>
  </si>
  <si>
    <t>Kompensuoti fiziniams asmenims asbesto turinčių gaminių atliekų šalinimą</t>
  </si>
  <si>
    <t>Kompensuota už asbesto gaminių šalinimą</t>
  </si>
  <si>
    <t>Asbesto turinčių gaminių atliekas individualių namų gyventojai ir visuomeninės paskirties pastatų savininkai (naudotojai) gali nemokamai sutvarkyti Šiaulių regiono nepavojingų atliekų sąvartyne.</t>
  </si>
  <si>
    <t>1.11.</t>
  </si>
  <si>
    <t>Surinkta asbesto</t>
  </si>
  <si>
    <t>03.01.01.03</t>
  </si>
  <si>
    <t>Įgyvendinti projektą „Komunalinių atliekų rūšiuojamojo surinkimo infrastruktūros plėtra Šiaulių regione"</t>
  </si>
  <si>
    <t>Įrengta konteinerių aikštelių</t>
  </si>
  <si>
    <t>Įrengta 100 konteinerių aikštelių, vykdyti parengiamieji darbai kitų konteinerių aikštelių įrengimui.</t>
  </si>
  <si>
    <t>Įrengta didelio gabarito atliekų surinkimo aikštelė (DGSA) su pakartotiniam panaudojimui tinkamų atliekų surinkimu</t>
  </si>
  <si>
    <t>03.01.02.</t>
  </si>
  <si>
    <t xml:space="preserve">Gausinti miesto želdinius, gerinti esamų želdinių kokybę, apsaugoti vertingas gamtines </t>
  </si>
  <si>
    <t>03.01.02.02</t>
  </si>
  <si>
    <t>Parengti ir įgyvendinti želdynų pertvarkymo projektus</t>
  </si>
  <si>
    <t>Parengti želdynų projektai ir atlikti darbai</t>
  </si>
  <si>
    <t>03.01.02.03</t>
  </si>
  <si>
    <t>Vykdyti želdinių priežiūrą (tręšimas, genėjimas, kaštonų lapų tvarkymas, Sosnovskio barščio naikinimas)</t>
  </si>
  <si>
    <t>Užtikrinti želdinių priežiūrą (genėjimas, atžalų šalinimas, kelmų sutvarkymas, laistymas, tręšimas, kaštonų lapų surinkimas), pagal skirtą finansavimą</t>
  </si>
  <si>
    <t>1.12.</t>
  </si>
  <si>
    <t>03.01.02.04</t>
  </si>
  <si>
    <t>Sodinti naujus želdinius prie miesto gatvių, parkuose ir skveruose</t>
  </si>
  <si>
    <t>Pasodinta želdinių</t>
  </si>
  <si>
    <t>03.01.02.05</t>
  </si>
  <si>
    <t>Prūdelio tvenkinio kraštovaizdžio formavimas ir ekologinės būklės gerinimas</t>
  </si>
  <si>
    <t>Įrengta kraštovaizdžio formavimo priemonių</t>
  </si>
  <si>
    <t>03.01.03.</t>
  </si>
  <si>
    <t>Gerinti miesto vandens telkinių ir jų prieigų gamtosauginę būklę</t>
  </si>
  <si>
    <t>03.01.03.04</t>
  </si>
  <si>
    <t>Vykdyti lietaus nuotekų sistemos griovių tvarkymą</t>
  </si>
  <si>
    <t>Sutvarkyta lietaus sistemos griovių</t>
  </si>
  <si>
    <t>03.01.03.05</t>
  </si>
  <si>
    <t>Įgyvendinti projektą „Šiaulių miesto paviršinių nuotekų tvarkymo sistemos inventorizavimas, paviršinių nuotekų tvarkymo infrastruktūros rekonstravimas ir plėtra"</t>
  </si>
  <si>
    <t>Projekto įgyvendinimas</t>
  </si>
  <si>
    <t>1,50</t>
  </si>
  <si>
    <t>Rekonstruoti paviršinių nuotekų tinklai, įrengta paviršinių nuotekų valdymo sistema, inventorizuoti ir teisiškai registruoti paviršinių nuotekų tinklai.</t>
  </si>
  <si>
    <t>03.01.05.</t>
  </si>
  <si>
    <t>Sutvarkyti užterštas teritorijas, buvusius karjerus ir durpynus</t>
  </si>
  <si>
    <t>03.01.05.02</t>
  </si>
  <si>
    <t>Tvarkyti užterštas teritorijas Šiaulių mieste</t>
  </si>
  <si>
    <t>Sutvarkyta teritorija (4462)</t>
  </si>
  <si>
    <t>ha</t>
  </si>
  <si>
    <t>Išvalyta užteršta teritorija.</t>
  </si>
  <si>
    <t>Pasirašyta projekto finansavimo sutartis, įsigyti teritorijos valymo darbai, atlikti paruošiamieji valymo darbai, teritorijoje surinktos šiukšlės.</t>
  </si>
  <si>
    <t>03.01.06.</t>
  </si>
  <si>
    <t>Vykdyti miesto aplinkos kokybės stebėseną</t>
  </si>
  <si>
    <t>03.01.06.01</t>
  </si>
  <si>
    <t>Vykdyti Šiaulių miesto aplinkos kokybės stebėseną (triukšmo, oro, paviršinių vandens telkinių)</t>
  </si>
  <si>
    <t>Šiaulių municipalinė aplinkos tyrimų laboratorija</t>
  </si>
  <si>
    <t>Finansuojama įstaigų (Šiaulių municipalinė aplinkos tyrimų laboratorija)</t>
  </si>
  <si>
    <t>Parengta stebėsenos ataskaita (vykdoma stebėsena, įsigyjamos reikalingos priemonės ir paslaugos)</t>
  </si>
  <si>
    <t>03.01.06.02</t>
  </si>
  <si>
    <t>Gerinti aplinkos oro kokybę, įgyvendinti aplinkos oro kokybės valdymo programą</t>
  </si>
  <si>
    <t>Išvalyta pavasarinio purvo (dėl pakeltosios taršos  - gatvių sąšlavos)</t>
  </si>
  <si>
    <t>400,00</t>
  </si>
  <si>
    <t>350,00</t>
  </si>
  <si>
    <t>03.01.06.03</t>
  </si>
  <si>
    <t>Vykdyti požeminio vandens ir dirvožemio užterštumo būklės stebėseną</t>
  </si>
  <si>
    <t>Parengta požeminio vandens ir dirvožemio ataskaita (bei atlikti tyrimai stebimose Šiaulių miesto vietose)</t>
  </si>
  <si>
    <t>03.01.06.04</t>
  </si>
  <si>
    <t>Optimizuoti aplinkos kokybės stebėseną ir optimizuoti vertinimo sistemą, sukurti interaktyvią/informacinę duomenų bazę.  Įgyvendinti projektą „Aplinkos oro kokybės gerinimas Šiaulių mieste"</t>
  </si>
  <si>
    <t>Įsigytas šaligatvių valymo įrenginys</t>
  </si>
  <si>
    <t>Įsigyta šaligatvių valymo mašina.</t>
  </si>
  <si>
    <t>03.01.07.</t>
  </si>
  <si>
    <t>Vykdyti miesto bendruomenės aplinkosauginį ugdymą</t>
  </si>
  <si>
    <t>03.01.07.02</t>
  </si>
  <si>
    <t>Remti nevyriausybinių organizacijų projektų įgyvendinimą</t>
  </si>
  <si>
    <t>Paremta projektų</t>
  </si>
  <si>
    <t>03.01.07.03</t>
  </si>
  <si>
    <t>Įsigyti aplinkosauginius informacinius ir kt. leidinius</t>
  </si>
  <si>
    <t>Įsigyta leidinių</t>
  </si>
  <si>
    <t>60,00</t>
  </si>
  <si>
    <t>03.01.07.04</t>
  </si>
  <si>
    <t>Organizuoti aplinkosauginius renginius, vykdyti visuomenės švietimą ir informavimą</t>
  </si>
  <si>
    <t>Organizuoti renginiai (Žemės diena, Europos judumo savaitė)</t>
  </si>
  <si>
    <t>Įgyvendinta visuomenės švietimo ir informavimo priemonių</t>
  </si>
  <si>
    <t>Paremtas egzotinių gyvūnų kampelis</t>
  </si>
  <si>
    <t>03.01.07.05</t>
  </si>
  <si>
    <t>Tvarkyti Talkšos ekologinį taką</t>
  </si>
  <si>
    <t>Parengta Talkšos ekologinio tako einamosios metinės priežiūros ataskaita (bei atlikta Talkšos ekologinio tako priežiūra)</t>
  </si>
  <si>
    <t>03.01.08.</t>
  </si>
  <si>
    <t>Pašalinti aplinkos teršimo šaltinius</t>
  </si>
  <si>
    <t>03.01.08.01</t>
  </si>
  <si>
    <t>Likviduoti pavojingus radinius ir ekologinių avarijų padarinius</t>
  </si>
  <si>
    <t>Civilinės saugos ir teisėtvarkos skyrius</t>
  </si>
  <si>
    <t>Likviduota radinių ir avarijų</t>
  </si>
  <si>
    <t>03.01.08.02</t>
  </si>
  <si>
    <t>Įgyvendinti projektą „Aplinkos rizikos valdymo sistemos gerinimas Latvijos ir Lietuvos pasienio regione“</t>
  </si>
  <si>
    <t>03.02.</t>
  </si>
  <si>
    <t>Reguliuoti gyvūnų (šunų, kačių), laikomų Šiaulių miesto daugiabučiuose namuose, populiaciją, kontroliuoti jų priežiūrą</t>
  </si>
  <si>
    <t>03.02.03.</t>
  </si>
  <si>
    <t>Gyvūnų priežiūrai skirtos įrangos įrengimas ir priežiūra</t>
  </si>
  <si>
    <t>03.02.03.01</t>
  </si>
  <si>
    <t xml:space="preserve">Gyvenamuosiuose rajonuose, viešosiose vietose šunų išvedžiojimo aikštelių, kačių šėrimo vietų ir kitos gyvūnų priežiūrai skirtos įrangos įrengimas, remontas ir sanitarinė priežiūra </t>
  </si>
  <si>
    <t>Kačių šėrimo vietų priežiūra</t>
  </si>
  <si>
    <t>2020 m. atlikta 11-os kačių šėrimo vietų priežiūra (žolės pjovimas, šiukšlių rinkimas).</t>
  </si>
  <si>
    <t>Įrengtų aikštelių kokybiška priežiūra, remontai, aikštelių modernizavimas</t>
  </si>
  <si>
    <t>12,00</t>
  </si>
  <si>
    <t>Visose 5 šunų vedžiojimo aikštelėse buvo įrengti nauji šunų dresavimo įrengimai (viso 11 vnt., 4 aikštelėse įrengta po 2 įrenginius, o didžiausioje Lieporių parko aikštelėje – 3 įrenginiai). Renovuota šunų vedžiojimo aikštelė prie K. Korsako g. 59 namo, sena tinklinė tvora pakeista nauja cinkuota segmentine tvora. Visose šunų vedžiojimo aikštelėse įrengtos informacinės lentelės.</t>
  </si>
  <si>
    <t>Šunų išvedžiojimo aikštelių priežiūra, remontas</t>
  </si>
  <si>
    <t>04.</t>
  </si>
  <si>
    <t>Miesto infrastruktūros objektų priežiūros, modernizavimo ir plėtros programa</t>
  </si>
  <si>
    <t>04.01.</t>
  </si>
  <si>
    <t>Modernizuoti miesto gyvenamųjų rajonų infrastruktūrą, užtikrinti  komunalinių paslaugų teikimo infrastruktūros objektų  priežiūrą, remontą  bei šių paslaugų teikimo kokybę</t>
  </si>
  <si>
    <t>04.01.01.</t>
  </si>
  <si>
    <t xml:space="preserve">Vykdyti miesto infrastruktūros objektų priežiūrą, einamąjį remontą </t>
  </si>
  <si>
    <t>04.01.01.01</t>
  </si>
  <si>
    <t>Tvarkyti aplinką ir vykdyti infrastruktūros objektų priežiūrą ir remontą</t>
  </si>
  <si>
    <t>Miesto komunalinio ūkio priežiūra: žvyruotų gatvių greideriavimas; kelių dangos ženklinimas; eismo reguliavimo, saugių eismo priemonių diegimas, kryptinio apšvietimo įrengimas</t>
  </si>
  <si>
    <t>Aplinkos tvarkymo (žaliųjų plotų, gėlynų, medžių kirtimas, benamių gyvūnų priežiūra, kapinių priežiūra); gatvių apšvietimo ir reguliavimo, sanitarinių paslaugų, gatvių, šaligatvių, aikštelių, vaikų žaidimo aikštelių, takų priežiūros ir  remonto užtikrinimas</t>
  </si>
  <si>
    <t>1.06.</t>
  </si>
  <si>
    <t>04.01.01.05</t>
  </si>
  <si>
    <t>Remontuoti daugiabučių namų kiemų dangą</t>
  </si>
  <si>
    <t>Sutvarkyta, suremontuota planuotų einamaisiais metais kiemų įvažiavimų danga</t>
  </si>
  <si>
    <t>95,00</t>
  </si>
  <si>
    <t>04.01.02.</t>
  </si>
  <si>
    <t>Šiaulių miesto kapinių infrastruktūros plėtra</t>
  </si>
  <si>
    <t>04.01.02.02</t>
  </si>
  <si>
    <t>Kapinių teritorijoje esančios infrastruktūros tvarkymas</t>
  </si>
  <si>
    <t>Benamių palaidojimo kvartalų Ginkūnų kapinėse sutvarkymas</t>
  </si>
  <si>
    <t>Kapinių skaitmeninės sistemos įdiegimas</t>
  </si>
  <si>
    <t>Tvarkomi takai, privažiavimai</t>
  </si>
  <si>
    <t>km</t>
  </si>
  <si>
    <t>04.01.02.03</t>
  </si>
  <si>
    <t>Vykdyti kolumbariumo statybą ir priežiūrą</t>
  </si>
  <si>
    <t>Užtikrinta Kolumbariumo priežiūra (kolumbariumo ir takų valymas)</t>
  </si>
  <si>
    <t>Įgyvendinta kolumbariumo statyba</t>
  </si>
  <si>
    <t>04.01.02.04</t>
  </si>
  <si>
    <t>Vykdyti Daušiškių kapinių statybos ir infrastruktūros įrengimo darbus</t>
  </si>
  <si>
    <t>Statybos ir renovacijos skyrius</t>
  </si>
  <si>
    <t>Įgyvendinti Daušiškių kapinių II etapo įrengimo darbai (paviršinių nuotekų tinklai, kapinių nusausinimas, vandentiekio tinklai, buitinių nuotekų tinklai)</t>
  </si>
  <si>
    <t>75,00</t>
  </si>
  <si>
    <t>1.02.</t>
  </si>
  <si>
    <t>04.01.03.</t>
  </si>
  <si>
    <t xml:space="preserve"> Renovuoti, modernizuoti ir plėsti gatvių apšvietimo ir šviesoforų infrastruktūrą</t>
  </si>
  <si>
    <t>04.01.03.01</t>
  </si>
  <si>
    <t>Vykdyti išorinio apšvietimo tinklų įrengimo ar rekonstrukcijos projektavimo, infrastruktūros objektų apšvietimo įrengimo darbus</t>
  </si>
  <si>
    <t>Įrengtos naujo apšvietimo atramos</t>
  </si>
  <si>
    <t>04.01.03.02</t>
  </si>
  <si>
    <t>Įgyvendinti šviesoforų infrastruktūros renovavimą,  koordinuoto valdymo įdiegimą</t>
  </si>
  <si>
    <t>Rekonstruotos šviesoforinio reguliavimo sankryžos</t>
  </si>
  <si>
    <t>04.01.04.</t>
  </si>
  <si>
    <t>Sutvarkyti viešąsias erdves</t>
  </si>
  <si>
    <t>04.01.04.01</t>
  </si>
  <si>
    <t>Įgyvendinti projektą „Prisikėlimo aikštės, jos jungčių ir prieigų rekonstrukcija“</t>
  </si>
  <si>
    <t>Atlikta rangos darbų</t>
  </si>
  <si>
    <t>Sukurtos arba atnaujintos atviros erdvės miestų vietovėse</t>
  </si>
  <si>
    <t>m2</t>
  </si>
  <si>
    <t>04.01.04.05</t>
  </si>
  <si>
    <t>Įgyvendinti projektą „Vilniaus gatvės pėsčiųjų bulvaro ir amfiteatro rekonstrukcija“</t>
  </si>
  <si>
    <t>Sukurtos arba atnaujintos atviros erdvės mieste</t>
  </si>
  <si>
    <t>28 431,00</t>
  </si>
  <si>
    <t>78,00</t>
  </si>
  <si>
    <t>Vilniaus g. įrengta 60 proc. natūralaus akmens granito ir klinkerio trinkelių dangos, baigta Vasario 16-osios g. (nuo Trakų iki Vytauto g.) rekonstrukcija.</t>
  </si>
  <si>
    <t>04.01.04.06</t>
  </si>
  <si>
    <t>Įgyvendinti projektą „Talkšos ežero pakrantės plėtra“</t>
  </si>
  <si>
    <t>99 432,00</t>
  </si>
  <si>
    <t>45,00</t>
  </si>
  <si>
    <t>Per 2020 metus atlikta: 16 % I etapo darbų (47 % paruošiamųjų ir ardymo darbų, 39 % žemės darbų, 82 % susisiekimo komunikacijų įrengimo darbų, 89 % vandentiekio tinklų remonto darbų, 97 % buitinių nuotekų remonto darbų ir kt. darbų); 7 % II etapo darbų (68 % paruošiamųjų ir ardymo darbų, 11 % žemės darbų, 63 % poilsio aikštelių įrengimo (prie esamų rekonstruojamų takų), 76 % laikinų tualetų pastatymo aikštelių įrengimo (2 vnt.), 92 % vandentiekio tinklų remonto darbų, 94 %  buitinių nuotekų remonto darbų, 73 % ardymo, griovimo   ir kt. darbų).</t>
  </si>
  <si>
    <t>04.01.04.07</t>
  </si>
  <si>
    <t>Įgyvendinti projektą „Viešųjų erdvių ir gyvenamosios aplinkos gerinimas teritorijoje, besiribojančioje su Draugystės prospektu, Vytauto gatve, P. Višinskio gatve ir Dubijos gatve"</t>
  </si>
  <si>
    <t>Užbaigtas Draugystės prospektas, Draugystės pr. – Dubijos g. žiedas, Draugystės kvartalas (tarp Dubijos ir Vytauto g. bei Draugystės pr. ir P. Višinskio g., tame tarpe ir Rudės bei Kražių g.). P. Višinskio g. (nuo Vytauto g. iki Stoties g.) atlikti paruošiamieji darbai, dangos konstrukcijų įrengimas.</t>
  </si>
  <si>
    <t>2020 m.: Rangos darbų sparta buvo didesnė nei suplanuota pirminiame 2020 m. Šiaulių miesto savivaldybės biudžete, tačiau mažesnė nei patikslinti asignavimai. Kadangi objektai nėra vienmečiai, sudėtinga prognozuoti rangos darbų spartą. Didesnis nei planuota rodiklis pasiektas, kadangi metų eigoje didinti asignavimai priemonei, tačiau siekiamas rodiklis nekoreguotas.</t>
  </si>
  <si>
    <t>78 138,00</t>
  </si>
  <si>
    <t>04.01.04.08</t>
  </si>
  <si>
    <t>Įgyvendinti projektą „P. Višinskio gatvės viešųjų erdvių pritaikymas jaunimo poreikiams“</t>
  </si>
  <si>
    <t>33,00</t>
  </si>
  <si>
    <t>1 objekte (P. Višinskio g.  tarp Vytauto g. ir Vilniaus g.) per 2020 metus atlikta: 100 % paruošiamųjų darbų, vandentiekio tinklų,  75 %  paruošiamųjų darbų, 50 % vandens nuvedimo, 32  % dangos konstrukcijos įrengimo, 95 %  ardymo, griovimo,  87 % lietaus nuotėkų tinklų, 75 % gatvės apšvietimo, 100 %  archeologinių tyrinėjimų ir kt. darbų. 
2 objekte (aikštelė prie Vilniaus g. 153A (amfiteatro prieigos) per 2020 metus atlikta: 96 % vandentiekio tinklų,  96 %  buitinių nuotėkų tinklų, 66 % lietaus nuotėkų tinklų keitimo, 96  % demontavimo ir paruošiamųjų darbų aikštelėje, 100 %  naujai įrengiamų konteinerių aikštelių dangų įrengimo, 88 % lauko ryšių tinklo ir Wi-fi modulio įrengimo, 21 % fontano kompozicijos įrengimo. Fontano techninės patalpos įrengimo, kt. darbų.</t>
  </si>
  <si>
    <t>2020 m.: Lėšos nepanaudotos dėl gauto avanso. 2020 metams planuotas rodiklis pasiektas, darbai bus tęsiami ir užbaigiami 2021 metais pasibaigus technologinei pertraukai. Planuotas rodiklis pasiektas, nors liko nepanaudotų lėšų, kadangi 2020 metų eigoje buvo didinami asignavimai priemonei, tačiau siekiamas rodiklis nebuvo koreguojamas.</t>
  </si>
  <si>
    <t>10 344,00</t>
  </si>
  <si>
    <t>04.01.04.09</t>
  </si>
  <si>
    <t>Įgyvendinti projektą „Šiaulių miesto centrinio ir Didždvario parkų bei jų prieigų sutvarkymas“</t>
  </si>
  <si>
    <t>197 965,00</t>
  </si>
  <si>
    <t>84,00</t>
  </si>
  <si>
    <t>04.01.04.10</t>
  </si>
  <si>
    <t>Įgyvendinti projektą „Aušros alėjos (nuo Žemaitės g. iki Varpo g.) viešųjų pastatų ir viešųjų erdvių prieigų rekonstrukcija"</t>
  </si>
  <si>
    <t>Per 2020 metus atlikta: 96 % I etapo tarp Varpo g. ir Dvaro g. darbų,  99 %  I etapo gatvės apšvietimo darbų, 91 % II etapo tarp Dvaro g. ir Žemaitės g. darbų,  53 %  II etapo gatvės apšvietimo darbų, 14 % darbų ties Dvaro sodyba, 93 % inžinerinių lauko tinklų,  99 % šviesoforinio valdymo darbų ir kt. darbų.</t>
  </si>
  <si>
    <t>2020 m.: Lėšos nepanaudotos dėl gauto avanso. Dėl rangovo pajėgumų, atlikta daugiau darbų nei buvo planuota metų pradžioje. Didesnis nei planuota rodiklis pasiektas, kadangi metų eigoje didinti asignavimai priemonei, tačiau siekiamas rodiklis nekoreguotas.</t>
  </si>
  <si>
    <t>17 961,00</t>
  </si>
  <si>
    <t>04.01.04.12</t>
  </si>
  <si>
    <t>Vykdyti vaizdo stebėjimo kamerų sistemos plėtrą</t>
  </si>
  <si>
    <t>Įrengta vaizdo stebėjimo kamerų</t>
  </si>
  <si>
    <t>04.01.04.13</t>
  </si>
  <si>
    <t>Atnaujinti Dainų taką</t>
  </si>
  <si>
    <t>Sukurtos arba atnaujintos erdvės mieste</t>
  </si>
  <si>
    <t>17 000,00</t>
  </si>
  <si>
    <t>04.01.04.14</t>
  </si>
  <si>
    <t>Vykdyti Dainų parko pėsčiųjų ir dviračių takų plėtrą</t>
  </si>
  <si>
    <t>m</t>
  </si>
  <si>
    <t>1 200,00</t>
  </si>
  <si>
    <t>1 190,00</t>
  </si>
  <si>
    <t>04.02.</t>
  </si>
  <si>
    <t>Užtikrinti subalansuotą miesto susisiekimo sistemos vystymą</t>
  </si>
  <si>
    <t>04.02.01.</t>
  </si>
  <si>
    <t>Tobulinti miesto vidaus susisiekimo sistemą</t>
  </si>
  <si>
    <t>04.02.01.01</t>
  </si>
  <si>
    <t>Vykdyti naujų magistralinių gatvių suprojektavimo ir nutiesimo, susisiekimo komunikacijų įrengimo, rekonstravimo ir remonto darbus</t>
  </si>
  <si>
    <t>Atliktas išlyginamojo asfalto sluoksnio dengimas</t>
  </si>
  <si>
    <t>Atlikta miesto gatvių, šaligatvių ir takų remonto darbų pagal skirtą finansavimą (Žemaitės g. viadukas, Poilsio g. rekonstrukcija, Tiesos g., Rasos g.)</t>
  </si>
  <si>
    <t>04.02.01.06</t>
  </si>
  <si>
    <t>Įrengti viešojo susisiekimo infrastruktūrą, siekiant pagerinti sąlygas verslo plėtrai</t>
  </si>
  <si>
    <t>Įrengtas Tauro g. tęsinys</t>
  </si>
  <si>
    <t>Serbentų g. tęsinio įrengimas nuo esamos Serbentų g. iki Aukštabalio g.</t>
  </si>
  <si>
    <t>Įrengta žiedinė sankryža</t>
  </si>
  <si>
    <t>04.02.01.07</t>
  </si>
  <si>
    <t>Įrengti kelio Šiauliai-Panevėžys jungtį su Šiaulių industrinio parko teritorija</t>
  </si>
  <si>
    <t>Parengtas P. Motiekaičio g. tęsinio projektas</t>
  </si>
  <si>
    <t>Atlikta kelio rangos darbų</t>
  </si>
  <si>
    <t>04.02.01.10</t>
  </si>
  <si>
    <t>Įgyvendinti projektą „Šiaulių miesto viešojo transporto priemonių parko atnaujinimas“</t>
  </si>
  <si>
    <t>04.02.01.11</t>
  </si>
  <si>
    <t>Įgyvendinti projektą „Eismo saugumo priemonių įdiegimas Šiaulių mieste“</t>
  </si>
  <si>
    <t>Įdiegtos saugų eismą gerinančios ir aplinkosaugos priemonės</t>
  </si>
  <si>
    <t>Per 2020 metus atlikta: Gegužių - Tilžės sankryža; Tilžės - Statybininkų sankryža; Vytauto - Žemaitės g.; pėsčiųjų perėja ties Vilniaus g. 40; pėsčiųjų perėja ties Statybininkų g. 7.</t>
  </si>
  <si>
    <t>04.02.01.13</t>
  </si>
  <si>
    <t>Įgyvendinti projektą „Darnus judumas ir kasdienių kelionių modeliavimas Baltijos jūros miestuose“</t>
  </si>
  <si>
    <t>Atliktas kasdienių kelionių įpročių monitoringas ir pokyčių modeliavimas bei parengtas veiksmų planas</t>
  </si>
  <si>
    <t>2020 metais, įgyvendinant pasirašytas sutartis su VšĮ „Transporto kompetencijų agentūra“ dėl Šiaulių miesto eismo srautų tyrimų paslaugų ir su UAB „Smart Continent“ dėl gyventojų keliavimo įpročių ir nuomonės tyrimo, viešojo transporto optimizavimo veiksmų plano vieningai Šiaulių rajono ir Šiaulių miesto viešojo transporto sistemai parengimo, buvo įvykdyta suplanuota veikla - atliktas kasdienių kelionių įpročių monitoringas ir pokyčių modeliavimas bei parengtas veiksmų planas.</t>
  </si>
  <si>
    <t>04.02.01.14</t>
  </si>
  <si>
    <t>Įgyvendinti projektą „Darnaus judumo priemonių diegimas Šiaulių mieste“</t>
  </si>
  <si>
    <t>Įgyvendintos darnaus judumo priemonės</t>
  </si>
  <si>
    <t>Įrengta dviračių saugojimo infrastruktūra (stoginės su stovais) prie svariausių traukos objektų (Šiaulių miesto gimnazijų: J. Janonio,  VšĮ Šiaulių universiteto, Romuvos, Saulėtekio, Lieporių, Stasio Šalkauskio, Simono Daukanto, Santarvės, Suaugusiųjų mokyklos; autobusų ir traukinių stočių; traukos objekto Šiaulių arenos).</t>
  </si>
  <si>
    <t>Vykdomi rangos darbai. Šaligatvių pritaikymas neįgaliesiems. 2020 m. pradėti darbai Gegužių, Krymo, Lieporių S. Dariaus ir S. Girėno, Gardino ir Spindulio gatvės šaligatvius (4,167 km).
Pilnai baigti  Gegužių gatvės šaligatvio darbai.
Krymo, Lieporių S. Dariaus ir S. Girėno, Gardino fiziniai darbai baigti, vykdomos teisinės registracijos procedūros.
Spindulio g. atlikta apie 35 proc. darbų.</t>
  </si>
  <si>
    <t>04.02.01.15</t>
  </si>
  <si>
    <t>Įgyvendinti projektą „Pakruojo gatvės rekonstrukcija“</t>
  </si>
  <si>
    <t>Rekonstruota Pakruojo g. nuo Tilžės g. iki J. Basanavičiaus g.</t>
  </si>
  <si>
    <t>2020 metais, įgyvendinant pasirašytą sutartį su UAB „Šiaulių plentas“ dėl Pakruojo gatvės rekonstravimo darbų atlikti Pakruojo gatvės rekonstravimo darbai: rekonstruota važiuojamoji dalis, kuri sujungė Tilžės ir Basanavičiaus gatves, įrengtas pėsčiųjų ir dviračių takas, apšvietimas.</t>
  </si>
  <si>
    <t>2020 m.: Dėl vėluojančio statybos užbaigimo dokumento išdavimo, neišmokėti sulaikymai pagal sutartį (107 tūkst., šaltinis 1.01), kitos išlaidos (šaltinis 1.08 - ES lėšos) yra patirtos, tačiau neturint užbaigimo dokumento nepateiktas gautinis mokėjimo prašymas, negrįžo Europos Sąjungos lėšos; dėl lėšų poreikio nebuvimo - 28 tūkst. Eur. (šaltinis 1.01).</t>
  </si>
  <si>
    <t>Įrengtas dviračių - pėsčiųjų takas</t>
  </si>
  <si>
    <t>04.02.01.16</t>
  </si>
  <si>
    <t>Įgyvendinti projektą „Tilžės g. dviračių tako rekonstrukcija"</t>
  </si>
  <si>
    <t>Rekonstruotų dviračių takų ilgis</t>
  </si>
  <si>
    <t>Ištaisyti defektai, atliktos darbų užbaigimo procedūros.</t>
  </si>
  <si>
    <t>04.02.01.18</t>
  </si>
  <si>
    <t>Įgyvendinti Bačiūnų g. rekonstrukciją</t>
  </si>
  <si>
    <t>Įvykdyta darbų</t>
  </si>
  <si>
    <t>Rekonstruotos gatvės ilgis</t>
  </si>
  <si>
    <t>2,80</t>
  </si>
  <si>
    <t>Rekonstruotas dviračių pėsčiųjų tako ilgis</t>
  </si>
  <si>
    <t>04.02.01.19</t>
  </si>
  <si>
    <t>Vykdyti keleivių vežimą vietinio (miesto) reguliaraus susisiekimo autobusų maršrutais</t>
  </si>
  <si>
    <t>Apmokėta už miesto keleivių vežimo vietiniais maršrutais (Nr. 2,8,14,20,24) paslaugas pagal kilometražą</t>
  </si>
  <si>
    <t>UAB Busturui apmokama už nuvažiuotus kilometrus teikiant miesto keleivių vežimo 2,8,14,20,24  - vietiniais maršrutais viešąsias paslaugas.</t>
  </si>
  <si>
    <t>2020 m.: Liko lėšos, nes sąskaita už gruodį gauta sausio mėn.</t>
  </si>
  <si>
    <t>04.02.02.</t>
  </si>
  <si>
    <t>Įrengti gatves individualių namų kvartaluose</t>
  </si>
  <si>
    <t>04.02.02.01</t>
  </si>
  <si>
    <t>Suprojektuoti, nutiesti, išasfaltuoti  ar rekonstruoti žvyruotas gatves individualių namų kvartaluose</t>
  </si>
  <si>
    <t>Gatvių asfaltavimas ir įrengimas</t>
  </si>
  <si>
    <t>17,00</t>
  </si>
  <si>
    <t>2020 m.: Šilų (67 tūkst.eur).; Kybartų (119,7 tūkst.eur); Rėkyvos (126,6 tūkst.eur); D.Poškos (6,6 tūkst.eur); Pelkių (0,1 tūkst.eur); Linkuvos (0,5 tūkst.eur); Įvažiavimas į Vytauto g.(48,9 tūkst.eur); Žaliasodžių (382,6 tūkst.eur); Žemynos (205 tūkst.eur); Medelyno (6,6 tūkst.eur); Šatrijos (6,6 tūkst.eur); Pailių (443,6 tūkst.eur); Treniotos (49,6 tūkst.eur); Miško (144,5 tūkst.eur) ; Artojų (102 tūkst.eur); Žagarės (4,2 tūkst.eur); Beržų 4,6 tūkst.eur).</t>
  </si>
  <si>
    <t>05.</t>
  </si>
  <si>
    <t>Miesto ekonominės plėtros programa</t>
  </si>
  <si>
    <t>Ekonomikos ir investicijų skyrius</t>
  </si>
  <si>
    <t>05.01.</t>
  </si>
  <si>
    <t>Optimizuoti verslo koordinavimo sistemą</t>
  </si>
  <si>
    <t>05.01.02.</t>
  </si>
  <si>
    <t>Sudaryti palankias sąlygas pradėti ir vystyti verslą naujai įsisteigusiems subjektams.</t>
  </si>
  <si>
    <t>05.01.02.01</t>
  </si>
  <si>
    <t>Skatinti smulkiojo verslo subjektus</t>
  </si>
  <si>
    <t>Įgyvendintų skatinimo priemonių</t>
  </si>
  <si>
    <t>2020 m. paremti 32 verslo subjektai, iš jų: 8  Verslo projektų konkurso laimėtojai, 8 - Įrangos ir įrankių įsigijimo konkurso laimėtojai, 4 - mokymosi išlaidų kompensavimo, 12 - įmonės steigimo išlaidoms pasidengti.</t>
  </si>
  <si>
    <t>05.01.02.02</t>
  </si>
  <si>
    <t>Įgyvendinti verslo subjektų mokymo programas</t>
  </si>
  <si>
    <t>Surengtų mokymų</t>
  </si>
  <si>
    <t>Iš 5 planuotų mokymų suorganizuoti 6. 1. Verslo anglų kalbos kursai 40 val. 2. Mokymas "Pokyčių valdymas ir komandinis darbas: rytdienos iššūkiai. 3. Mokymas „Darbo ir verslo teisinių santykių reglamentavimo ypatumai“; 4. Mokymas „Emocinis intelektas ir jo vaidmuo asmeninei ir profesinei sėkmei“, 5. Mokymai „Pomėgio panaudojimas keramikos pavyzdžiu“ 6. IT Kompiuteriniai 2 dienų kursai.</t>
  </si>
  <si>
    <t>Verslo sklaidos renginių</t>
  </si>
  <si>
    <t>Iš planuotų 6 verslo sklaidos renginių, suorganizuoti 7 - apie paslaugų pardavimo būdus, apie projektų rengimo būdus, administravimą ir apie sandorių kainodarą tarp susijusių asmenų, verslo pradžios galimybes Šiauliuose ir kt.</t>
  </si>
  <si>
    <t>Suteiktos konsultacijos</t>
  </si>
  <si>
    <t>val.</t>
  </si>
  <si>
    <t>270,00</t>
  </si>
  <si>
    <t>Per metus planuota suteikti 280 val. konsultacijų, suteikta 400 val. konsultacijų. Konsultuoti 65 asmenys.</t>
  </si>
  <si>
    <t>05.01.04.</t>
  </si>
  <si>
    <t>Skatinti verslumą ir didinti darbo jėgos konkurencingumą</t>
  </si>
  <si>
    <t>05.01.04.01</t>
  </si>
  <si>
    <t>Įgyvendinti jaunimo verslumo skatinimo programą</t>
  </si>
  <si>
    <t>Įsteigtų įmonių skaičius</t>
  </si>
  <si>
    <t>Per metus su Šiaulių verslo inkubatoriaus pagalba įsisteigė 14 naujų įmonių</t>
  </si>
  <si>
    <t>Konsultuotų asmenų</t>
  </si>
  <si>
    <t>žm.</t>
  </si>
  <si>
    <t>46,00</t>
  </si>
  <si>
    <t>Planuota konsultacijų 35 asmenims per metus, konsultuota 40 asmenų iki 29 metų (270 val.).</t>
  </si>
  <si>
    <t>Verslumo mokymo ir verslo informacinės sklaidos renginių</t>
  </si>
  <si>
    <t>16,00</t>
  </si>
  <si>
    <t>"Verslumo mokymo ir sklaidos renginių planuota 15, suorganizuota 19, iš jų 11 mokymų, 4 mokymų sesijos (trys sesijos po tris dienas, viena sesija keturių dienų), du kursų ciklai, du kūrybinių dirbtuvių edukaciniai užsiėmimai.
Mokymų trukmės nuo 1 iki 8 val. , kursų trukmė 80 val., mokymų sesijų trukmė 59 val., edukacinių užsimėmimų trukmės nuo 2 iki 4 val. Viso 179,5 val. Dalyvių 364."</t>
  </si>
  <si>
    <t>05.03.</t>
  </si>
  <si>
    <t>Skatinti miesto ekonominę plėtrą pritraukiant Europos Sąjungos fondų ir valstybės lėšas</t>
  </si>
  <si>
    <t>05.03.01.</t>
  </si>
  <si>
    <t xml:space="preserve"> Užtikrinti projektų dokumentacijos rengimą</t>
  </si>
  <si>
    <t>05.03.01.01</t>
  </si>
  <si>
    <t>Parengti (atnaujinti) investicijų projektus</t>
  </si>
  <si>
    <t>Parengtų ir atnaujintų investicijų projektų</t>
  </si>
  <si>
    <t>Parengti: a)7 daugiabučių namų investicijų projektai; b) 5 energetiniai auditai su investicijų projektais, siekiant pateikti paraiškas lengvatinės paskolos suteikimui pagal priemonę ,,Paskolos savivaldybių pastatų modernizavimui, finansuojamos iš Europos regioninės plėtros fondo". Apmokėta 70 proc. jų vertės. c) parengti 2 investicijų projektai, siekiant gauti finansavimą iš priemonės ,,Miesto inžinerinės infrastruktūros, svarbios verslui, atnaujinimas ir plėtra" lėšų; d) parengti 2 investicijų projektai, siekiant gauti finansavimą iš DNR plano lėšų.</t>
  </si>
  <si>
    <t>2020 m.: Rodiklis didesnis nei planuota, nes metų eigoje buvo prašoma papildomo finansavimo dėl išaugusio poreikio parengti dokumentus reikalingus finansavimui gauti, tačiau siekiamas rodiklis nebuvo padidintas. Dalis lėšų nepanaudota, nes vėliau nei planuota buvo parengti 5 energetiniai auditai su investicijų projektais, siekiant pateikti paraiškas lengvatinės paskolos suteikimui pagal priemonę ,,Paskolos savivaldybių pastatų modernizavimui, finansuojamos iš Europos regioninės plėtros fondo". 2020 m. apmokėta 70 proc. jų vertės. Taip pat neatliktas mokėjimas už visus investicijų projektus, siekiant gauti finansavimą daugiabučių namų renovacijai.</t>
  </si>
  <si>
    <t>05.03.02.</t>
  </si>
  <si>
    <t>Įgyvendinti investicijų projektus</t>
  </si>
  <si>
    <t>05.03.02.02</t>
  </si>
  <si>
    <t>Vystyti Šiaulių pramoninio  (ŠPP) ir Šiaulių laisvosios ekonominės zonos (Šiaulių LEZ) infrastruktūrą</t>
  </si>
  <si>
    <t>Iškeltų inžinerinių tinklų</t>
  </si>
  <si>
    <t>Išvalytų laisvų sklypų skaičius</t>
  </si>
  <si>
    <t>2020 m. gruodžio mėnesį išvalyti 2 Šiaulių pramoninio parko sklypai - Petro Motiekaičio g. 18 ir Petro Motiekaičio g. 20.</t>
  </si>
  <si>
    <t>2020 m.: Kadangi sklypų valymo darbus pavyko nupirkti pigiau, nei buvo planuota, skirtų lėšų likutis 9,6 tūkst. Eur perkeltas į 2021 m. inžinerinių tinklų iškėlimui.</t>
  </si>
  <si>
    <t>LEZ teritorijoje įrengti šaligatviai</t>
  </si>
  <si>
    <t>Atlikti I etapo Aviacijos gatvės šaligatvių įrengimo darbai.</t>
  </si>
  <si>
    <t>Atlikti I etapo Aviacijos gatvės šaligatvių įrengimo darbai, dalis II etapo Aviacijos gatvės šaligatvių įrengimo darbų.</t>
  </si>
  <si>
    <t>05.03.02.11</t>
  </si>
  <si>
    <t>Vystyti Šiaulių Oro uosto veiklą</t>
  </si>
  <si>
    <t>Įvykdyti specialieji aviacijos saugumo užtikrinimo įsipareigojimai</t>
  </si>
  <si>
    <t>Aviacinio saugumo funkcijos vykdomos kaip planuota, lėšos panaudotos Šiaulių oro uosto darbuotojų, vykdančių aviacinio saugumo funkcijas, darbo užmokesčio, mokymų, eksploatacinių ir komunalinių išlaidų padengimui.</t>
  </si>
  <si>
    <t>05.03.02.12</t>
  </si>
  <si>
    <t>Įrengti ekonominės veiklos centro infrastruktūrą</t>
  </si>
  <si>
    <t>Iki sklypo ribos atlikti susisiekimo ir inžinerinių komunikacijų įrengimo darbai</t>
  </si>
  <si>
    <t>Nutiestos  požeminės komunikacijos (vandentiekio tinklai apie 752 m, buitinių nuotekų tinklai apie 352 m  ir paviršinių nuotekų tinklai apie 325 m,), įrengtas apie 310 m privažiavimo kelias nuo Aviacijos gatvės iki sklypo Avaicijos g. 5, įrengta 70 vietų automobilių stovėjimo aikštelė.</t>
  </si>
  <si>
    <t>2020 m.: Dalis lėšų liko nepanaudota, kadangi vykdant darbus buvo susidurta su problemomis - riedėjimo tako "B" statybvietės pilna apimtimi neperdavimu dėl vykusių riedėjimo tako "B" nuomos sutarties pasirašymo procesų, dėl ko dalis darbų pagal sutartį persikėlė į 2021 metus. Statybos darbų rangovas AB „Panevėžio keliai“ pagal pasirašytą sutartį, darbus planavo atlikti per 42 savaites nuo statybos darbų pradžios t. y. nuo 2020-03-16 iki 2021-01-04. Dėl nurodytos priežasties, su rangovu buvo suderintas naujas darbų atlikimo grafikas. Pagal naują grafiką, statybos darbai planuojami baigti 2021-05-31. Pagal naują darbų grafiką suplanuoti darbai įvykdyti, lėšos persikelia į 2021 metus, tačiau nebuvo pakeistas reikiamų lėšų dydis, nes iki pat gruodžio mėnesio nebuvo aišku ar bus skirtos valstybės lėšos.</t>
  </si>
  <si>
    <t>Įgyvendintas perono dangos įrengimo I etapas</t>
  </si>
  <si>
    <t>Atlikti perono B pagrindų įrengimo darbai ir dalies perono asfaltavimo darbai, įrengtos g/b dangos orlaivių stovėjimo vietose, vykdyti riedėjimo tako B pagrindų įrengimo darbai ir dalies asfaltavimo darbai</t>
  </si>
  <si>
    <t>Įgyvendintas perono dangos įrengimo II etapas</t>
  </si>
  <si>
    <t>Atlikti perono apšvietimo įrengimo darbai</t>
  </si>
  <si>
    <t>Įvykdyti visi šiame etape numatyti perono apšvietimo tinklų įrengimo darbai.</t>
  </si>
  <si>
    <t>Atlikti lietaus nuotekų tinklų rekonstravimo darbai</t>
  </si>
  <si>
    <t>Atlikti visi projekte numatyti lietaus nuotekų tinklų rekonstravimo/įrengimo darbai (apie 4241 m)</t>
  </si>
  <si>
    <t>05.03.03.</t>
  </si>
  <si>
    <t xml:space="preserve">Skatinti investicijų pritraukimą </t>
  </si>
  <si>
    <t>05.03.03.02</t>
  </si>
  <si>
    <t>Viešinti investicinę aplinką</t>
  </si>
  <si>
    <t>Dalyvauta parodose</t>
  </si>
  <si>
    <t>2020 m.: Dėl COVID-19 situacijos Lietuvoje verslo ir pasiekimų paroda "Šiauliai 2020" neįvyko, todėl 6,3 tūkst. Eur nepanaudoti. Likutis perkeltas į 2021 m.</t>
  </si>
  <si>
    <t>Suorganizuota renginių</t>
  </si>
  <si>
    <t>2020 m. gegužės mėnesį ir 2020 m. gruodžio mėnesį suorganizuoti verslumo skatinimo renginiai (vebinarai) (lėšų renginiams neprireikė). 2020 m. rugsėjo 10 suorganizuota Ch. Frenkelio konferencija: "XXI a. lyderystė: iššūkiai 2020-aisiais ir po jų".</t>
  </si>
  <si>
    <t>05.03.03.04</t>
  </si>
  <si>
    <t>Parengti Ekonominės plėtros ir investicijų pritraukimo ilgalaikę strategiją</t>
  </si>
  <si>
    <t>05.03.03.05</t>
  </si>
  <si>
    <t>Pritraukti aukštos kvalifikacijos specialistus į Šiaulių miestą</t>
  </si>
  <si>
    <t>Atvykusių dirbti aukštos kvalifikacijos specialistų skaičius, kurie gavo vienkartines išmokas</t>
  </si>
  <si>
    <t>2020 m.: 2020 m. buvo pradėtas rengti Aukštos profesinės kvalifikacijos specialistų pritraukimo (skatinimo) dirbti Šiaulių miesto savivaldybės teritorijoje veikiančiose įmonėse finansinės paramos skyrimo tvarkos aprašas. Aprašo derinimas užtruko, nes ne visos suinteresuotos grupės laiku pateikė savo pasiūlymus ir pastabas. Taip pat, į LR Konkurencijos tarybą buvo kreiptasi išaiškinimo dėl nereikšmingos (de minimis) pagalbos teikimo. Dėl visų šių faktorių Aprašo parengimas vėlavo ir buvo patvirtintas 2020 m. rugsėjo mėnesį. Per likusius mėnesius buvo išplatinta informacija apie galimybę pasinaudoti parama, tačiau paraiškų nesulaukta.</t>
  </si>
  <si>
    <t>06.</t>
  </si>
  <si>
    <t>Savivaldybės turto valdymo ir privatizavimo programa</t>
  </si>
  <si>
    <t>06.01.</t>
  </si>
  <si>
    <t>Užtikrinti savivaldybei priklausančio turto efektyvų panaudojimą</t>
  </si>
  <si>
    <t>06.01.01.</t>
  </si>
  <si>
    <t>Užtikrinti Savivaldybei nuosavybės teise priklausančio turto įregistravimą viešuosiuose registruose</t>
  </si>
  <si>
    <t>Tvarkyti Savivaldybei nuosavybės teise priklausančio nekilnojamojo turto kadastrinius matavimus ir teisiškai įregistruoti turtą Nekilnojamojo turto registre</t>
  </si>
  <si>
    <t>06.01.01.01</t>
  </si>
  <si>
    <t>Tvarkyti  Savivaldybei nuosavybės teise priklausančio  nekilnojamojo turto kadastrinius matavimus ir juos teisiškai įregistruoti Nekilnojamo turto registre</t>
  </si>
  <si>
    <t>06.01.01.03</t>
  </si>
  <si>
    <t>Padengti išlaidas, susijusias su Privatizavimo programos vykdymu</t>
  </si>
  <si>
    <t>Padengtos išlaidos</t>
  </si>
  <si>
    <t>Nekilnojamųjų daiktų parengimas privatizavimui (kadastro duomenų tikslinimas, turto vertinimo išlaidos ir kt.)</t>
  </si>
  <si>
    <t>2020 m.: Apmoka už privatizuojamų objektų turto vertinimą, notaro išlaidas. Lėšos naudojamos pagal poreikį.
Per  2020 m. parduoti 7 objektai (Kanapių g. 1 - du garažai, dirbtuvės Radviliškio g. 118 ir 4 butai, kurie netinkami gyventi.) Už pastatus gauta 59 968,03 Eur ir už žemės sklypus - 26 188,52 Eur.</t>
  </si>
  <si>
    <t>06.01.01.04</t>
  </si>
  <si>
    <t>Drausti sukurtą materialųjį turtą</t>
  </si>
  <si>
    <t>Apdraustų objektų</t>
  </si>
  <si>
    <t>06.01.01.05</t>
  </si>
  <si>
    <t>Investuoti Savivaldybės turtą</t>
  </si>
  <si>
    <t>06.01.02.</t>
  </si>
  <si>
    <t>Tinkamai eksploatuoti, remontuoti ir naudoti Savivaldybei priklausančius pastatus</t>
  </si>
  <si>
    <t>06.01.02.03</t>
  </si>
  <si>
    <t>Apmokėti Savivaldybei nuosavybės teise priklausančių negyvenamųjų patalpų, pastatų  komunalinių, pastatų apsaugos ir remonto išlaidas</t>
  </si>
  <si>
    <t>Apmokėtos eksploatavimo išlaidos</t>
  </si>
  <si>
    <t>06.01.02.10</t>
  </si>
  <si>
    <t>Apmokėti paviršinių (lietaus) nuotekų ir miesto apšvietimo tinklų  kadastrinių matavimų, teisinės registracijos ir turto vertinimo paslaugas</t>
  </si>
  <si>
    <t>Apmokėtos turto vertinimo išlaidos</t>
  </si>
  <si>
    <t>06.01.02.13</t>
  </si>
  <si>
    <t>Įgyvendinti projektą „Kraštovaizdžio būklės gerinimas Šiaulių mieste“</t>
  </si>
  <si>
    <t>Nugriautų pastatų</t>
  </si>
  <si>
    <t>Finansavimo sutartis sudaryta 2020 m. pabaigoje, įvykdytas viešasis pirkimas reikalingas veiklai įgyvendinti, tačiau veiklos įvykdyti ir už ją atsiskaityti nespėta.</t>
  </si>
  <si>
    <t>06.01.03.</t>
  </si>
  <si>
    <t>Modernizuoti ir atnaujinti esamą miesto gyvenamąjį fondą</t>
  </si>
  <si>
    <t>06.01.03.04</t>
  </si>
  <si>
    <t>Kompensuoti daugiabučių namų savininkų bendrijų steigimo išlaidas</t>
  </si>
  <si>
    <t>Padengtos   steigimo išlaidas</t>
  </si>
  <si>
    <t>Apmokėtos daugiabučio gyvenamojo namo Radviliškio g. 66 bendrijos steigimo išlaidos</t>
  </si>
  <si>
    <t>2020 m.: Apmokama už bendrijų steigimo dokumentus (notaro išlaidas, bendrijos įregistravimą Registrų centre). Lėšos naudojamos  pagal poreikį.  Per 2020 m. įsisteigė 4 namų bendrijos ( Radviliškio g. 92, Korsako g. 53, Aukštabalio g. 12 ir Radviliškio g. 100).</t>
  </si>
  <si>
    <t>07.</t>
  </si>
  <si>
    <t>Sporto plėtros programa</t>
  </si>
  <si>
    <t>Sporto skyrius</t>
  </si>
  <si>
    <t>07.01.</t>
  </si>
  <si>
    <t>Plėtoti aukšto meistriškumo sportininkų rengimo sistemą</t>
  </si>
  <si>
    <t>07.01.01.</t>
  </si>
  <si>
    <t>Organizuoti nacionalinio ir tarptautinio lygmens sporto renginius ir sudaryti galimybę sportininkams deramai pasirengti bei dalyvauti sporto varžybose</t>
  </si>
  <si>
    <t>07.01.01.02</t>
  </si>
  <si>
    <t>Vykdyti miesto, apskrities, šalies ir tarptautinius sporto renginius bei pasirengti ir dalyvauti šalies ir tarptautinėms varžyboms (Baltijos, Europos ir pasaulio čempionato varžyboms,kompleksiniams renginiams ir kt.)</t>
  </si>
  <si>
    <t>Sportininkų, dalyvaujančių šalies varžybose</t>
  </si>
  <si>
    <t>sk.</t>
  </si>
  <si>
    <t>2 500,00</t>
  </si>
  <si>
    <t>2 550,00</t>
  </si>
  <si>
    <t>Duomenys pateikti biudžetinių sporto įstaigų bei kitų Šiaulių miesto sporto organizacijų, kurioms buvo skirtas dalinis finansavimas iš Sporto plėtros programos ( 34 sporto šakų dalyviai).</t>
  </si>
  <si>
    <t>Surengtų sporto renginių dalyvių</t>
  </si>
  <si>
    <t>40 000,00</t>
  </si>
  <si>
    <t>41 000,00</t>
  </si>
  <si>
    <t>43 000,00</t>
  </si>
  <si>
    <t>Renginiuose dalyvavo 14 399 dalyviai (pagal  17 sporto organizacijų pateiktus duomenis).</t>
  </si>
  <si>
    <t>Šalies varžybose laimėta 1–3 vietų</t>
  </si>
  <si>
    <t>720,00</t>
  </si>
  <si>
    <t>725,00</t>
  </si>
  <si>
    <t>Pagal Savivaldybės biudžetinių sporto įstaigų bei kitų Šiaulių miesto sporto organizacijų, kurioms buvo skirtas finansavimas ir Savivaldybės biudžeto, pateiktus duomenis. Laimėjimai pasiekti 34 sporto šakose.</t>
  </si>
  <si>
    <t>Finansuotas neįgaliųjų sporto organizacijų projektų</t>
  </si>
  <si>
    <t>Finansuotos šios neįgaliųjų sporto organizacijos: 1. Žmonių su fizine negalia sporto klubas „Entuziastas“; 2. Šiaulių kurčiųjų klubas „Aidas“; 3. Šiaulių miesto aklųjų ir silpnaregių sporto klubas „Perkūnas“; 4. Šiaulių miesto neįgaliųjų sporto klubas „Šiaulietis“; 5. VšĮ ‚Sielos harmonija“; 6. Asociacija „Olimpikas“; 7. Asociacija „Šiaulių lietaus vaikai“.</t>
  </si>
  <si>
    <t>Sportininkų, dalyvaujančių tarptautinėse varžybose</t>
  </si>
  <si>
    <t>140,00</t>
  </si>
  <si>
    <t>145,00</t>
  </si>
  <si>
    <t>9 sporto organizacijų sportininkai vyko į tarptautines varžybas.</t>
  </si>
  <si>
    <t>Surengtų sporto renginių</t>
  </si>
  <si>
    <t>1 500,00</t>
  </si>
  <si>
    <t>1 550,00</t>
  </si>
  <si>
    <t>Renginius vykdė 17 sporto organizacijų.</t>
  </si>
  <si>
    <t>Europos čempionate iškovotų 1–6 vietų ir pasaulio čempionate, taurės varžybose iškovotų 1–10 vietų</t>
  </si>
  <si>
    <t>62,00</t>
  </si>
  <si>
    <t>65,00</t>
  </si>
  <si>
    <t>7 Sporto centro „Atžalynas" sportininkai: 1. Danutė Domikaitytė; 2. Nomeda Nazerenkaitė; 3. Laura Linkutė; 4. Rūta Mažunavičiūtė; 5. Rojus Stankevičius; 6. Rimvydas Mažunavičius; 7. Greta Kalinauskaitė.</t>
  </si>
  <si>
    <t>07.01.01.06</t>
  </si>
  <si>
    <t>Pasirengti ir dalyvauti Lietuvos čempionato ir sporto šakų federacijų taurė, Baltijos lygos ir taurės laimėtojų, Europos taurės ir kitose oficialiose (žaidimų komandų jaunimo ir suaugusiųjų amžiaus grupė)</t>
  </si>
  <si>
    <t>Komandų, dalyvaujančių tarptautinėse varžybose</t>
  </si>
  <si>
    <t>Oficialiose tarptautinėse varžybose dalyvavo šios komandos: 1. Šiaulių moterų futbolo komanda „Gintra-Universitetas“; 2. Šiaulių vyrų regbio komanda „Šiauliai“ ; 3.Šiaulių vyrų regbio komanda „Vairas-Kalvis-Šiauliai“; 4. Šiaulių regbio komanda „Baltrex-Šiauliai“; 5. Šiaulių moterų žolės riedulio komanda „Gintra-Strektė-ŠSG“</t>
  </si>
  <si>
    <t>Komandų, dalyvaujančių šalies varžybose</t>
  </si>
  <si>
    <t>Čempionatuose dalyvavo šios komandos: 1. Šiaulių regbio komanda „Baltrex-Šiauliai“; 2. Šiaulių vyrų regbio komanda „Vairas-Kalvis-Šiauliai“; 3.  Šiaulių moterų futbolo komanda „Gintra-Universitetas“ ; 4. Šiaulių moterų žolės riedulio komanda „Gintra-Strektė-ŠSG“ ; 5. Šiaulių vyrų žolės riedulio komanda „Ginstrektė“; 6. Šiaulių vyrų tinklinio komanda „Elga-MasterIdea / SC Dubysa; 7. Šiaulių vyrų rankinio komanda „Dubysa“; 8. Šiaulių moterų rankinio komanda „Dubysa-Porigida“; 9. Šiaulių moterų krepšinio komanda „Šiauliai“; 10. Šiaulių vyrų regbio komanda „Šiauliai“ 11. Šiaulių vyrų krepšinio komanda „Šiauliai“</t>
  </si>
  <si>
    <t>Tarptautinėse varžybose laimėta 1–3 vietų</t>
  </si>
  <si>
    <t>Oficialiuose tarptautinėse varžybose laimėjo 1–3 vietą šie klubai: 1. Šiaulių regbio komanda „Baltrex-Šiauliai“ - 1 v.; 2. Šiaulių vyrų regbio komanda „Vairas-Kalvis-Šiauliai“ - 3 v.</t>
  </si>
  <si>
    <t>Lietuvos čempionato varžybose laimėta 1–3 vietų</t>
  </si>
  <si>
    <t>Šalies čempionatuose prizines vietas laimėjo šios komandos: 1. Šiaulių regbio komanda „Baltrex-Šiauliai“ - 1 v.; 2. Šiaulių vyrų regbio komanda „Vairas-Kalvis-Šiauliai“ - 3 v.; 3.  Šiaulių moterų futbolo komanda „Gintra-Universitetas“ - 1 v.; 4. Šiaulių moterų žolės riedulio komanda „Gintra-Strektė-ŠSG“ - 1 v.; 5. Šiaulių vyrų žolės riedulio komanda „Ginstrektė“ - 3 v.</t>
  </si>
  <si>
    <t>07.01.01.08</t>
  </si>
  <si>
    <t>Įgyvendinti Šiaulių miesto reprezentacinių renginių programą</t>
  </si>
  <si>
    <t>3 000,00</t>
  </si>
  <si>
    <t>3 500,00</t>
  </si>
  <si>
    <t>4 surengtuose reprezentaciniuose renginiuose dalyvavo 1482 dalyviai.</t>
  </si>
  <si>
    <t>Surengtų sporto renginių žiūrovų</t>
  </si>
  <si>
    <t>95 000,00</t>
  </si>
  <si>
    <t>98 000,00</t>
  </si>
  <si>
    <t>4 surengtuose reprezentaciniuose renginiuose dalyvavo 20 272 žiūrovai (pagal reprezentacinių renginių vykdytojų pateiktus duomenis).</t>
  </si>
  <si>
    <t>Surengti miestą reprezentuojantys sporto renginiai</t>
  </si>
  <si>
    <t>Įvyko šie reprezentaciniai renginiai: 1. Tarptautinės sportinių šokių varžybos „Sun City Cup"; 2. UEFA moterų čempionų lyga ir Moterų futbolo Baltijos lyga; 3. Lietuvos krepšinio lyga ir Karaliaus Mindaugo Taurė; 4. DAVIS CUP</t>
  </si>
  <si>
    <t>07.01.04.</t>
  </si>
  <si>
    <t>Skatinti perspektyvius ir didelio meistriškumo sportininkus</t>
  </si>
  <si>
    <t>07.01.04.01</t>
  </si>
  <si>
    <t>Skirti metines premijas (stipendijas) perspektyviausiems sportininkams.</t>
  </si>
  <si>
    <t>Premijų (stipendijų), skirtų sportininkams</t>
  </si>
  <si>
    <t>Metinės premijos (stipendijos) skirtos šiems sportininkams: 1. Danutei Domikaitytei; 2. Kamilei Gaučaitei; 3. Klaudijai Tvaronavičiūtei; 4. Andriui Skujai; 5. Dovilei Kilty; 6. Edgarui Abromavičiui; 7. Santai Pakenytei; 8. Eglei Balčiūnaitei; 9. Aurimui Lankui; 10. Edvinui Ramanauskui.</t>
  </si>
  <si>
    <t>07.01.04.03</t>
  </si>
  <si>
    <t>Skatinti sportininkus ir trenerius laimėjusius aukštas vietas tarptautinės varžybose.</t>
  </si>
  <si>
    <t>Paskatintų sportininkų dalis nuo bendro meistriškumo ugdymo, meistriškumo tobulinimo ir aukšto meistriškumo grupes lankančių skaičiaus</t>
  </si>
  <si>
    <t>2020 m. gruodžio 17  d. įsakymu Nr. A-1819 premijos skirtos 2 sportininkams: Danutei Domikaitytei, Europos moterų imtynių čempionato 3 vietos laimėtojai;  Justui Poliakui, Europos čempionato 1 vietos laimėtojui .</t>
  </si>
  <si>
    <t>Paskatintų trenerių dalis nuo bendro trenerių skaičiaus</t>
  </si>
  <si>
    <t>10,50</t>
  </si>
  <si>
    <t>2020 m. gruožio 17  d. įsakymu Nr. A-1819 premijos skirtos 3 treneriams:  Aivarui Kaseliui, Danutės Domikaitytės treneriui; Andriui Stočkui, Danutės Domikaitytės treneriui; Arūnui Vandžiui, Justo Poliako treneriui.</t>
  </si>
  <si>
    <t>07.01.05.</t>
  </si>
  <si>
    <t>Užtikrinti optimalų  sporto įstaigų prieinamumą ir paslaugų įvairovę</t>
  </si>
  <si>
    <t>07.01.05.01</t>
  </si>
  <si>
    <t>Plėtoti sportininkų rengimo centrų veiklą</t>
  </si>
  <si>
    <t>Teikiančių paslaugas sporto įstaigų</t>
  </si>
  <si>
    <t>Finansuotos šios sporto paslaugas teikiančios įstaigos: 1. Šiaulių sporto centras „Atžalynas"; 2. Šiaulių sporto centras „Dubysa"; Šiaulių plaukimo centras „Delfinas"; 4. Lengvosios atletikos ir sveikatingumo centras; 5. Regbio ir žolės riedulio akademija; 6 . Šiaulių teniso akademija; 7. VšĮ futbolo akademija „Šiauliai"; 8. VšĮ krepšinio akademija „Saulė".</t>
  </si>
  <si>
    <t>Rengiamų sportininkų sporto įstaigose dalis nuo bendro bendrojo ugdymo mokyklose besimokančių skaičiaus</t>
  </si>
  <si>
    <t>20,50</t>
  </si>
  <si>
    <t>21,00</t>
  </si>
  <si>
    <t>Šiaulių miesto biudžetines sporto įstaigose buvo rengiami  2791 sportininkai.</t>
  </si>
  <si>
    <t>Įgyvendintos futbolo ir krepšinio plėtros programos ir rengiamų sportininkų pagal šias programas dalis nuo bendro bendrojo ugdymo mokyklose besimokančių mokinių skaičiaus</t>
  </si>
  <si>
    <t>9,50</t>
  </si>
  <si>
    <t>VšĮ futbolo akademijoje  „Šiauliai" buvo rengiami  - 690 sportininkai, o VšĮ krepšinio akademijoje „Saulė" - 536 sportininkai, o Švietimo skyriaus duomenimis Šiaulių miesto bendrojo ugdymo įstaigas lankė 13796 mokiniai.</t>
  </si>
  <si>
    <t>Komandų dalyvaujančių LFF II, I ir A lygos varžybose</t>
  </si>
  <si>
    <t>LFF  I lygos varžybose dalyvauja vyrų futbolo komanda „FA ŠIAULIAI", o LFF II lygos varžybose dalyvauja SG-FA „ŠIAULIAI B".</t>
  </si>
  <si>
    <t>07.02.</t>
  </si>
  <si>
    <t>Atnaujinti ir plėsti sporto objektų infrastruktūrą mieste ir sutvarkyti viešąsias erdves, sudarant sąlygas plėtoti sportą ir rekreaciją</t>
  </si>
  <si>
    <t>07.02.01.</t>
  </si>
  <si>
    <t>Statyti naujas sporto bazes ir statinius</t>
  </si>
  <si>
    <t>07.02.01.01</t>
  </si>
  <si>
    <t>Pastatyti sporto kompleksą (futbolo ir regbio maniežą) Dainų parke</t>
  </si>
  <si>
    <t>Parengtas techninis projektas</t>
  </si>
  <si>
    <t>Atlikta darbų</t>
  </si>
  <si>
    <t>07.02.01.02</t>
  </si>
  <si>
    <t>Pastatyti irklavimo sporto bazę (Žvyro g. 34)</t>
  </si>
  <si>
    <t>Atlikti II etapo statybos darbai (pastatytas pastatas), atlikta darbų</t>
  </si>
  <si>
    <t>Atlikti I etapo statybos darbai (pastatytas elingas valtims laikyti (1 x 1000)), atlikta darbų,</t>
  </si>
  <si>
    <t>07.02.01.03</t>
  </si>
  <si>
    <t>Pastatyti pastatą prie regbio stadiono ir įrengti tribūnas (Gardino g. 14)</t>
  </si>
  <si>
    <t>Įrengtas apšvietimas, praplatinta regbio aikštė ir sutvarkyta infrastruktūra</t>
  </si>
  <si>
    <t>07.02.01.04</t>
  </si>
  <si>
    <t>Įrengti futbolo aikštę (Kviečių g. 9)</t>
  </si>
  <si>
    <t>Aptvertas stadionas, įrengtas apšvietimas ir sutvarkyta infrastruktūra, atlikta darbų proc.</t>
  </si>
  <si>
    <t>07.02.01.06</t>
  </si>
  <si>
    <t>Suprojektuoti ir pastatyti buriavimo elingą prie Rėkyvos ežero</t>
  </si>
  <si>
    <t>07.02.01.07</t>
  </si>
  <si>
    <t>Įrengti universalios dirbtinės dangos sporto aikštelę</t>
  </si>
  <si>
    <t>Atlikti aikštės įrengimo darbai (įrengtas pagrindas dirbtinės dangos aikštei pakloti, paklota dirbtinės dangos aikštė)</t>
  </si>
  <si>
    <t>Atlikti aikštės įrengimo darbai (įrengtas pagrindas dirbtinės dangos aikštei pakloti, paklota dirbtinės dangos aikštė).</t>
  </si>
  <si>
    <t>07.02.02.</t>
  </si>
  <si>
    <t>Renovuoti ir remontuoti pagal prioritetus atrinktas sporto bazes</t>
  </si>
  <si>
    <t>07.02.02.03</t>
  </si>
  <si>
    <t>Modernizuoti plaukimo centro „Delfinas" (Ežero 11A) pastatą.</t>
  </si>
  <si>
    <t>07.02.02.07</t>
  </si>
  <si>
    <t>Renovuoti lengvosios atletikos takus ir sektorius  miesto stadione (Daukanto g. 23)</t>
  </si>
  <si>
    <t>Pakeista Šiaulių miesto stadiono bėgimo takų danga, sutvarkyti lietaus surinkimo latakai, aptverti stadiono takai tvorele, atlikta darbų proc.</t>
  </si>
  <si>
    <t>07.02.02.13</t>
  </si>
  <si>
    <t>Suremontuoti Šiaulių m. stadiono administracinį pastatą ir tribūnas (S. Daukanto g. 23)</t>
  </si>
  <si>
    <t>Pakeista A ir D tribūnų danga, vnt./ atlikta darbų</t>
  </si>
  <si>
    <t>07.02.03.</t>
  </si>
  <si>
    <t>Modernizuoti esamas sporto bazes</t>
  </si>
  <si>
    <t>07.02.03.06</t>
  </si>
  <si>
    <t>Modernizuoti plaukimo centro „Delfinas" pastatą (Dainų g. 33A)</t>
  </si>
  <si>
    <t>Atlikti modernizavimo darbai (apšiltintas fasadas ir dalis stogo, cokolis), atlikta darbų proc.</t>
  </si>
  <si>
    <t>07.03.</t>
  </si>
  <si>
    <t>Formuoti bendruomenės narių sveiką gyvenseną ir jos kultūrą</t>
  </si>
  <si>
    <t>07.03.01.</t>
  </si>
  <si>
    <t>Sudaryti sąlygas formuoti kūno kultūros įgūdžius ir teigiamą požiūrį į jos reikšmę sveikatai, fiziniam pajėgumui ir užimtumui</t>
  </si>
  <si>
    <t>07.03.01.02</t>
  </si>
  <si>
    <t>Mokyti vaikus plaukti ir saugiai elgtis vandenyje ir prie vandens</t>
  </si>
  <si>
    <t>Išmokytų plaukti vaikų dalis nuo bendro 1–4 klasių mokinių skaičiaus Šiaulių m. mokyklose</t>
  </si>
  <si>
    <t>Plaukimo įgūdžių pagrindai buvo suteikti 753 mokiniams. Švietimo skyriaus duomenimis Šiaulių mieste mokėsi 4563 1-4 klasių mokiniai.</t>
  </si>
  <si>
    <t>07.03.02.</t>
  </si>
  <si>
    <t>Siekti rezultatyvios kūno kultūros ir sporto plėtros didinant socialinę sporto funkciją, sudarant palankią aplinką gyventojų sveikatai stiprinti ir darbingumui gerinti</t>
  </si>
  <si>
    <t>07.03.02.01</t>
  </si>
  <si>
    <t>Skatinti fizinio aktyvumo veiklas</t>
  </si>
  <si>
    <t>Sportinėje veikloje dalyvaujančių dalis nuo bendro Šiaulių m.  gyventojų skaičiaus proc.</t>
  </si>
  <si>
    <t>11,50</t>
  </si>
  <si>
    <t>Pagal 12 Šiaulių miesto sporto organizacijų veiklos ataskaitose pateiktus duomenis, fizinio aktyvumo veiklose dalyvavo 6000 asmenų. 2020-01-01  bendras Šiaulių mieste gyventojų skaičius  buvo 101 511.</t>
  </si>
  <si>
    <t>07.03.02.07</t>
  </si>
  <si>
    <t>Pritaikyti miesto viešąsias erdves sveikos gyvensenos ir laisvalaikio poreikiams tenkinti</t>
  </si>
  <si>
    <t>Parengtas interaktyvus laisvalaikio zonų žemėlapis</t>
  </si>
  <si>
    <t>Įgyvendintas Rėkyvos ežero pakrantės pritaikymo jėgos aitvarų ir burlenčių turizmo reikmėms projekto I etapas</t>
  </si>
  <si>
    <t>Parengtas projektas ir įrengtas disgolfo parkas, atlikta darbų</t>
  </si>
  <si>
    <t>07.03.02.08</t>
  </si>
  <si>
    <t>Įrengti vandens transporto nuleidimo vietą į Rėkyvos ežerą</t>
  </si>
  <si>
    <t>Parengtas projektas ir įrengtas disgolfo parkas, atlikta darbų proc.</t>
  </si>
  <si>
    <t>Parengtas interaktyvus laisvalaikio zonų žemėlapis vnt.</t>
  </si>
  <si>
    <t>Įrengtas vandens transporto nuleidimo vieta į Rėkyvos ežerą, vietų sk.</t>
  </si>
  <si>
    <t>08.</t>
  </si>
  <si>
    <t>Švietimo prieinamumo ir kokybės užtikrinimo programa</t>
  </si>
  <si>
    <t>Švietimo skyrius</t>
  </si>
  <si>
    <t>08.01.</t>
  </si>
  <si>
    <t>Gerinti švietimo prieinamumą ir tobulinti valdymą</t>
  </si>
  <si>
    <t>08.01.01.</t>
  </si>
  <si>
    <t>Pristatyti švietimo veiklą, atstovauti miestui ir plėtoti vaikų ugdymo įvairovę</t>
  </si>
  <si>
    <t>08.01.01.01</t>
  </si>
  <si>
    <t>Atstovauti miestui, pristatyti švietimo veiklą, organizuoti renginius</t>
  </si>
  <si>
    <t>Tradicinių mokytojų ir mokinių renginių</t>
  </si>
  <si>
    <t>Įteikta premijų ,,Metų mokytojas“</t>
  </si>
  <si>
    <t>Dešimčiai miesto mokytojų įteiktos ,,Metų mokytojo“ premijos.</t>
  </si>
  <si>
    <t>Švietimo bendruomenės organizuotų reprezentacinių miesto renginių</t>
  </si>
  <si>
    <t>Organizuojami renginiai: Šiaulių prekybos, pramonės ir amatų rūmų - ,,Šiauliai Smart“, Kultūros centro -  „Aušrinė žvaigždė“, Šiaulių valstybinės kolegijos -  „Tavo PIN kodas“ ir Krikščioniškų šeimų šventė.</t>
  </si>
  <si>
    <t>Olimpiadų dalyvių</t>
  </si>
  <si>
    <t>08.01.01.02</t>
  </si>
  <si>
    <t>Sukurti skaitmenines mokymosi aplinkas bendrojo ugdymo mokyklose</t>
  </si>
  <si>
    <t>Sukurtos skaitmeninės mokymosi aplinkos (2020-2023 m.), įvykdyti mokymai bei konsultacijos mokytojams ir mokyklos administracijai (2020-2021 m.), mokyklų skaičius</t>
  </si>
  <si>
    <t>32,00</t>
  </si>
  <si>
    <t>Sukurtos ir naudojamos skaitmeninės mokymosi aplinkos 32 bendrojo ugdymo mokyklose.</t>
  </si>
  <si>
    <t>08.01.02.</t>
  </si>
  <si>
    <t>Tobulinti švietimo valdymą ir tenkinti gyventojų švietimo poreikius.</t>
  </si>
  <si>
    <t>08.01.02.02</t>
  </si>
  <si>
    <t>Užtikrinti neformaliojo švietimo elektroninės apskaitos sistemos funkcionavimą ir internetinių mokymo priemonių panaudojimą</t>
  </si>
  <si>
    <t>Įstaigų objektai, kuriuose įdiegta ir atnaujinta, veikianti apskaitos sistema</t>
  </si>
  <si>
    <t>24 objektuose įdiegta ir veikia neformaliojo švietimo elektroninė apskaitos sistema.</t>
  </si>
  <si>
    <t>Nevalstybinių švietimo įstaigų ir laisvųjų mokytojų įgyvendinamų neformaliojo vaikų švietimo programų</t>
  </si>
  <si>
    <t>Nevalstybinių švietimo įstaigų ir laisvųjų mokytojų įgyvendinamas neformaliojo vaikų švietimo programas lankė 1958 miesto vaikai.</t>
  </si>
  <si>
    <t>Lietuvių autorių ir knygų lietuvių kalba mokyklinio amžiaus skaitytojams duomenų bazės prenumerata</t>
  </si>
  <si>
    <t>Užprenumeruota ir naudojama lietuvių autorių ir knygų lietuvių kalba mokyklinio amžiaus skaitytojams duomenų bazė.</t>
  </si>
  <si>
    <t>08.01.02.03</t>
  </si>
  <si>
    <t>Vykdyti suaugusiųjų neformaliojo švietimo programas</t>
  </si>
  <si>
    <t>Programos dalyvių skaičius</t>
  </si>
  <si>
    <t>2020 m. vykdytos 4 programos: ,,Komunikacija anglų kalba darbo aplinkoje", Dailės pažinimo edukacinė programa suaugusiems "Paletė", Menojos studija, Kūrybinė studija suaugusiems</t>
  </si>
  <si>
    <t>08.01.02.04</t>
  </si>
  <si>
    <t>Vykdyti Šiaulių miesto savivaldybės, jos teritorijoje veikiančių aukštųjų mokyklų, Šiaulių profesinio rengimo centro ir švietimo įstaigų bendradarbiavimo programas</t>
  </si>
  <si>
    <t>Švietimo bendruomenės renginių ir mokinių eksperimentinių tyrimų ugdymo poreikiams sukurtų lauko edukacinių erdvių</t>
  </si>
  <si>
    <t>Šiaulių universiteto programa ,,Gamtos dėsnių pažinimas augalų apsuptyje“ (Botanikos sodas).</t>
  </si>
  <si>
    <t>INOSTART programų</t>
  </si>
  <si>
    <t>"Konkurso būdu atrinktos ir vykdytos 4 programos:   ŠU „Automatinė ruošinio aptikimo sistema robotinėms celėms
ŠVK „Gaminio darbo laiko apskaitos sistemos, naudojančios RFID žymenis, projektavimas ir diegimas“
ŠU „Bevielių mažos galios (IoT) tinklų panaudojimas logistinių procesų valdymo ir kontrolės procesuose“
ŠVK „Siuvimo įmonės gamybos duomenų įvedimo ir sprendimų automatizavimas“"</t>
  </si>
  <si>
    <t>STEAM  ir STEAM JUNIOR programos grupių</t>
  </si>
  <si>
    <t>190,00</t>
  </si>
  <si>
    <t>Studijų parama, studentų</t>
  </si>
  <si>
    <t>31,00</t>
  </si>
  <si>
    <t>2 studentai - Šiaulių Valstybinės kolegijos, 1 mokinys - Šiaulių profesinio rengimo centro, 19 studentų - Šiaulių universiteto.</t>
  </si>
  <si>
    <t>Inžinerijos ir informatikos mokslų krypties studijų Šiaulių mieste parama, skatinamųjų stipendijų (+2 užsienio dėstytojų vizitai)</t>
  </si>
  <si>
    <t>1 dėstytojas Šiaulių Universitete ir 
1 Šiaulių Valstybinėje Kolegijoje iš Lenkijos, 1 skatinamoji stipendija</t>
  </si>
  <si>
    <t>STEAM renginių ir varžybų</t>
  </si>
  <si>
    <t>2020 m. vyko tarptautinė STEAM konferencija.</t>
  </si>
  <si>
    <t>Viešųjų ryšių akcijos „Šiauliai – sėkmingos karjeros miestas“ priemonių</t>
  </si>
  <si>
    <t>Facebook paskyra "Šiauliai – karjeros miestas", STEAM pažymėjimai, viešinimas žiniasklaidoje.</t>
  </si>
  <si>
    <t>Ankstyvojo profesinio informavimo programos"OPA" pradinių klasių mokiniams įgyvendinimas</t>
  </si>
  <si>
    <t>Sukurtas Ankstyvojo profesinio orientavimo ,,OPA" aprašas, mokyklos pasirinko programų užsiėmimus.</t>
  </si>
  <si>
    <t>2020 m.: 2020 m.: Dėl Covid-19 situacijos programa neįgyvendinta.</t>
  </si>
  <si>
    <t>Šiaulių miesto savivaldybės ir jos teritorijoje veikiančių aukštųjų mokyklų bendradarbiavimo programų</t>
  </si>
  <si>
    <t>2020 m .įvykdytos programos: Šiaulių valstybinė kolegija ,,Šiaulių miesto aukšto meistriškumo atletų funkcinio ištyrimo sistema“ ir ,,Šiaulių kultūros centro patalpų užimtumo valdymo sistemos sukūrimas, Šiaulių universitetas „Gamtos mokslai, technologijos, inžinerija, menai, matematika (STEAM): ugdymas lyderystei“.</t>
  </si>
  <si>
    <t>08.02.</t>
  </si>
  <si>
    <t>Užtikrinti bendrųjų ir specialiųjų ugdymo programų įgyvendinimą, kokybiškos pagalbos mokiniams, jų tėvams ir mokytojams teikimą</t>
  </si>
  <si>
    <t>08.02.01.</t>
  </si>
  <si>
    <t>Įgyvendinti bendrąsias ir specialiąsias ugdymo programas, teikti pagalbą mokiniams, jų tėvams ir mokytojams</t>
  </si>
  <si>
    <t>08.02.01.01</t>
  </si>
  <si>
    <t>Finansuoti švietimo įstaigų veiklą (ML 98 % + SB)</t>
  </si>
  <si>
    <t>Suformatuotų, atspausdintų ir išduotų naujų elektroninių mokinio pažymėjimų</t>
  </si>
  <si>
    <t>5 500,00</t>
  </si>
  <si>
    <t>2020 m.  išduota 5400 naujų elektroninių mokinio pažymėjimų.</t>
  </si>
  <si>
    <t>Švietimo centras</t>
  </si>
  <si>
    <t>Vidutiniškai vienam mokiniui tenkantis plotas</t>
  </si>
  <si>
    <t>12,40</t>
  </si>
  <si>
    <t>Mokyklų patalpų plotas 166506,19 kv. m. : 13349 mok. Vienam mokiniui tenka 12,47 kvadratiniai metrai.</t>
  </si>
  <si>
    <t>Pedagoginę psichologinę pagalbą teikianti tarnyba</t>
  </si>
  <si>
    <t>1.03.</t>
  </si>
  <si>
    <t>Įstaigų, kuriose įsteigti karjeros specialisto etatai</t>
  </si>
  <si>
    <t>27,00</t>
  </si>
  <si>
    <t>Karjeros specialistų etatai įsteigti 26 bendrojo ugdymo mokyklose ir Šiaulių miesto Švietimo centre.</t>
  </si>
  <si>
    <t>300,00</t>
  </si>
  <si>
    <t>,,Kultūros krepšelis“ edukaciniams užsiėmimams Šiaulių regiono muziejuose ir kitose kultūros įstaigose, mokinių</t>
  </si>
  <si>
    <t>12 700,00</t>
  </si>
  <si>
    <t>,,Kultūros krepšelis“ edukaciniams užsiėmimams Šiaulių regiono muziejuose ir kitose kultūros įstaigose buvo skirta 63,2 tūkst. eurų (12643 mokiniai* 5 eurų).</t>
  </si>
  <si>
    <t>Įstaigų, kuriose įrengtas išmanusis šildymas ir elektra</t>
  </si>
  <si>
    <t>Išmanusis šildymas įrengtas 62 Šiaulių miesto biudžetinėse įstaigose.</t>
  </si>
  <si>
    <t>Bendrojo ugdymo mokyklų</t>
  </si>
  <si>
    <t>Mieste veikia 32 bendrojo ugdymo mokyklos.</t>
  </si>
  <si>
    <t>Miesto bendrojo ugdymo mokyklose mokinių</t>
  </si>
  <si>
    <t>Miesto bendrojo ugdymo mokyklose 2020-09-01 mokėsi 12989 mokiniai.</t>
  </si>
  <si>
    <t>Mokinių, lankančių IT, robotikos, inžinerijos neformaliojo ugdymo būrelius, dalis</t>
  </si>
  <si>
    <t>IT, robotikos, inžinerijos neformaliojo ugdymo būrelius lanko apie 10 procentų bendrojo ugdymo mokyklų mokinių.</t>
  </si>
  <si>
    <t>08.02.01.02</t>
  </si>
  <si>
    <t>Egzaminų vykdytojų ir vertintojų skaičius</t>
  </si>
  <si>
    <t>2020 m. brandos egzaminus buvo pasirinkę laikyti 988 Šiaulių miesto savivaldybei pavaldžių įstaigų abiturientai, 25 – Šiaulių Sauliaus Sondeckio menų gimnazijos, 239 – Šiaulių profesinio rengimo centro, 38 eksternai ir 16 buvusių mokinių (iš viso 1306 kandidatai.)
Šiaulių miesto abiturientai laikė valstybinius anglų k., matematikos, lietuvių kalbos ir literatūros, istorijos, biologijos, fizikos, informacinių technologijų, chemijos, geografijos, rusų k. valstybinius brandos egzaminus ir mokyklinius lietuvių kalbos ir literatūros, gimtosios kalbos (rusų), muzikologijos, menų ir technologijų mokyklinius brandos egzaminus.
Lietuvių kalbos valstybinį brandos egzaminą laikė 73,9 proc. Šiaulių miesto abiturientų, matematikos – 64,2 proc., anglų k. – 78,8 proc., biologijos - 20,1 proc., chemijos – 1,8 proc., fizikos –  6,6 proc., istorijos – 37,1 proc., geografijos – 6,1 proc., informacinių technologijų – 9,7 proc. (duomenys be eksternų ir buvusių mokinių).
Brandos darbą parengė 4 abiturientai (2 biologijos, 1 istorijos, 1 informacinių technologijų).
Mokyklinių egzaminų kandidatų darbams vertinti buvo sudaryta virš 20 komisijų, kurių darbui vadovavo komisijų pirmininkai, kandidatų darbus vertino virš 60 vertintojų.
Valstybiniams egzaminams vykdyti buvo sudarytas 71 brandos egzaminų vykdymo centras, kuriuose egzaminus vykdė 71 vyresnysis vykdytojas, 71 administratorius, apie 730 vykdytojų.
Vykdant 2020 m. brandos egzaminus, vertinant mokyklinių brandos egzaminų kandidatų darbus dalyvavo vyresnieji vykdytojai, administratoriai, vykdytojai, vertinimo komisijų pirmininkai, vertinimo komisijų nariai, darbų vadovai (iš viso apie 970 asmenų).</t>
  </si>
  <si>
    <t>Įstaigų, kurioms skirtos valstybės vardu pasiskolintos lėšos visuomenės psichikos sveikatai mažinimo veiksmų plane numatytoms veikloms finansuoti</t>
  </si>
  <si>
    <t>2020 m. IV ketvirtyje skirtos Valstybės vardu pasiskolintos lėšos ne ilgesniam nei 2 mėn. laikotarpiui ir ne didesnėms nei 30 % priemokoms už psichologų papildomas individualias užduotis, teikiant pagalbą dėl neigiamų Covid 19 pandemijos pasekmių psichologinių sunkumų patiriantiems mokiniams. Lėšas panaudojo J. Janonio ir St. Šalkauskio gimnazijos.</t>
  </si>
  <si>
    <t>08.02.01.03</t>
  </si>
  <si>
    <t>Organizuoti mokinių vežimą</t>
  </si>
  <si>
    <t>Mokinių, kuriems kompensuojamas važiavimas į mokyklą</t>
  </si>
  <si>
    <t>800,00</t>
  </si>
  <si>
    <t>Vadovaujantis Šiaulių miesto savivaldybės tarybos 2016 m. gruodžio 29 d. sprendimu Nr. T-436 patvirtintu  mokinių važiavimo išlaidų kompensavimo tvarkos aprašu kompensuojamos važiavimo išlaidos miesto mokiniams.</t>
  </si>
  <si>
    <t>08.02.01.09</t>
  </si>
  <si>
    <t>Finansuoti viešųjų įstaigų, įgyvendinančių bendrąsias ir specialiąsias ugdymo programas bei nevalstybinių tradicinių religinių bendruomenių ir bendrijų mokyklų veiklą (ML 98 % + SB)</t>
  </si>
  <si>
    <t>Nevalstybinių tradicinių religinių bendruomenių ir bendrijų mokyklų</t>
  </si>
  <si>
    <t>Šiaulių mieste veikia Jėzuitų mokykla, vienintelė miesto nevalstybinių tradicinių religinių bendruomenių ir bendrijų mokykla.</t>
  </si>
  <si>
    <t>VšĮ ugdymo įstaigų (,,Smalsieji pabiručiai“ ir Šiaulių jėzuitų mokykla)</t>
  </si>
  <si>
    <t>Šiaulių mieste veikia dvi VšĮ, vykdančios bendrąjį ugdymą: ,,Smalsieji pabiručiai“ ir Šiaulių jėzuitų mokykla.</t>
  </si>
  <si>
    <t>VšĮ ugdymo įstaigų sk, (Šiaulių universiteto gimnazija)</t>
  </si>
  <si>
    <t>Nuo 2020-09-01 VšĮ Šiaulių universiteto gimnazija visuotiniu dalininkų susirinkimu pertvarkyta į biudžetinę įstaigą Šiaulių universitetinę gimnaziją.</t>
  </si>
  <si>
    <t>08.02.01.14</t>
  </si>
  <si>
    <t>Įgyvendinti projektą „Gerinti mokinių pasiekimus diegiant kokybės krepšelį“</t>
  </si>
  <si>
    <t>Kokybės krepšelį gavusių mokyklų</t>
  </si>
  <si>
    <t>Kokybės krepšelio lėšas 2020 m. gavo stiprią ugdymo raišką turinčios J. Janonio gimnazija, Dainų ir ,,Romuvos“ progimnazijos ir silpną ugdymo raišką turinčios ,,Rasos“, V. Kudirkos progimnazijos ir ,,Santarvės“ gimnazija.</t>
  </si>
  <si>
    <t>08.02.01.15</t>
  </si>
  <si>
    <t>Įgyvendinti projektą „Mokyklų aprūpinimas gamtos ir technologinių mokslų priemonėmis“</t>
  </si>
  <si>
    <t>Įrangą ir priemones gavusių mokyklų skaičius</t>
  </si>
  <si>
    <t>Septyniolika miesto bendrojo ugdymo mokyklų buvo aprūpintos gamtos ir technologinių mokslų priemonėmis.</t>
  </si>
  <si>
    <t>08.02.01.16</t>
  </si>
  <si>
    <t>Įgyvendinti projektą „Ugdymo karjerai sistemos tobulinimas Šiaulių miesto savivaldybės bendrojo ugdymo mokyklose“</t>
  </si>
  <si>
    <t>Projekto dalyvių</t>
  </si>
  <si>
    <t>2020-02-23/29 dienomis ugdymo karjerai specialistai ir mokytojai iš Gegužių progimnazijos, Juventos progimnazijos, Medelyno progimnazijos, Ragainės progimnazijos, Rėkyvos progimnazijos, Saulėtekio gimnazijos (viso – 7 asmenys) vyko į mokymosi vizitą Paryžiuje (Prancūzijoje). Vizito metu dalyviai susipažino su Prancūzijos švietimo sistema ir ugdymo karjerai patirtimi, dalyvavo diskusijoje Savanturiers mokytojų asociacijoje, aptarė patirtis mokiniams „pasimatuoti profesiją“, buvo supažindinti su pameistryste, socialinių partnerių-įmonių paieška mokinių praktikai, moduliniu mokymu, inovatyviais metodais karjeros ugdymui, lankėsi Campus des metiers et de l'entreprise profesinio mokymo licėjuje, susipažino su DIMA sistema (galimybė mokiniams metus laiko išbandyti norimą profesiją), lankėsi Chambre des metiers (amatų rūmuose), lankėsi įmonėse, kuriose praktiką atlieka mokiniai, baigę koledžą (nuo 14 metų).</t>
  </si>
  <si>
    <t>08.03.</t>
  </si>
  <si>
    <t>Tenkinti ikimokyklinio ir priešmokyklinio ugdymo poreikius ikimokyklinio ugdymo įstaigose</t>
  </si>
  <si>
    <t>08.03.01.</t>
  </si>
  <si>
    <t>Vykdyti ikimokyklinį ir priešmokyklinį ugdymą</t>
  </si>
  <si>
    <t>08.03.01.01</t>
  </si>
  <si>
    <t>Finansuoti ikimokyklinį ir priešmokyklinį ugdymą</t>
  </si>
  <si>
    <t>Ikimokyklinio ugdymo įstaigose lengvatas gaunančių vaikų</t>
  </si>
  <si>
    <t>730,00</t>
  </si>
  <si>
    <t>Lengvatos ikimokyklinių įstaigų ugdytiniams taikomos vadovaujantis 2018 m. lapkričio 8 d. Šiaulių miesto savivaldybės tarybos sprendimu Nr. T-385 „Dėl Atlyginimo už vaikų, ugdomų pagal ikimokyklinio ir priešmokyklinio ugdymo programas, išlaikymą Šiaulių miesto savivaldybės švietimo įstaigose nustatymo tvarkos aprašo patvirtinimo“</t>
  </si>
  <si>
    <t>Lankančių priešmokyklinio ugdymo grupes ikimokyklinio ugdymo įstaigose vaikų</t>
  </si>
  <si>
    <t>540,00</t>
  </si>
  <si>
    <t>Priešmokyklinio ugdymo grupes ikimokyklinio ugdymo įstaigose lankančių ugdytinių skaičius pateiktas vadovaujantis 2020-09-01 Mokinių registro duomenimis.</t>
  </si>
  <si>
    <t>Nevalstybines švietimo įstaigas, įgyvendinančias ikimokyklinio ugdymo programas, lankančių ugdytinių</t>
  </si>
  <si>
    <t>310,00</t>
  </si>
  <si>
    <t>315,00</t>
  </si>
  <si>
    <t>Nevalstybines švietimo įstaigas, įgyvendinančias ikimokyklinio ugdymo programas, lankančių ugdytinių skaičius pateiktas vadovaujantis 2020-09-01 Mokinių registro duomenimis.</t>
  </si>
  <si>
    <t>08.03.01.07</t>
  </si>
  <si>
    <t>Finansuoti ikimokyklinio ir priešmokyklinio ugdymo programas vykdančias viešąsias įstaigas</t>
  </si>
  <si>
    <t>Viešųjų įstaigų</t>
  </si>
  <si>
    <t>2020 m. Šiaulių mieste veikė penkios, ikimokyklinį ugdymą vykdančios viešosios įstaigos: VšĮ "Garso servisas", VšĮ "Kiškių miškas", VšĮ "Mažieji šnekoriai", VšĮ "Mūsų kiemelis", VšĮ Šiaulių Valdorfo darželio-mokyklos bendruomenė</t>
  </si>
  <si>
    <t>08.04.</t>
  </si>
  <si>
    <t>Tenkinti mokinių pažinimo, ugdymosi ir saviraiškos poreikius, sudaryti palankias sąlygas vaikų socializacijai</t>
  </si>
  <si>
    <t>08.04.01.</t>
  </si>
  <si>
    <t>Užtikrinti neformaliojo vaikų švietimo prieinamumą</t>
  </si>
  <si>
    <t>08.04.01.01</t>
  </si>
  <si>
    <t>Vykdyti neformaliojo vaikų švietimo programas</t>
  </si>
  <si>
    <t>Atlyginimo už neformalųjį vaikų švietimą lengvatą gaunančių vaikų</t>
  </si>
  <si>
    <t>Lengvatos už neformalųjį vaikų švietimą taikomos vadovaujantis 2020 m. rugsėjo 24 d. Šiaulių miesto savivaldybės administracijos direktoriaus įsakymu Nr. A-1307 „Dėl Šiaulių miesto savivaldybės administracijos direktoriaus 2020 m. balandžio 17 d. įsakymo Nr. A-503 „Dėl  atlyginimo už Šiaulių miesto savivaldybės švietimo ir sporto įstaigose teikiamas ugdymo paslaugas mokėjimo tvarkos aprašo patvirtinimo“ pakeitimo“.</t>
  </si>
  <si>
    <t>Vaikų, lankančių neformaliojo vaikų švietimo mokyklas</t>
  </si>
  <si>
    <t>3 790,00</t>
  </si>
  <si>
    <t>Neformaliojo ugdymo įstaigas lankančių ugdytinių skaičius pateiktas vadovaujantis 2020-09-01 Mokinių registro duomenimis.</t>
  </si>
  <si>
    <t>Nevalstybinių švietimo įstaigų ir laisvųjų mokytojų įgyvendinamas neformaliojo vaikų švietimo programas lankančių vaikų skaičius pateiktas vadovaujantis 2020-09-01 Mokinių registro duomenimis.</t>
  </si>
  <si>
    <t>Neformaliojo vaikų švietimo programų</t>
  </si>
  <si>
    <t>39,00</t>
  </si>
  <si>
    <t>Neformaliojo vaikų švietimo programų skaičius pateiktas vadovaujantis 2020-09-01 Mokinių registro duomenimis.</t>
  </si>
  <si>
    <t>Neformaliojo vaikų švietimo teikėjų</t>
  </si>
  <si>
    <t>Neformaliojo vaikų švietimo teikėjų skaičius pateiktas vadovaujantis 2020-09-01 Mokinių registro duomenimis.</t>
  </si>
  <si>
    <t>Neformaliojo vaikų švietimo mokyklų</t>
  </si>
  <si>
    <t>2020 m. veikė aštuonios neformaliojo ugdymo įstaigos:"Dagilėlio" dainavimo mokykla, Dailės mokykla, 1-oji muzikos mokykla, Dainų muzikos mokykla, Menų mokykla, Jaunųjų gamtininkų centras, Jaunųjų technikų centras, Jaunųjų turistų centras.</t>
  </si>
  <si>
    <t>FŠPU dalyvaujančių 1-12 klasių mokinių</t>
  </si>
  <si>
    <t>1 100,00</t>
  </si>
  <si>
    <t>Formalųjį švietimą papildančias ugdymo įstaigas lankančių ugdytinių skaičius pateiktas vadovaujantis 2020-09-01 Mokinių registro duomenimis. Šį ugdymą vykdo: Dailės mokykla, ,,Dagilėlio“ dainavimo mokykla, 1-oji muzikos mokykla ir Dainų muzikos mokykla.</t>
  </si>
  <si>
    <t>08.04.01.04</t>
  </si>
  <si>
    <t>Įgyvendinti vaikų ir jaunimo vasaros užimtumo programas</t>
  </si>
  <si>
    <t>Vasaros užimtumo programose dalyvaujančių vaikų</t>
  </si>
  <si>
    <t>1 000,00</t>
  </si>
  <si>
    <t>08.05.</t>
  </si>
  <si>
    <t>Stiprinti švietimo įstaigų materialinę ir techninę bazę</t>
  </si>
  <si>
    <t>08.05.01.</t>
  </si>
  <si>
    <t>Užtikrinti švietimo įstaigų funkcionavimą</t>
  </si>
  <si>
    <t>08.05.01.01</t>
  </si>
  <si>
    <t>Atnaujinti švietimo įstaigų aplinką, užtikrinti pastatų vidaus komunikacijų funkcionavimą.</t>
  </si>
  <si>
    <t>Švietimo įstaigų, kuriose atnaujintas kiemo apšvietimas</t>
  </si>
  <si>
    <t>Švietimo įstaigos, kuriose atnaujintas kiemo apšvietimas: lopšelis-darželis ,,Auksinis raktelis“, lopšelis-darželis ,,Coliukė“, lopšelis-darželis ,,Klevelis“, lopšelis-darželis ,,Žirniukas“ ir ,,Dermės“ mokykla.</t>
  </si>
  <si>
    <t>Pašalinta avarijų</t>
  </si>
  <si>
    <t>08.05.02.</t>
  </si>
  <si>
    <t>Atnaujinti ir modernizuoti švietimo įstaigų ugdymo aplinką</t>
  </si>
  <si>
    <t>08.05.02.07</t>
  </si>
  <si>
    <t>Įgyvendinti projektą „Medelyno progimnazijos  pastato modernizavimas“</t>
  </si>
  <si>
    <t>Atlikta planuotų pastato remonto darbų</t>
  </si>
  <si>
    <t>Užbaigtas pastato modernizavimas ir objekto finansavimas Valstybės investicijų programos lėšomis.</t>
  </si>
  <si>
    <t>1.07.</t>
  </si>
  <si>
    <t>08.05.02.08</t>
  </si>
  <si>
    <t>Įgyvendinti projektą „Šiaulių Sporto gimnazijos (Vilniaus g. 297) modernizavimas“</t>
  </si>
  <si>
    <t>Įrengta sporto aikštelė</t>
  </si>
  <si>
    <t>08.05.02.09</t>
  </si>
  <si>
    <t>Įgyvendinti projektą „Santarvės" gimnazijos renovavimas“</t>
  </si>
  <si>
    <t>08.05.02.14</t>
  </si>
  <si>
    <t>Įgyvendinti projektą „J. Janonio gimnazijos pastato Šiauliuose, Tilžės g. 137, rekonstravimas“</t>
  </si>
  <si>
    <t>Įrengtas liftas</t>
  </si>
  <si>
    <t>Įrengtas liftas.</t>
  </si>
  <si>
    <t>08.05.02.16</t>
  </si>
  <si>
    <t>Rekonstruoti miesto gimnazijų ir mokyklų sporto aikštynus</t>
  </si>
  <si>
    <t>Parengtas projektas Gegužių progimnazijos sporto aikštelei, atlikti rangos darbai</t>
  </si>
  <si>
    <t>Įrengta Gegužių progimnazijos sporto aikštelė.</t>
  </si>
  <si>
    <t>2020 m.: Įrengta aikštelė</t>
  </si>
  <si>
    <t>Parengtas projektas "Rasos" progimnazijos sporto aikštynui</t>
  </si>
  <si>
    <t>08.05.02.17</t>
  </si>
  <si>
    <t>Renovuoti švietimo įstaigų baseinus</t>
  </si>
  <si>
    <t>atlikta lopšelio-darželio "Žiogelis" baseino planuotų rekonstravimo darbų</t>
  </si>
  <si>
    <t>08.05.02.22</t>
  </si>
  <si>
    <t>Įgyvendinti projektą „Rėkyvos progimnazijos rekonstrukcija ir aplinkos gerinimas“</t>
  </si>
  <si>
    <t>Atlikta planuotų mokyklos rekonstravimo darbų</t>
  </si>
  <si>
    <t>08.05.02.23</t>
  </si>
  <si>
    <t>Tvarkyti švietimo įstaigų teritorijų dangas ir įvažiavimus</t>
  </si>
  <si>
    <t>Švietimo įstaigų, kuriose atnaujintos teritorijų dangos ir įvažiavimai, skaičius (J. Janonio gimnazija, Švietimo centras, l/d „Pasaka“,"Rasos" progimnazija ir kt.)</t>
  </si>
  <si>
    <t>Švietimo įstaigos, kuriose 2020 m. atnaujintos teritorijų dangos ir įvažiavimai: "Rasos" progimnazija, Lieporių gimnazija, l/d "Gintarėlis" ir "Dagilėlio" dainavimo mokykla.</t>
  </si>
  <si>
    <t>08.05.02.24</t>
  </si>
  <si>
    <t>Atnaujinti švietimo įstaigų teritorijų lauko įrenginius ir aptvėrimą</t>
  </si>
  <si>
    <t>Švietimo įstaigų, kuriose atnaujinti lauko įrenginiai ir aptvertos teritorijos (lopšeliai-darželiai „Klevelis“, „Bitė", „Žiburėlis", „Žilvitis", „Žirniukas", „Drugelis", „Kregždutė", „Sigutė",Gegužių, Rėkyvos progimnazijos)</t>
  </si>
  <si>
    <t>Lėšos panaudotos Didždvario gimnazijos tvoros atnaujinimui bei lauko įrenginių atnaujinimui lopšeliuose-darželiuose „Ąžuoliukas“, „Coliukė“, „Eglutė“ ir „Drugelis“.</t>
  </si>
  <si>
    <t>08.05.02.30</t>
  </si>
  <si>
    <t>Įgyvendinti projektą „Šiaulių Sanatorinės mokyklos modernizavimas"</t>
  </si>
  <si>
    <t>Įsigyta įranga</t>
  </si>
  <si>
    <t>Atlikta sporto salės bei jos prieigos modernizavimo darbų</t>
  </si>
  <si>
    <t>08.05.02.31</t>
  </si>
  <si>
    <t>Atnaujinti švietimo įstaigų pastatų stogus, sienas, cokolius, nuogrindas, patalpas, įrangą ir komunikacijas</t>
  </si>
  <si>
    <t>Parengtas 1 sienų apšiltinimo techninis darbų projektas</t>
  </si>
  <si>
    <t>2020 m. apšiltintos lopšelių-darželių ,,Drugelis“ ir ,,Žibutė“ sienos, suremontuoti Sanatorinės mokyklos  ir Vinco Kudirkos progimnazijos avarinės būklės stogai</t>
  </si>
  <si>
    <t>Įstaigų, kuriose atliktas elektros instaliacijos remontas</t>
  </si>
  <si>
    <t>2020 m. elektros instaliacijos remontas atliktas lopšeliui-darželiui „Vaikystė“, lopšelyje-darželyje „Drugelis“ įrengta rekuperacinė sistema.</t>
  </si>
  <si>
    <t>Juliaus Janonio gimnazijos sutvarkytas gerbūvis</t>
  </si>
  <si>
    <t>Įstaigų, kuriose atliktas vamzdynų remontas</t>
  </si>
  <si>
    <t>2020 m. vamzdynų remontas atliktas lopšeliuose-darželiuose „Žiburėlis“ ir ,,Vaikystė“.</t>
  </si>
  <si>
    <t>08.05.02.41</t>
  </si>
  <si>
    <t>Įgyvendinti projektą „Didždvario gimnazijos pastato remontas“</t>
  </si>
  <si>
    <t>Atlikta planuotų gimnazijos remonto darbų</t>
  </si>
  <si>
    <t>08.05.02.46</t>
  </si>
  <si>
    <t>Įgyvendinti projektą „Šiaulių Gegužių progimnazijos pastato S.Dariaus ir Girėno g.22, Šiauliai remontas“</t>
  </si>
  <si>
    <t>08.05.02.52</t>
  </si>
  <si>
    <t>Šiaulių Didždvario gimnazijos ir Šiaulių „Juventos" progimnazijos ugdymo aplinkos modernizavimas</t>
  </si>
  <si>
    <t>Atnaujintų įstaigų skaičius</t>
  </si>
  <si>
    <t>„Juventos“ progimnazijai nupirktos interaktyvios grindys, interaktyvūs ekranai, projektorius su elektra valdomu motorizuotu projekciniu ekranu, kalbų mokymosi laboratorijos įranga, 3D spausdintuvas, virtualios realybės įranga.
Šiaulių Didždvario gimnazijai nupirkti interaktyvūs ekranai su mobiliais stovais, DNR elektroforezės sistema su priedais, jėgos ir pagreičio jutikliai, 3 ašių magnetinio lauko jutikliai, atstumo jutikliai, garso lygio jutikliai, temperatūros jutikliai, energijos jutikliai, elektrinio laidumo jutikliai, elektros srovės stiprio jutikliai, elektros srovės įtampos jutikliai, šviesos ir spalvos jutikliai, pH jutikliai, dujų slėgio jutikliai, dinaminė sistema, foto vartai, vėjo energijos eksperimentų rinkiniai, jutiklių įkrovimo stotelės, rezistorių plokštės, rinkiniai priemonių sparnuočių gamybai, lazerinės pjaustymo/graviravimo staklės su priedais, 3D skeneriai.</t>
  </si>
  <si>
    <t>2020 m.: Lėšos nepanaudotos dėl įrangos pirkimo procedūrų vėlavimo. Mobiliosios pertvaros pirkimas Didždvario gimnazijai organizuotas 2 kartus ir abu kartus buvo nutrauktas dėl per didelių pasiūlytų kainų. Sutartis 2020 metais pasirašyta nebuvo. Pirkimas bus vykdomas dar kartą. Baldų įsigijimo „Juventos“ progimnazijai pirkimas vyko 2 kartus: sutartis su tiekėju pasirašyta 2021 metų sausio mėn. Gavus pritarimą naudoti pirkimų metu sutaupytas lėšas, bus organizuojami papildomos įrangos pirkimai 2021 metais.</t>
  </si>
  <si>
    <t>08.05.02.53</t>
  </si>
  <si>
    <t>Lopšelio darželio „Kregždutė" modernizavimas</t>
  </si>
  <si>
    <t>2020 metų kovo mėn. pasirašyta rangos darbų sutartis su UAB „Akmens takas“.</t>
  </si>
  <si>
    <t>2020 metais atlikti šie darbai: paklota II aukšto grupių grindų danga, išdažytos lubos, išdažytos sienos. I aukšto patalpų Nr. 1, 2, 3, 43, 44, 45, 46 ir salės lubos išdažytos, sienos išdažytos. Salėje klojama grindų danga. Kitų patalpų sienos išglaistytos ir nutinkuotos. Lauko laiptai pabetonuoti. Priestatas pastatytas, tinkuojamos lubos, grindys išbetonuotos. Statomos durys. Liftas montuojamas. Elektros instaliacija išvedžiota. Šildymo sistemos sumontuotos. Vandentiekio ir kanalizacijos vamzdynai sumontuoti. Vėdinimo vamzdynas, rekuperatorius sumontuoti.</t>
  </si>
  <si>
    <t>2020 m.: Dėl vėlavusio SLD išdavimo (susijusio su vėluojančiu projektavimu) darbai buvo pradėti vėliau, nei planuota. Taip pat metų pabaigoje gavus 300 tūkst. Eur paskolos lėšų, SB lėšos, kurios buvo keičiamos į paskolos lėšas nebuvo išimtos iš asignavimų. Planuojant pasiekti rodiklį buvo remiamasi sąmatiniais skaičiavimais, tačiau rangos darbus pavyko įsigyti pigiau, todėl procentiškai atliktas didesnis procentas darbų, tačiau liko sutaupyta lėšų.</t>
  </si>
  <si>
    <t>08.05.02.54</t>
  </si>
  <si>
    <t>Modernizuoti edukacines aplinkas Šiaulių 1-ojoje muzikos mokykloje ir Šiaulių dainavimo mokykloje „Dagilėlis"</t>
  </si>
  <si>
    <t>Neformaliojo švietimo įstaigų, kuriose modernizuotos  ugdymo aplinkos ir priemonės skaičius</t>
  </si>
  <si>
    <t>Rangos darbai baigti abejose ugdymo įstaigose.</t>
  </si>
  <si>
    <t>Atnaujintos neformaliojo ugdymo įstaigos</t>
  </si>
  <si>
    <t>Šiaulių 1-ajai muzikos mokyklai nupirkti muzikos instrumentai, baldai, interaktyvus ekranas
Dainavimo mokyklai „Dagilėlis“ nupirkta koncertinio apšvietimo įranga, fotoaparatas ir vaizdo kamera, interaktyvus ekranas, projektorius su ekranu, programinė įranga (muzikos notacijos, muzikos natų rašymo, skaitymo ir atpažinimo, muzikos teorijos ir muzikinės klausos įgūdžių lavinimo).</t>
  </si>
  <si>
    <t>08.05.02.60</t>
  </si>
  <si>
    <t>Įgyvendinti švietimo įstaigų modernizavimo projektą</t>
  </si>
  <si>
    <t>08.05.03.</t>
  </si>
  <si>
    <t>Modernizuoti ir atnaujinti neformaliojo vaikų švietimo įstaigų mokymo bazę</t>
  </si>
  <si>
    <t>08.05.03.01</t>
  </si>
  <si>
    <t>Mokymo įrangos įsigijimas</t>
  </si>
  <si>
    <t>Įstaigų, kuriose atnaujinta įranga, skaičius</t>
  </si>
  <si>
    <t>09.</t>
  </si>
  <si>
    <t>Bendruomenės sveikatinimo programa</t>
  </si>
  <si>
    <t>Sveikatos skyrius</t>
  </si>
  <si>
    <t>09.01.</t>
  </si>
  <si>
    <t>Pagerinti gyventojų sveikatos rodiklius: sumažinti sergamumą, ligotumą, neįgalumą, sudarant prielaidas ilgesniam ir sveikesniam gyvenimui</t>
  </si>
  <si>
    <t>09.01.01.</t>
  </si>
  <si>
    <t>Priartinti asmens sveikatos priežiūros paslaugas prie gyventojų, sudaryti sąlygas modernizuoti pirminės sveikatos priežiūros paslaugas teikiančias įstaigas</t>
  </si>
  <si>
    <t>09.01.01.05</t>
  </si>
  <si>
    <t>Įgyvendinti projektą „Energetinių charakteristikų gerinimas VšĮ Dainų pirminės sveikatos priežiūros centre"</t>
  </si>
  <si>
    <t>Įrengta ventiliacija</t>
  </si>
  <si>
    <t>09.01.01.11</t>
  </si>
  <si>
    <t>Įgyvendinti projektą „VšĮ Šiaulių ilgalaikio gydymo ir geriatrijos centro pastatų rekonstravimas, aktyvios ventiliacijos įrengimas, kiemo gerbūvio sutvarkymas ir maisto gamybos skyriaus modernizavimas"</t>
  </si>
  <si>
    <t>Darbuotojų, kuriems pagerėjo darbo sąlygos</t>
  </si>
  <si>
    <t>Atlikta pastato stogo šiltinimo, techninių patalpų rekuperatoriams palėpėje įrengimo, šiluminio mazgo modernizavimo darbų</t>
  </si>
  <si>
    <t>Atlikti pastato stogo šiltinimo, techninių patalpų rekuperatoriams palėpėje įrengimo, šiluminio mazgo modernizavimo darbai.</t>
  </si>
  <si>
    <t>Pacientų, kuriems pagerėjo sveikatos priežiūros paslaugų prieinamumas ir kokybė</t>
  </si>
  <si>
    <t>09.01.01.12</t>
  </si>
  <si>
    <t>Pritraukti gydytojus specialistus į Šiaulių miestą ir išlaikyti jame</t>
  </si>
  <si>
    <t>Paremtų gydytojų, atvykusių dirbti į Šiaulius</t>
  </si>
  <si>
    <t>Finansuotų rezidentų</t>
  </si>
  <si>
    <t>2020 m.: 2020-10-07 mokėjimo nurodymu Nr. 20-06068 grąžintas gautas finansavimas 3037 Eur (asmuo motinystės atostogose), skirtas V. Degutytei, pagal 2020-03-16 sutartį Nr. SŽ-296/BS226.</t>
  </si>
  <si>
    <t>09.01.01.13</t>
  </si>
  <si>
    <t>Modernizuoti VšĮ Šiaulių centro polikliniką</t>
  </si>
  <si>
    <t>09.01.01.15</t>
  </si>
  <si>
    <t>Įgyvendinti projektą „Pirminės asmens sveikatos priežiūros veiklos efektyvumo didinimas Šiaulių mieste"</t>
  </si>
  <si>
    <t>Viešąsias sveikatos paslaugas teikiančios asmens sveikatos priežiūros įstaigos, kuriose modernizuota paslaugų teikimo infrastruktūra</t>
  </si>
  <si>
    <t>Šiaulių centro poliklinikoje įrengtas keltuvas neįgaliesiems, sudaryta sutartis dėl naujo lifto įrengimo, įsigyti ir pristatyti 2 odontologinės įrangos komplektai, kraujo analizatorius. Dainų sveikatos priežiūros centrui įsigyti 8 odontologinės įrangos komplektai ir odontologiniai vakuuminiai siurbliai, autoklavas.</t>
  </si>
  <si>
    <t>2020 m.: Dainų PSPC įsigyta ir pristatyta visa planuota įranga, tačiau dar ne visa įranga deklaruota CPVA, todėl su Dainų PSPC įranga susiję finansiniai srautai judės ir 2021 m. VšĮ Šiaulių centro poliklinika nespėjo įsigyti visos planuotos įrangos. Veiklų vykdymas užtruko ilgiau nei planuota dėl COVID-19 situacijos.</t>
  </si>
  <si>
    <t>Pacientų, kuriems pagerinta paslaugų kokybė ir prieinamumas</t>
  </si>
  <si>
    <t>2020 m.: Rodiklis skaičiuojamas pabaigus įgyvendinti projektą.</t>
  </si>
  <si>
    <t>Rangos darbai Šiaulių centro poliklinikoje ir Dainų sveikatos priežiūros centre įvykdyti pilna apimtimi.</t>
  </si>
  <si>
    <t>09.01.01.17</t>
  </si>
  <si>
    <t>VšĮ Dainų pirminės sveikatos priežiūros centro sveikatos priežiūros paslaugų kokybės ir prieinamumo gerinimas</t>
  </si>
  <si>
    <t>Įsigyta rentgeno diagnostikos medicinos priemonė (prietaisas)</t>
  </si>
  <si>
    <t>Įsigyta rentgeno diagnostikos medicinos priemonė (prietaisas) VšĮ Dainų pirminės sveikatos priežiūros centro sveikatos priežiūros paslaugų kokybei ir prieinamumui gerinti.</t>
  </si>
  <si>
    <t>09.01.03.</t>
  </si>
  <si>
    <t>Gerinti ikimokyklinio amžiaus vaikų sveikatą, mažinti sergamumą, negalę ir socialinę atskirtį</t>
  </si>
  <si>
    <t>09.01.03.01</t>
  </si>
  <si>
    <t>Teikti sveikatos priežiūros, socialines ir ugdymo paslaugas Šiaulių miesto savivaldybės sutrikusio vystymosi kūdikių namuose</t>
  </si>
  <si>
    <t>Kūdikių namai</t>
  </si>
  <si>
    <t>09.02.</t>
  </si>
  <si>
    <t>Sudaryti palankias sąlygas miesto bendruomenei sveikatinti</t>
  </si>
  <si>
    <t>09.02.01.</t>
  </si>
  <si>
    <t>Plėtoti visuomenės sveikatos priežiūros paslaugas, sustiprinti ligų prevenciją ir ugdyti visuomenės poreikį sveikai gyventi</t>
  </si>
  <si>
    <t>09.02.01.01</t>
  </si>
  <si>
    <t>Įsitraukti į sveikatinimo iniciatyvas, prevencines programas ir jas vykdyti</t>
  </si>
  <si>
    <t>Vykdytų sveikatinimo iniciatyvų, prevencinių programų</t>
  </si>
  <si>
    <t>Įvykdyta sveikatinimo iniciatyvų, prevencinių programų: 100 proc. įgyvendintos Covid-19 (koronaviruso infekcijos) ligos valdymo priemonės, priemonių įgyvendinimui skirtos lėšos panaudotos dezinfekcijos, apsaugos priemonėms  apmokėti pagal poreikį, mobilaus punkto ir karščiavimo klinikos veiklos organizavimui, tikslinės grupės asmenų apgyvendinimo ir maitinimo paslaugų organizavimui savivaldybės numatytose patalpose; skatinant darbuotojų fizinį aktyvumą organizuotos mankštos, lėšos skirtos mankštos kilimėliams įsigyti.</t>
  </si>
  <si>
    <t>09.02.01.02</t>
  </si>
  <si>
    <t>Sukurti ir gerinti miesto bendruomenės sveikatinimo sąlygas, užtikrinant sveikatinimo projektų finansavimą</t>
  </si>
  <si>
    <t>Finansuotų projektų</t>
  </si>
  <si>
    <t>Finansuoti ir įgyvendinti pagal pateiktą poreikį 9 sveikatinimo projektai iš visuomenės sveikatos rėmimo specialiosios programos lėšų: Šiaulių Respublikinės ligoninės "Tuberkuliozės kontrolės strategijos įgyvendinimo tęsimas Šiaulių mieste 2020 metais", Salduvės progimnazijos "Sveikata - fizinis aktyvumas", Šiaulių centro poliklinikos "Motinystės mokykla",  6 nevyriausybinių organizacijų sveikatinimo projektai.</t>
  </si>
  <si>
    <t>09.02.01.03</t>
  </si>
  <si>
    <t>Įgyvendinti projektą „Sveikos gyvensenos skatinimas Šiaulių mieste"</t>
  </si>
  <si>
    <t>Tikslinių grupių asmenų, kurie dalyvavo informavimo, švietimo ir mokymo renginiuose bei sveikatos raštingumą didinančiose veiklose</t>
  </si>
  <si>
    <t>Tikslinių grupių asmenys, kurie dalyvavo informavimo, švietimo ir mokymo renginiuose bei sveikatos raštingumą didinančiuose veiklose. Šiaulių miesto savivaldybės visuomenės sveikatos biuro įgyvendinta viena projekto „Sveikos gyvensenos skatinimas Šiaulių mieste“ veikla „Mokymas plaukti“, kurioje 53 antrų klasių mokiniai išmokyti saugiai elgtis vandenyje ir taisyklingai plaukti.</t>
  </si>
  <si>
    <t>09.02.02.</t>
  </si>
  <si>
    <t>Pritaikyti vandens telkinius rekreacijai ir sveikam žmonių poilsiui</t>
  </si>
  <si>
    <t>09.02.02.01</t>
  </si>
  <si>
    <t>Vykdyti maudyklų vandens kokybės stebėseną ir paruošti duomenų rinkmenas apie maudyklų vandens charakteristikas</t>
  </si>
  <si>
    <t>Vykdyta maudyklų vandens kokybės stebėsena</t>
  </si>
  <si>
    <t>Vandens maudyklų kokybės stebėsena Rėkyvos ežero ir Prūdelio tvenkinio paplūdymiuose, Talkšos ežero ir Rekyvos ežero Bačiūnų maudyklose pagal nustatytą grafiką įvykdyta 100 proc.: 116 atliktų vandens tyrimų pagal mikrobiologinius, parazitologinius, fizikinius parametrus; pastatyti 6 informaciniai stendai, 6 ženklai, pritvirtinti 8 plūdurai; 1 biotualeto nuoma. Sezono metu (06.01-09.15) informuoti gyventojai dėl saugaus elgesio vandens telkiniuose ir paplūdimiuose; 32 kartus suteikta pirmoji būtinoji medicininė pagalba; įvykdyta paplūdimio priežiūra.</t>
  </si>
  <si>
    <t>09.02.03.</t>
  </si>
  <si>
    <t>Vystyti Visuomenės sveikatos biuro veiklą</t>
  </si>
  <si>
    <t>09.02.03.01</t>
  </si>
  <si>
    <t>Vykdyti Visuomenės sveikatos biuro funkcijas</t>
  </si>
  <si>
    <t>Visuomenės sveikatos biuras</t>
  </si>
  <si>
    <t>Privalomojo mokymo metu mokytų asmenų</t>
  </si>
  <si>
    <t>450,00</t>
  </si>
  <si>
    <t>09.02.03.03</t>
  </si>
  <si>
    <t>Plėtoti sveiką gyvenseną ir stiprinti mokinių sveikatos įgūdžius ugdymo įstaigose</t>
  </si>
  <si>
    <t>Ugdymo įstaigų, kuriose vykdytos visuomenės sveikatos priežiūros funkcijos</t>
  </si>
  <si>
    <t>68 ugdymo (ikimokyklinio ugdymo, bendrojo lavinimo ir profesinio rengimo) įstaigose įvykdytos visuomenės sveikatos priežiūros funkcijos.</t>
  </si>
  <si>
    <t>1.04.</t>
  </si>
  <si>
    <t>Profilaktiškai pasitikrinusių mokinių, ugdomų pagal ikimokyklinio ir priešmokyklinio, pradinio, pagrindinio ir vidurinio ugdymo programas, dalis nuo viso mokinių skaičiaus</t>
  </si>
  <si>
    <t>Renginių, organizuotų ugdymo įstaigų mokiniams</t>
  </si>
  <si>
    <t>2 000,00</t>
  </si>
  <si>
    <t>Viso: I ketv. -1284, II ketv. 877, III ketv. 734, IV ketv. 869 organizuoti renginiai.</t>
  </si>
  <si>
    <t>Mokinių, dalyvavusių sveikatinimo veiklose ugdymo įstaigose</t>
  </si>
  <si>
    <t>Viso: I ketv. 28 052, II ketv. 18955, III ketv. 17726, IV ketv. 17941 dalyvių.</t>
  </si>
  <si>
    <t>09.02.03.05</t>
  </si>
  <si>
    <t>Stiprinti sveikos gyvensenos įgūdžius bendruomenėse bei vykdyti visuomenės sveikatos stebėseną</t>
  </si>
  <si>
    <t>Renginių, organizuotų miesto gyventojams</t>
  </si>
  <si>
    <t>500,00</t>
  </si>
  <si>
    <t>Viso: I ketv. - 780, II ketv. 140, III ketv. 318, IV ketv. 132 organizuoti renginiai.</t>
  </si>
  <si>
    <t>Stebėsenos ataskaitų su pasiūlymais dėl gyventojų sveikatos būklės gerinimo</t>
  </si>
  <si>
    <t>Parengtų informacinių pranešimų, straipsnių</t>
  </si>
  <si>
    <t>Viso: parengta I ketv.  176, II ketv. 276, III ketv. 100, IV ketv. 193 informacinių pranešimų.</t>
  </si>
  <si>
    <t>Miesto gyventojų, dalyvavusių sveikatinimo veiklose</t>
  </si>
  <si>
    <t>15 000,00</t>
  </si>
  <si>
    <t>Viso: I ketv. 10109, II ketv. 4450, III ketv. 11113, IV ketv. 2661 dalyvių.</t>
  </si>
  <si>
    <t>09.02.03.06</t>
  </si>
  <si>
    <t>Plėtoti visuomenės psichikos sveikatos paslaugų prieinamumą bei ankstyvojo savižudybių atpažinimo ir kompleksinės pagalbos teikimo sistemą</t>
  </si>
  <si>
    <t>Asmenų, pradėjusių ir baigusių ankstyvosios intervencijos mokymus</t>
  </si>
  <si>
    <t>Karantino metu konsultacijos buvo teikiamos ir nuotoliniu būdu, po darbo valandų.</t>
  </si>
  <si>
    <t>Įmonės, dalyvavusios psichikos sveikatos stiprinimo užsiėmimuose</t>
  </si>
  <si>
    <t>Psichikos sveikatos stiprinimo užsiėmimuose dalyvavo 2 įmonės.</t>
  </si>
  <si>
    <t>Mokymai, suorganizuoti mokykloms, bendruomenei gebėjimų visuomenės psichikos sveikatos stiprinimo srityje</t>
  </si>
  <si>
    <t>Įvykdyti 3 įstaigoms mokymai karantino metu organizuoti ir nuotoliniu būdu.</t>
  </si>
  <si>
    <t>Apsilankymai pas priklausomybės konsultantą</t>
  </si>
  <si>
    <t>Viso: I ketv. 20, II ketv. 45, III ketv. 42, IV ketv. 46.</t>
  </si>
  <si>
    <t>Asmenys, gavę priklausomybių konsultavimo paslaugas</t>
  </si>
  <si>
    <t>09.02.06.</t>
  </si>
  <si>
    <t>Vykdyti triukšmo prevenciją</t>
  </si>
  <si>
    <t>09.02.06.02</t>
  </si>
  <si>
    <t>Įgyvendinti projektą „Geležinkelių transporto aplinkos apsaugos priemonių (triukšmą slopinančių priemonių) diegimas Šiaulių miesto savivaldybėje"</t>
  </si>
  <si>
    <t>09.03.</t>
  </si>
  <si>
    <t>Mažinti socialinius sveikatos netolygumus</t>
  </si>
  <si>
    <t>09.03.01.</t>
  </si>
  <si>
    <t xml:space="preserve">Gerinti gyvenimo kokybę pažeidžiamiausioms gyventojų grupėms didinant sveikatos priežiūros </t>
  </si>
  <si>
    <t>09.03.01.01</t>
  </si>
  <si>
    <t xml:space="preserve">Kompensuoti ir teikti medicinines paslaugas pažeidžiamiausioms gyventojų grupėms </t>
  </si>
  <si>
    <t>Slaugos paslaugas gavusių asmenų</t>
  </si>
  <si>
    <t>Slaugos paslaugas gavo 3 asmenys.</t>
  </si>
  <si>
    <t>Pervežtų pacientų</t>
  </si>
  <si>
    <t>Ortodonto suteiktų konsultacijų</t>
  </si>
  <si>
    <t>1 300,00</t>
  </si>
  <si>
    <t>Ortodonto suteiktos konsultacijos.</t>
  </si>
  <si>
    <t>Dantų protezavimo paslaugas gavusių asmenų</t>
  </si>
  <si>
    <t>Pagal pateiktą poreikį pasirašyta 1 sutartis, apmokėta už faktiškai suteiktas paslaugas.</t>
  </si>
  <si>
    <t>09.03.01.02</t>
  </si>
  <si>
    <t>Teikti priklausomybės ligų diagnostikos ir prevencijos paslaugas „Žemo slenksčio“ kabinete</t>
  </si>
  <si>
    <t>09.03.01.03</t>
  </si>
  <si>
    <t>Organizuoti privalomąjį profilaktinį aplinkos kenksmingumo pašalinimą</t>
  </si>
  <si>
    <t>Gavusių paslaugas asmenų</t>
  </si>
  <si>
    <t>Pagal pateiktą poreikį 9 asmenys gavo privalomojo profilaktinio aplinkos kenksmingumo pašalinimo paslaugas.</t>
  </si>
  <si>
    <t>09.03.01.04</t>
  </si>
  <si>
    <t>Įgyvendinti projektą „Paramos priemonių tuberkulioze sergantiems asmenims įgyvendinimas Šiaulių mieste"</t>
  </si>
  <si>
    <t>Tuberkulioze sergančių pacientų, kuriems buvo suteiktos socialinės paramos priemonės tuberkuliozės ambulatorinio gydymo metu</t>
  </si>
  <si>
    <t>09.03.01.05</t>
  </si>
  <si>
    <t>Įgyvendinti projektą „Priklausomybės ligų profilaktikos, diagnostikos ir gydymo kokybės ir prieinamumo gerinimas Šiaulių mieste"</t>
  </si>
  <si>
    <t>Apsilankymų žemo slenksčio paslaugų kabinetuose</t>
  </si>
  <si>
    <t>1 600,00</t>
  </si>
  <si>
    <t>2 800,00</t>
  </si>
  <si>
    <t>Žemo slenksčio paslaugų kabinete asmenims, nepasirengusiems atsisakyti narkotikų vartojimo, sudarytos sąlygos naudotis žalos mažinimo paslaugomis (švirkštų, adatų keitimas, tvarsliavos, dezinfekcijos priemonių dalijimas). Paslaugos teiktos pagal poreikį.</t>
  </si>
  <si>
    <t>10.</t>
  </si>
  <si>
    <t>Socialinės paramos įgyvendinimo programa</t>
  </si>
  <si>
    <t>10.01.</t>
  </si>
  <si>
    <t>Įgyvendinti socialinės apsaugos sistemą, mažinančią socialinę atskirtį ir užtikrinančią pažeidžiamų gyventojų grupių socialinę integraciją</t>
  </si>
  <si>
    <t>10.01.01.</t>
  </si>
  <si>
    <t>Mažinti pažeidžiamų gyventojų grupių socialinę atskirtį</t>
  </si>
  <si>
    <t>10.01.01.05</t>
  </si>
  <si>
    <t>Teikti socialinės globos paslaugas asmenims su sunkia negalia</t>
  </si>
  <si>
    <t>Socialinių paslaugų skyrius</t>
  </si>
  <si>
    <t>Teikiamų paslaugų rūšių</t>
  </si>
  <si>
    <t>Šiaulių miesto savivaldybės gyventojams, turintiems sunkią negalią, suteiktos ilgalaikės, trumpalaikės ir dienos (asmens namuose ir institucijoje) socialinės globos paslaugos.</t>
  </si>
  <si>
    <t>Paslaugų gavėjų</t>
  </si>
  <si>
    <t>360,00</t>
  </si>
  <si>
    <t>10.01.01.06</t>
  </si>
  <si>
    <t>Užtikrinti vienkartinės piniginės pašalpos skyrimą</t>
  </si>
  <si>
    <t>10.01.01.07</t>
  </si>
  <si>
    <t>Įgyvendinti Užimtumo didinimo programą</t>
  </si>
  <si>
    <t>Sukurtų laikinų darbo vietų</t>
  </si>
  <si>
    <t>Įgyvendinant Užimtumo didinimo programą, Šiaulių miesto seniūnijose, socialinių paslaugų ir ugdymo įstaigose laikinai buvo įdarbinti 34 asmenys, registruoti Užimtumo tarnyboje.</t>
  </si>
  <si>
    <t>10.01.01.08</t>
  </si>
  <si>
    <t>Teikti ilgalaikės, trumpalaikės ir dienos socialinės globos paslaugas senyvo amžiaus asmenims, suaugusiems asmenims su negalia ir vaikams su negalia</t>
  </si>
  <si>
    <t>Buvo teikiamos ilgalaikės, trumpalaikės ir dienos (asmens namuose ir institucijoje) socialinės globos paslaugos Šiaulių miesto senyvo amžiaus asmenims, suaugusiems asmenims su negalia ir vaikams su negalia. Paslaugas gavo 115 asmenų.</t>
  </si>
  <si>
    <t>10.01.02.</t>
  </si>
  <si>
    <t>Didinti socialinių paslaugų prieinamumą</t>
  </si>
  <si>
    <t>10.01.02.01</t>
  </si>
  <si>
    <t>Užtikrinti Šiaulių miesto savivaldybės socialinių paslaugų centro veiklą</t>
  </si>
  <si>
    <t>Teikiamų socialinių paslaugų rūšių</t>
  </si>
  <si>
    <t>Teikiamos šios paslaugos: 
Bendrosios socialinės paslaugos:
1) informavimas; 2) konsultavimas; 3) tarpininkavimas ir atstovavimas; 4) maitinimo organizavimas; 5) aprūpinimas būtiniausiais drabužiais ir avalyne; 6) transporto organizavimas; 7) sociokultūrinės paslaugos; 8) asmeninės higienos ir priežiūros paslaugų organizavimas; 9) neįgaliųjų aprūpinimas techninės pagalbos priemonėmis; 10) vaikų dienos užimtumo organizavimas; 11) psichologo paslaugos.
Specialiosios socialinės paslaugos:
1) pagalba į namus; 2) dienos socialinė globa asmens namuose (integrali pagalba); 3) GIMK (globėjų (rūpintojų) ir įtėvių mokymas ir konsultavimas; 4) globos centro paslaugos; 5) socialinė priežiūra socialinės rizikos šeimoms; 6) apgyvendinimas nakvynės namuose; 7) krizių centro paslauga; 8) laikinas apnakvindinimas; 9) asmeninio asistento paslauga.</t>
  </si>
  <si>
    <t>Aptarnautų asmenų (šeimų)</t>
  </si>
  <si>
    <t>10.01.02.02</t>
  </si>
  <si>
    <t>Įgyvendinti Būsto pritaikymo neįgaliesiems programą</t>
  </si>
  <si>
    <t>Pritaikytų būstų ir gyvenamosios aplinkos dalis nuo visų gautų paraiškų</t>
  </si>
  <si>
    <t>Pritaikytų būstų vaikams dalis nuo visų gautų paraiškų</t>
  </si>
  <si>
    <t>Buvo patenkinti visi šeimų, auginančių vaikus su sunkia negalia, prašymai pritaikyti gyvenamąją aplinką vaikams: 4 vaikams buvo kompensuotos sensorinių priemonių įsigijimo išlaidos.</t>
  </si>
  <si>
    <t>Pritaikytų būstų suaugusiems asmenims dalis nuo visų gautų paraiškų</t>
  </si>
  <si>
    <t>Buvo pritaikyta 16 būstų suaugusiems asmenims su negalia.</t>
  </si>
  <si>
    <t>2020 m.: 2.01 lėšos: liko nepanaudota 7,1 tūkst. Eur. Lėšos buvo numatytos būsto pritaikymui šeimoms, auginančioms vaikus su sunkia negalia; visi prašymai buvo patenkinti 100 proc. ir, nesant didesniam poreikiui, nepanaudotos lėšos grąžintos į valstybės biudžetą.</t>
  </si>
  <si>
    <t>10.01.02.04</t>
  </si>
  <si>
    <t>Užtikrinti Šiaulių miesto savivaldybės vaikų globos namų veiklą</t>
  </si>
  <si>
    <t>Teikiamų paslaugų</t>
  </si>
  <si>
    <t>Teikiamos šios paslaugos:
1) ilgalaikė socialinė globa;
2) trumpalaikė socialinė globa;
3) socialinė priežiūra šeimoms, patiriančioms riziką;
4) dienos užimtumo grupė (dienos centras);
5) Krizių centro paslaugos.</t>
  </si>
  <si>
    <t>38,00</t>
  </si>
  <si>
    <t>Paslaugas gavo 278 paslaugų gavėjai, iš jų:
42 vaikams buvo teikiama socialinė globa institucijoje; 
41 vaiką prižiūrėjo budintys globotojai;                      
152 šeimos, patiriančios socialinę riziką, kuriose auga 180 vaikų;
20 vaikų, kurie lankė vaikų dienos centrą;
23 vaikai, kurie buvo paimti iš nesaugios aplinkos, gyveno Krizių centre.</t>
  </si>
  <si>
    <t>10.01.02.05</t>
  </si>
  <si>
    <t>Užtikrinti Šiaulių miesto savivaldybės globos namų veiklą</t>
  </si>
  <si>
    <t>Teikiamos šios paslaugos:
1) apgyvendinimas Savarankiško gyvenimo namuose;
2) ilgalaikė socialinė globa;
3) trumpalaikė socialinė globa;
4) dienos socialinė globa institucijoje;
5) dienos socialinė globa asmens namuose (integrali pagalba);
6) laikino "atokvėpio" paslauga asmens namuose;
7) Apsaugoto būsto paslauga; 
8) socialinių dirbtuvių paslauga;
Iš viso paslaugas gavo 320 asmenų.</t>
  </si>
  <si>
    <t>10.01.02.06</t>
  </si>
  <si>
    <t>Įgyvendinti projektą „Integrali pagalba į namus Šiaulių mieste"</t>
  </si>
  <si>
    <t>150,00</t>
  </si>
  <si>
    <t>260,00</t>
  </si>
  <si>
    <t>Paslaugas teikia 3 įstaigos: Šiaulių Vyskupijos Caritas, Globos namai ir Socialinių paslaugų centras. Vienu metu visos trys projekto komandos gali suteikti paslaugas 150 asmenų, per metus unikalių paslaugų gavėjų buvo 260. Paslaugos teikiamos pagal esamą poreikį.</t>
  </si>
  <si>
    <t>10.01.02.07</t>
  </si>
  <si>
    <t>Buvo teikiamos šios paslaugos:
1) Socialinės priežiūros paslaugos šeimoms, patiriančioms socialinę riziką (paslaugą teikė Labdaros ir paramos fondas "SOS vaikų kaimų Lietuvoje draugija") (iš VB lėšų);
2) Paslaugos šeimoms krizės atveju (paslaugą teikė VŠĮ "Motinos Teresės šeimų namai");
3) Išvadų dėl asmens gebėjimo pasirūpinti savimi rengimas;
4) Paramos maisto produktais ir asmens higienos priemonėmis teikimo labiausiai nepasiturintiems Šiaulių miesto gyventojams organizavimas (partneris - Labdaros ir paramos fondas "Maisto bankas");
5) Nuo rugpjūčio mėn. pradėta teikti nauja paslauga: pavėžėjimo su pagalba paslauga asmenims, turintiems negalią.</t>
  </si>
  <si>
    <t>10.01.02.08</t>
  </si>
  <si>
    <t>Įgyvendinti projektą „Kompleksinės paslaugos šeimai Šiaulių miesto savivaldybėje"</t>
  </si>
  <si>
    <t>Asmenų (šeimų), gavusių paslaugas</t>
  </si>
  <si>
    <t>398 asmenims suteiktos individualios psichologo konsultacijos, konsultacijos patiriantiems sunkumus auginant vaikus, konsultacijos asmenims patiriantiems smurtą, lektorių paskaitos. Suteikta Asmeninio asistento paslauga 14 asmenų.</t>
  </si>
  <si>
    <t>10.01.02.09</t>
  </si>
  <si>
    <t>Užtikrinti Globos centro veiklą</t>
  </si>
  <si>
    <t>Budinčių globotojų</t>
  </si>
  <si>
    <t>2020 metais 13 Globos centro budinčių globotojų laikinosios globos paslaugas suteikė 41 vaikų globos netekusiam vaikui.</t>
  </si>
  <si>
    <t>10.01.02.10</t>
  </si>
  <si>
    <t>Užtikrinti socialinės globos paslaugų teikimą vaikams, likusiems be tėvų globos</t>
  </si>
  <si>
    <t>Globojamų vaikų institucijose</t>
  </si>
  <si>
    <t>Instituciniuose vaikų globos namuose (Kuršėnų vaikų globos namai) yra globojamas 1 vaikas.</t>
  </si>
  <si>
    <t>Globojamų vaikų šeimynose</t>
  </si>
  <si>
    <t>2020 metų pradžioje 4 šeimynose buvo globojami 24 vaikai, metų pabaigoje 3 šeimynose - 21 vaikas. 2020 metų spalio mėn. 1 šeimyna buvo likviduota.</t>
  </si>
  <si>
    <t>Globojamų vaikų bendruomeniniuose vaikų globos namuose</t>
  </si>
  <si>
    <t>Bendruomeniniuose vaikų globos namuose (VŠĮ "Vilniaus SOS vaikų kaimas") 2020 metais buvo globojama 11 vaikų.</t>
  </si>
  <si>
    <t>Globojamų vaikų šeimose</t>
  </si>
  <si>
    <t>180,00</t>
  </si>
  <si>
    <t>2020 metais globėjų (rūpintojų) šeimose buvo globojami 220 tėvų globos netekusių vaikų.</t>
  </si>
  <si>
    <t>10.01.02.11</t>
  </si>
  <si>
    <t>Užtikrinti dienos socialinės globos asmens namuose paslaugos teikimą Šiaulių mieste</t>
  </si>
  <si>
    <t>10.01.02.12</t>
  </si>
  <si>
    <t>Plėsti bendruomenines paslaugas vaikams</t>
  </si>
  <si>
    <t>2020 m. parengtas projektas Bendruomeninių vaikų globos namų įrengimui Aušros al. 29.</t>
  </si>
  <si>
    <t>Pritaikyta būstų vaikų dienos centrų veiklai</t>
  </si>
  <si>
    <t>2020 m. įsigyti rangos darbai Asociacijos regbio sporto klubas "Vairas" vaikų dienos centro patalpų remontui.</t>
  </si>
  <si>
    <t>2020 m.: Dėl rangovo vėlavimo darbų užbaigimas persikėlė į 2021 m. Įranga bus įsigyjama rangovui užbaigus darbus 2021 m.</t>
  </si>
  <si>
    <t>10.01.02.13</t>
  </si>
  <si>
    <t>Įgyvendinti projektą „Vaikų gerovės ir saugumo didinimas, paslaugų šeimai, globėjams (rūpintojams) kokybės didinimas bei prieinamumo plėtra (institucinės globos pertvarka)</t>
  </si>
  <si>
    <t>Finansuojamų pareigybių skaičius Šiaulių miesto savivaldybės socialinių paslaugų centre</t>
  </si>
  <si>
    <t>Finansuojamų pareigybių skaičius Šiaulių miesto savivaldybės vaikų globos namuose</t>
  </si>
  <si>
    <t>10.01.02.14</t>
  </si>
  <si>
    <t>Plėsti grupinio gyvenimo namų tinklą</t>
  </si>
  <si>
    <t>Nupirktų butų ar gyvenamųjų namų skaičius</t>
  </si>
  <si>
    <t>10.01.02.15</t>
  </si>
  <si>
    <t>Pastatyti (pritaikyti pastatą) nakvynės namų ir apgyvendinimo paslaugoms teikti</t>
  </si>
  <si>
    <t>2020 m.: Vykdoma projekto ekspertizė.</t>
  </si>
  <si>
    <t>Įvykdytas pastato kapitalinio remonto darbų pirkimas ir pradėti kapitalinio remonto darbai</t>
  </si>
  <si>
    <t>10.01.02.16</t>
  </si>
  <si>
    <t>Užtikrinti Šiaulių vaikų globos namų „Šaltinis“ veiklą</t>
  </si>
  <si>
    <t>10.01.02.17</t>
  </si>
  <si>
    <t>Užtikrinti kompleksinių paslaugų namų „Alka" veiklą</t>
  </si>
  <si>
    <t>Paslaugas gavo 84 gavėjai, iš jų:
63 globotiniai (rūpintiniai), kuriems nustatyta nuolatinė globa;
5 vaikai, kuriems buvo teikta dienos socialinė globa institucijoje;
2 vaikai, kuriems teikta trumpalaikė socialinė globa;
12 vaikų, kurie lankė dienos užimtumo grupę vaikams su negalia;
2 šeimos auginančios vaikus su negalia, kurioms gruodžio mėn. buvo teiktos laikino atokvėpio paslaugos.</t>
  </si>
  <si>
    <t>10.01.03.</t>
  </si>
  <si>
    <t>Plėsti ir modernizuoti esamų socialinių paslaugų įstaigų infrastruktūrą</t>
  </si>
  <si>
    <t>10.01.03.08</t>
  </si>
  <si>
    <t>Atnaujinti dienos socialinės globos centro „Goda'' pastatą (Žalgirio g. 3)</t>
  </si>
  <si>
    <t>Atnaujintas pastato A korpusas</t>
  </si>
  <si>
    <t>Atnaujintas pastato B korpusas</t>
  </si>
  <si>
    <t>10.01.03.10</t>
  </si>
  <si>
    <t>Rekonstruoti Šiaulių miesto savivaldybės socialinių paslaugų centro Paramos tarnybos pastatą (Stoties g.)</t>
  </si>
  <si>
    <t>Remontuojamo pastato ploto dalis nuo viso pastato ploto</t>
  </si>
  <si>
    <t>10.01.03.11</t>
  </si>
  <si>
    <t>Naujo padalinio prie Šiaulių miesto savivaldybės globos namų (Energetikų g. 13) statyba</t>
  </si>
  <si>
    <t>10.01.03.13</t>
  </si>
  <si>
    <t>Įgyvendinti projektą „Paslaugų centro vaikams įkūrimas Šiaulių regione"</t>
  </si>
  <si>
    <t>10.01.04.</t>
  </si>
  <si>
    <t xml:space="preserve">Bendradarbiauti su nevyriausybinėmis organizacijomis, teikiančiomis socialinės reabilitacijos paslaugas </t>
  </si>
  <si>
    <t>10.01.04.01</t>
  </si>
  <si>
    <t>Finansuoti socialinės reabilitacijos paslaugų neįgaliesiems bendruomenėje projektus</t>
  </si>
  <si>
    <t>Finansuojamų projektų</t>
  </si>
  <si>
    <t>Gauta 14 paraiškų dėl projektų finansavimo. 2 projektai neatitiko konkurso sąlygų, todėl nebuvo finansuojami.</t>
  </si>
  <si>
    <t>Socialinės reabilitacijos paslaugas iš viso gavo 859 paslaugų gavėjai, iš jų: 761 suaugęs asmuo su negalia, 6 vaikai su negalia ir 92 neįgaliųjų šeimų nariai.</t>
  </si>
  <si>
    <t>10.01.05.</t>
  </si>
  <si>
    <t xml:space="preserve">Užtikrinti valstybės garantuotos piniginės socialinės paramos  teikimą </t>
  </si>
  <si>
    <t>10.01.05.01</t>
  </si>
  <si>
    <t>Skirti ir išmokėti išmokas ir kompensacijas</t>
  </si>
  <si>
    <t>Socialinių išmokų ir kompensacijų skyrius</t>
  </si>
  <si>
    <t>Išmokų gavėjų</t>
  </si>
  <si>
    <t>17 015,00</t>
  </si>
  <si>
    <t>Lėšos skirtos valstybinės (perduotoms savivaldybėms) funkcijoms atlikti Paramai mirties atveju ir paramai užsienyje mirusių (žuvusių) Lietuvos Respublikos piliečių palaikų parvežimui į Lietuvos Respubliką</t>
  </si>
  <si>
    <t>10.01.06.</t>
  </si>
  <si>
    <t xml:space="preserve">Užtikrinti išmokų vaikams teikimą </t>
  </si>
  <si>
    <t>10.01.06.01</t>
  </si>
  <si>
    <t>Skirti ir išmokėti išmokas</t>
  </si>
  <si>
    <t>19 000,00</t>
  </si>
  <si>
    <t>Išmokos mokamos pagal Lietuvos Respublikos išmokų vaikams įstatymą.2020 metais buvo mokamos 13 rūšių išmokų vaikams.</t>
  </si>
  <si>
    <t>10.01.06.02</t>
  </si>
  <si>
    <t>Administravimo išlaidos</t>
  </si>
  <si>
    <t>Patvirtintų pareigybių</t>
  </si>
  <si>
    <t>Skyriuje dirba 33 darbuotojai, kurių pareigybėse numatytas išmokų vaikams administravimas.</t>
  </si>
  <si>
    <t>10.01.07.</t>
  </si>
  <si>
    <t>Užtikrinti tikslinių kompensacijų mokėjimą</t>
  </si>
  <si>
    <t>10.01.07.01</t>
  </si>
  <si>
    <t>6 251,00</t>
  </si>
  <si>
    <t>6 000,00</t>
  </si>
  <si>
    <t>Tikslinės kompensacijos- tai mėnesinės piniginės išmokos, skiriamos ir mokamos asmenims, kuriems nustatytas specialusis nuolatinės slaugos ar nuolatinės priežiūros (pagalbos) poreikis arba neįgalumo lygis. Tikslinių kompensacijų yra 3 rūšys.</t>
  </si>
  <si>
    <t>10.01.07.02</t>
  </si>
  <si>
    <t>Skyriuje dirba 33 darbuotojai, kurių pareigybėse numatytas tikslinių kompensacijų administravimas.</t>
  </si>
  <si>
    <t>10.01.08.</t>
  </si>
  <si>
    <t>Užtikrinti kitų išmokų ir kompensacijų teikimą teisės aktuose numatytiems asmenims</t>
  </si>
  <si>
    <t>10.01.08.03</t>
  </si>
  <si>
    <t>Kompensacijos sovietinėje armijoje sužalotiems ir žuvusiųjų šeimoms</t>
  </si>
  <si>
    <t>10.01.08.05</t>
  </si>
  <si>
    <t>Kompensacijos nepriklausomybės gynėjams nukentėjusiems nuo 1991 m. sausio 11-13 d. ir po to vykdytos SSRS agresijos</t>
  </si>
  <si>
    <t>Nepriklausomybės gynėjų, nukentėjusių nuo 1991 m. sausio 11–13 d. ir po to vykdytos SSRS agresijos, šeimoms taikomos kompensacijos  už būsto šildymą, karštą vandenį, šaltą vandenį ir nuotėkas, dujas, kietą ir skystą kurą, elektros energiją, laidinio telefono abonentinį mokestį ir kitas paslaugas. Kompensacijos teikiamos 1 asmeniui.</t>
  </si>
  <si>
    <t>10.01.08.07</t>
  </si>
  <si>
    <t>Skirti kitas išmokas</t>
  </si>
  <si>
    <t>10.01.09.</t>
  </si>
  <si>
    <t>Teikti socialinę paramą mokiniams</t>
  </si>
  <si>
    <t>10.01.09.01</t>
  </si>
  <si>
    <t>Skirti socialinę paramą moksleiviams</t>
  </si>
  <si>
    <t>1 750,00</t>
  </si>
  <si>
    <t>1 730,00</t>
  </si>
  <si>
    <t>2020 m. didėjo mokinio reikmenimis aprūpintų mokinių skaičius ir nemokamą maitinimą gavusių mokinių skaičius, nes nuo 2020-01-01 mokiniams, kurie mokėsi pagal priešmokyklinio ugdymo programą bendrojo ugdymo mokyklose, nemokamas maitinimas buvo skiriamas nevertinant  šeimos pajamų, o nuo 2020-09-01 buvo skiriamas ir pagal pradinio ugdymo programą pirmoje klasėje besimokantiems pirmokams.</t>
  </si>
  <si>
    <t>10.01.10.</t>
  </si>
  <si>
    <t>Užtikrinti lengvatinio keleivių vežimo reguliaraus susisiekimo maršrutais išlaidų kompensavimą</t>
  </si>
  <si>
    <t>10.01.10.01</t>
  </si>
  <si>
    <t>Kompensuoti keleivinio transporto vežėjų išlaidas - (negautas pajamas) už lengvatinį keleivių vežimą reguliaraus susisiekimo maršrutais</t>
  </si>
  <si>
    <t>Sutartinių įsipareigojimų vykdymas</t>
  </si>
  <si>
    <t>Sutartiniai įsipareigojimai vykdomi 100 proc., gavus dokumentus kompensuojamos keleivinio transporto vežėjų išlaidos pagal pateiktas sąskaitas.</t>
  </si>
  <si>
    <t>2020 m.: Nurodytas asignavimų likutis 8 574,50 Eur nepanaudotas priemonei 10.01.10.01 dėl lėšų poreikio nebuvimo. Tačiau šis likutis panaudotas priemonei 11.03.01.04.</t>
  </si>
  <si>
    <t>10.02.</t>
  </si>
  <si>
    <t>Kurti saugią aplinką socialinės rizikos grupės vaikams, neatitraukiant jų nuo šeimos; siekti apsaugoti juos nuo smurto, valkatavimo, elgetavimo, nusikaltimų, organizuojant jų užimtumą</t>
  </si>
  <si>
    <t>10.02.01.</t>
  </si>
  <si>
    <t>Vykdyti programas socialinės apsaugos srityje</t>
  </si>
  <si>
    <t>10.02.01.01</t>
  </si>
  <si>
    <t>10.02.02.</t>
  </si>
  <si>
    <t>Užtikrinti vaikų dienos centrų veiklą</t>
  </si>
  <si>
    <t>10.02.02.01</t>
  </si>
  <si>
    <t>Finansuoti vaikų dienos centrų veiklos programas</t>
  </si>
  <si>
    <t>Vaikų, lankančių dienos centrus</t>
  </si>
  <si>
    <t>175,00</t>
  </si>
  <si>
    <t>Vaikų iš šeimų, patiriančių socialinę riziką, dalis nuo visų socialinės rizikos šeimose augančių vaikų skaičiaus</t>
  </si>
  <si>
    <t>10.03.</t>
  </si>
  <si>
    <t>Didinti socialiai pažeidžiamų gyventojų gerovę ir socialinę aprėptį aprūpinant juos būstu</t>
  </si>
  <si>
    <t>10.03.01.</t>
  </si>
  <si>
    <t>Tinkamai eksploatuoti, remontuoti ir naudoti Savivaldybei nuosavybės teise priklausančius būstus</t>
  </si>
  <si>
    <t>10.03.01.01</t>
  </si>
  <si>
    <t>Užtikrinti skolų išieškojimą ir skolininkų iškeldinimą iš savivaldybei nuosavybės teise priklausančių būstų</t>
  </si>
  <si>
    <t>Teismo sprendimų</t>
  </si>
  <si>
    <t>2020 m. buvo pradėti 10 teisminių procesų dėl gyvenamųjų patalpų nuomos sutarčių nutraukimo, skolų už nuomą priteisimo ir nuomininkų iškeldinimo. Pasirašytos 2 taikos sutartys, taip pat vyko 2 iškeldinimo procedūros.</t>
  </si>
  <si>
    <t>10.03.01.02</t>
  </si>
  <si>
    <t>Apmokėti savivaldybei nuosavybės teise priklausančių būstų eksploatavimo, administravimo, kaupimo, nuomos mokesčio surinkimo, komunalinių mokesčių, remonto išlaidas</t>
  </si>
  <si>
    <t>Apmokėtos išlaidos</t>
  </si>
  <si>
    <t>Priemonės lėšomis yra finansuojamos Savivaldybei nuosavybės teise priklausančių gyvenamųjų patalpų  techninės priežiūros, administravimo, kaupimo, komunalinių mokesčių, nuomos mokesčio surinkimo, remonto išlaidos, taip pat daugiabučių gyvenamųjų namų bendrosios dalinės nuosavybės teisės objektų remonto išlaidos. Priemonės lėšomis darbai (langų, durų, grindų dangos keitimo, elektros instaliacijos, krosnių remonto ir kiti smulkūs darbai) buvo atlikti 60 gyvenamųjų patalpų, iš jų 19 atlikti didesnės apimties remonto darbai.  Taip pat 2020 m. 16 gyvenamųjų patalpų seni mediniai langai pakeisti naujais, 13 gyvenamųjų patalpų pradėti prijungimo prie centralizuotų vandentiekio, nuotekų tinklų darbai.</t>
  </si>
  <si>
    <t>10.03.01.04</t>
  </si>
  <si>
    <t>Apmokėti savivaldybei nuosavybės teise priklausančio nekilnojamojo turto renovacijos išlaidas</t>
  </si>
  <si>
    <t>Apmokėtos renovacijos išlaidos</t>
  </si>
  <si>
    <t>Priemonės lėšomis finansuojami daugiabučių gyvenamųjų namų, kuriuose yra Šiaulių miesto savivaldybei nuosavybės teise priklausančios gyvenamosios patalpos, modernizavimo darbų išlaidos.</t>
  </si>
  <si>
    <t>10.03.02.</t>
  </si>
  <si>
    <t>Didinti būsto prieinamumą pažeidžiamoms gyventojų grupėms</t>
  </si>
  <si>
    <t>10.03.02.02</t>
  </si>
  <si>
    <t>Įgyvendinti projektą „Socialinio būsto fondo plėtra Šiaulių miesto savivaldybėje"</t>
  </si>
  <si>
    <t>Nupirktų būstų</t>
  </si>
  <si>
    <t>Nupirkta 11 butų.</t>
  </si>
  <si>
    <t>2020 m.: Butai nupirkti pigiau nei planuota, todėl 2020 m. pavyko įsigyti ir 2021 m. planuotą įsigyti butų skaičių. Sutaupius lėšų, buvo pakeista projekto finansavimo sutartis, kad būtų leista įsigyti papildomų butų iš projekto sutaupytų lėšų, tačiau dėl karantino buvo sustabdytas butų pirkimas, bei butų pirkimo-pardavimo sutarčių pasirašymas, todėl nepavyko panaudoti visų 2020 m. suplanuotų lėšų.</t>
  </si>
  <si>
    <t>10.03.02.03</t>
  </si>
  <si>
    <t>Sumokėti socialiai remtinų piliečių palūkanas už paskolas</t>
  </si>
  <si>
    <t>Priemonės lėšomis yra dengiamos socialiai remtinų piliečių palūkanos už  paskolas, kurios buvo suteiktos pagal  Lietuvos Respublikos gyventojų apsirūpinimo gyvenamosiomis patalpomis įstatymą. Paskutiniai mokėjimai bus atlikti 2023 m. kovo 19 d.</t>
  </si>
  <si>
    <t>10.03.02.04</t>
  </si>
  <si>
    <t>Didinti savivaldybės būsto fondą</t>
  </si>
  <si>
    <t>Lėšos gautos už parduotas gyvenamąsias patalpas pervedamos į savivaldybės biudžetą ir naudojamos socialinio būsto fondo plėtrai. 2020 m. parduotos 2 gyvenamosios patalpos už 11,09 tūkst. Eur.</t>
  </si>
  <si>
    <t>2020 m.: 2020 m. rodikliai nebuvo planuojami.</t>
  </si>
  <si>
    <t>10.03.03.</t>
  </si>
  <si>
    <t>Teikti paramą būstui išsinuomoti</t>
  </si>
  <si>
    <t>10.03.03.01</t>
  </si>
  <si>
    <t>Kompensuoti būsto nuomos ar išperkamosios būsto nuomos mokesčių dalį</t>
  </si>
  <si>
    <t>Paramos būstui įsigyti ar išsinuomoti įstatyme nustatyta paramos forma – būsto nuomos ar išperkamosios būsto nuomos mokesčių dalies kompensacijos mokėjimas asmenims ir šeimoms, turintiems teisę į paramą būstui išsinuomoti. Kompensacijos yra mokamos iš valstybės biudžeto specialiosios tikslinės dotacijos savivaldybės biudžetui. 2020 m. iš viso sumokėta 22,75 tūkst. Eur būsto nuomos mokesčio dalies kompensacijų 25 asmenims (šeimoms).</t>
  </si>
  <si>
    <t>10.04.</t>
  </si>
  <si>
    <t>Kurti saugią ir patrauklią socialinę aplinką šeimoms</t>
  </si>
  <si>
    <t>10.04.04.</t>
  </si>
  <si>
    <t>Skatinti jaunas šeimas</t>
  </si>
  <si>
    <t>10.04.04.01</t>
  </si>
  <si>
    <t>Užtikrinti kraitelio skyrimą šeimoms, susilaukusioms kūdikio</t>
  </si>
  <si>
    <t>Nupirktų kraitelių</t>
  </si>
  <si>
    <t>11.</t>
  </si>
  <si>
    <t>Savivaldybės veiklos programa</t>
  </si>
  <si>
    <t>Bendrųjų reikalų skyrius</t>
  </si>
  <si>
    <t>11.01.</t>
  </si>
  <si>
    <t>Efektyviai organizuoti Savivaldybės darbą ir užtikrinti Savivaldybės funkcijų įgyvendinimą</t>
  </si>
  <si>
    <t>11.01.01.</t>
  </si>
  <si>
    <t>Sudaryti sąlygas Savivaldybės funkcijoms įgyvendinti</t>
  </si>
  <si>
    <t>11.01.01.01</t>
  </si>
  <si>
    <t>Užtikrinti Savivaldybės administracijos finansinį, ūkinį ir materialinį aptarnavimą</t>
  </si>
  <si>
    <t>Administracija</t>
  </si>
  <si>
    <t>Įsigyta programinė įranga</t>
  </si>
  <si>
    <t>Eksploatuojama kompiuterių</t>
  </si>
  <si>
    <t>Valstybės karjeros tarnautojų (pareigybių)</t>
  </si>
  <si>
    <t>172,00</t>
  </si>
  <si>
    <t>Įsigyta duomenų saugyklų</t>
  </si>
  <si>
    <t>Įvykdytų planuotų administracijos remonto darbų</t>
  </si>
  <si>
    <t>2020 m. įvykdyti remonto darbai: suremontuota stogo dalis virš Ekonomikos ir investicijų skyriaus, pakeisti langai Ekonomikos ir investicijų skyriuje, įrengtos dvi stiklinės pertvaros (Miesto koordinavimo skyriuje ir antrame aukšte prie Personalo ir vidaus administravimo poskyrio), atliktas įėjimo į savivaldybės pastatą laiptų remontas.</t>
  </si>
  <si>
    <t>Organizuota mokymų/ dalyvių</t>
  </si>
  <si>
    <t>2020 m. planuota, kad mokymuose dalyvaus 250 darbuotojų.  Paskelbus valstybės lygio ekstremaliąją situaciją visoje šalyje dėl naujojo koronaviruso (COVID-19) plitimo grėsmės mokymuose dalyvavo mažiau darbuotojų, nei buvo planuota. Suorganizuoti nuotoliniai  mokymai: skyrių vedėjams "Valstybės tarnautojų pareigybių aprašymo ir vertinimo metodikos pakeitimai, kurie įsigalios 2020 m. liepos 1 d.", "Šiaulių miesto ūkio ir viešosios tvarkos administracinių ir viešųjų paslaugų optimizavimas, įvertinant teisinį reglamentavimą", administracijos darbuotojams: "Profesionalus bendravimas telefonu ir elektroniniu paštu - pozityvaus įvaizdžio ir efektyvios komunikacijos garantas", anglų kalbos mokymai, kuriuose dalyvavo 50 darbuotojų, suskirstyti į 5 grupes (A0.1, A1.1, A1.2, A2.2 ir B1.1) pagal anglų kalbos mokėjimo lygį. Taip pat dalyvauta įvairiuose mokymuose tobulinant specialiuosius ir profesinius gebėjimus, reikalingus konkrečioms pareigybės aprašyme nustatytoms funkcijoms vykdyti.</t>
  </si>
  <si>
    <t>Įsigyta organizacinės technikos</t>
  </si>
  <si>
    <t>Įsigyta kompiuterinės technikos</t>
  </si>
  <si>
    <t>Darbuotojų dirbančių pagal darbo sutartis (pareigybių)</t>
  </si>
  <si>
    <t>93,00</t>
  </si>
  <si>
    <t>Sukurtos socialinių tinklų paskyros anglų kalba</t>
  </si>
  <si>
    <t>Parengtas komunikacijos socialiniuose tinkluose priemonių planas</t>
  </si>
  <si>
    <t>Komunikacijos socialiniuose tinkluose planui buvo pradėtas pasirengimas iki karantino, įvyko keli apsitarimai. Veikia Komunikacijos grupė, planai sudaromi trumpalaikiai (nes situacija gan greit keičiasi), įrašai, temos planuojami žodžiu savaitei į priekį, reikalui esant greit pergrupuojami.
Per antrąjį ketvirtį pavyko dvigubai viršyti 2020 metams numatytą rodiklį (2000) socialinio tinklo FB lietuviškoje paskyroje. 
Instagram tinklo paskyra jau yra surinkusi pusę šiais metais numatyto sekėjų skaičiaus. Kitų soc. tinklų rodikliai taip pat artėja prie įgyvendinimo. 
Sklandus metinio rezultato siekimas kelia abejonių dėl būtinybės pirkti Komunikacijos socialiniuose tinkluose parengimo planą. Didžiąją dalį tam suplanuotų lėšų (9 tūkst. iš paskirtos 10 tūkst. sumos) būtų galima atidėti vėlesniam periodui. 1 tūkst. eurų per šiuos metus būtų galima skirti socialinio tinklo FB mokamų žinučių sklaidai.
III ketvirtyje planas jau yra parengtas, vykdomas ir nuolat tobulinamas. Jis dar bus pildomas ir keičiamas 2021 metais, atsižvelgiant į Įvaizdžio rinkodaros strategiją, kuri dabar yra rengiama (nupirkta paslauga). Planą rengėme ir vykdome savo pajėgomis, iš šono rengėjų nesamdėme, tai yra dinamiškas procesas ir patys eigoje, reaguodami į rezultatus, konsultuodamiesi bei ieškodami gerųjų praktikų pavyzdžių, tobuliname jį bei jo įgyvendinimą.</t>
  </si>
  <si>
    <t>11.01.01.02</t>
  </si>
  <si>
    <t>Užtikrinti Savivaldybės tarybos ir Savivaldybės tarybos sekretoriato finansinį, ūkinį ir materialinį aptarnavimą</t>
  </si>
  <si>
    <t>Tarybos narių</t>
  </si>
  <si>
    <t>Tarybos sekretoriato darbuotojų (pareigybių)</t>
  </si>
  <si>
    <t>11.01.01.03</t>
  </si>
  <si>
    <t>Užtikrinti finansinį, ūkinį bei materialinį Kontrolės tarnybos aptarnavimą</t>
  </si>
  <si>
    <t>Kontrolės ir audito tarnyba</t>
  </si>
  <si>
    <t>11.01.02.</t>
  </si>
  <si>
    <t>Tinkamai įgyvendinti valstybines (perduotas savivaldybei) funkcijas</t>
  </si>
  <si>
    <t>11.01.02.01</t>
  </si>
  <si>
    <t>Deklaruoti gyvenamąją vietą</t>
  </si>
  <si>
    <t>11.01.02.02</t>
  </si>
  <si>
    <t>Teikti duomenis Valstybės registrui</t>
  </si>
  <si>
    <t>11.01.02.03</t>
  </si>
  <si>
    <t>Teikti pirminę teisinę pagalbą</t>
  </si>
  <si>
    <t>Teisės skyrius</t>
  </si>
  <si>
    <t>11.01.02.04</t>
  </si>
  <si>
    <t>Nagrinėti nuosavybės teisių atkūrimą</t>
  </si>
  <si>
    <t>11.01.02.05</t>
  </si>
  <si>
    <t>Registruoti civilinės būklės aktus</t>
  </si>
  <si>
    <t>Civilinės metrikacijos skyrius</t>
  </si>
  <si>
    <t>11.01.02.06</t>
  </si>
  <si>
    <t>Tvarkyti Gyventojų registrą</t>
  </si>
  <si>
    <t>11.01.02.07</t>
  </si>
  <si>
    <t>Vykdyti valstybinės kalbos vartojimo kontrolę</t>
  </si>
  <si>
    <t>11.01.02.09</t>
  </si>
  <si>
    <t>Įgyvendinti jaunimo politiką</t>
  </si>
  <si>
    <t>11.01.02.10</t>
  </si>
  <si>
    <t>Tvarkyti archyvinius dokumentus</t>
  </si>
  <si>
    <t>11.01.02.11</t>
  </si>
  <si>
    <t>Administruoti mobilizaciją</t>
  </si>
  <si>
    <t>11.01.02.12</t>
  </si>
  <si>
    <t>Organizuoti civilinę saugą</t>
  </si>
  <si>
    <t>11.01.02.13</t>
  </si>
  <si>
    <t>Vykdyti žemės ūkio funkcijas</t>
  </si>
  <si>
    <t>11.01.02.14</t>
  </si>
  <si>
    <t>Administruoti Užimtumo didinimo programą</t>
  </si>
  <si>
    <t>11.01.02.15</t>
  </si>
  <si>
    <t>Administruoti socialines pašalpas</t>
  </si>
  <si>
    <t>11.01.02.16</t>
  </si>
  <si>
    <t>Administruoti kompensacijas</t>
  </si>
  <si>
    <t>11.01.02.17</t>
  </si>
  <si>
    <t>Administruoti socialinę paramą mokiniams</t>
  </si>
  <si>
    <t>11.01.02.18</t>
  </si>
  <si>
    <t>Administruoti socialinę globą</t>
  </si>
  <si>
    <t>11.01.02.20</t>
  </si>
  <si>
    <t>Administruoti būsto nuomos ar išperkamosios būsto nuomos mokesčių dalies kompensacijas</t>
  </si>
  <si>
    <t>11.01.02.21</t>
  </si>
  <si>
    <t>Užtikrinti informacijos apie neveiksnių asmenų būklę persvarstymą</t>
  </si>
  <si>
    <t>Komisijos inicijuoti asmens būklės peržiūrėjimai</t>
  </si>
  <si>
    <t>Peržiūrėta 14 asmenų būklė.</t>
  </si>
  <si>
    <t>2020 m.: Posėdžiai  organizuoti pagal poreikį.</t>
  </si>
  <si>
    <t>Komisijos priimti sprendimai kreiptis į teismą</t>
  </si>
  <si>
    <t>2020 m.: Nebuvo poreikio kreiptis į teismą.</t>
  </si>
  <si>
    <t>11.01.02.23</t>
  </si>
  <si>
    <t>Atlikti erdvinių duomenų rinkinio tvarkymo funkciją</t>
  </si>
  <si>
    <t>Apskaitos skyrius</t>
  </si>
  <si>
    <t>Atlikta tvarkymo funkcija</t>
  </si>
  <si>
    <t>2020 m.: Priemonė įgyvendinta.</t>
  </si>
  <si>
    <t>11.01.04.</t>
  </si>
  <si>
    <t xml:space="preserve">Diegti Savivaldybės administracijoje modernias informacines sistemas </t>
  </si>
  <si>
    <t>11.01.04.03</t>
  </si>
  <si>
    <t>Taikyti priemones, mažinančias administracinę naštą juridiniams ir fiziniams asmenims</t>
  </si>
  <si>
    <t>Įgyvendintų priemonių plano veiklų</t>
  </si>
  <si>
    <t>11.01.04.04</t>
  </si>
  <si>
    <t>Gerinti asmenų aptarnavimo ir paslaugų kokybę Šiaulių miesto savivaldybėje</t>
  </si>
  <si>
    <t>Patobulinti viešojo administravimo paslaugų organizavimo ir teikimo procesai</t>
  </si>
  <si>
    <t>Atlikta miesto ūkio, civilinės saugos, viešosios tvarkos paslaugų procesų ir procedūrų analizė, vertinimas ir tobulinimas (2 vnt.), administracijos "vieno langelio" principu teikiamų administracinių paslaugų analizė, vertinimas ir optimizavimas (10 vnt.).</t>
  </si>
  <si>
    <t>11.01.04.05</t>
  </si>
  <si>
    <t>Įgyvendinti projektą „Gyventojų kortelės integravimas į teikiamų paslaugų valdymą Jelgavos ir Šiaulių savivaldybėse"</t>
  </si>
  <si>
    <t>Įdiegta gyventojų kortelė</t>
  </si>
  <si>
    <t>Sukurtas išmanus gyventojų ir paslaugų registras, sukurtas gyventojo profilis – virtuali gyventojo kortelė.</t>
  </si>
  <si>
    <t>11.01.05.</t>
  </si>
  <si>
    <t>Gerinti Savivaldybės administracijos materialinę – techninę bazę</t>
  </si>
  <si>
    <t>11.01.05.03</t>
  </si>
  <si>
    <t>Projektų vykdymo priežiūros ir kitos inžinerinės paslaugos</t>
  </si>
  <si>
    <t>Įgyvendintos inžinerinės paslaugos</t>
  </si>
  <si>
    <t>2020 m. numatyta įsigyt ir atlikti: 6 objektų ekspertizes, 4 objektų projektų vykdymo priežiūros paslaugas, 5 objektų techninės priežiūros paslaugas, 6 objektų techninių prižiūrėtojų civilinės atsakomybės draudimus.</t>
  </si>
  <si>
    <t>11.02.</t>
  </si>
  <si>
    <t>Plėtoti bendradarbiavimą su socialiniais partneriais</t>
  </si>
  <si>
    <t>11.02.01.</t>
  </si>
  <si>
    <t>Plėtoti bendradarbiavimą su miesto teisėtvarkos institucijomis, organizacijomis</t>
  </si>
  <si>
    <t>11.02.01.01</t>
  </si>
  <si>
    <t>Įgyvendinti prevencines programas</t>
  </si>
  <si>
    <t>Įgyvendinta projektų</t>
  </si>
  <si>
    <t>Vykdant Šiaulių miesto savivaldybės nusikaltimų prevencijos 2020–2022 m. programos 2020 m. veiklos planą buvo finansuoti 9 tikslinių nusikaltimų prevencijos programos projektai.
Įgyvendinant 2020 m. Šiaulių miesto savivaldybės nusikaltimų prevencijos veiklos plano priemones buvo suorganizuota 517 renginių, akcijų, individualių konsultacijų ir užimtumo projektų. Įvairiomis informacinės sklaidos priemonėmis pasiektų žmonių skaičius –  19 171. Atlikti 86 reidai ir patikrinimai. Programos įgyvendinimo ataskaita skelbiama Šiaulių miesto savivaldybės interneto svetainėje.</t>
  </si>
  <si>
    <t>11.02.01.02</t>
  </si>
  <si>
    <t>Įgyvendinti projektą „Civilinės saugos sistemos gerinimas Šiaulių ir Jelgavos miestuose"</t>
  </si>
  <si>
    <t>Įsteigtas informacijos ir įvykių operatyvaus valdymo koordinacinis centras</t>
  </si>
  <si>
    <t>Projektas baigtas įgyvendinti. Įkurtas Miesto koordinavimo skyrius.</t>
  </si>
  <si>
    <t>11.02.02.</t>
  </si>
  <si>
    <t>Skatinti Savivaldybės bendradarbiavimą su vietos bendruomene</t>
  </si>
  <si>
    <t>11.02.02.03</t>
  </si>
  <si>
    <t>Stiprinti bendruomeninę veiklą savivaldybėse</t>
  </si>
  <si>
    <t>Vyriausiasis specialistas (nevyriausybinių organizacijų koordinatorius)</t>
  </si>
  <si>
    <t>Finansuota projektų</t>
  </si>
  <si>
    <t>11.02.02.05</t>
  </si>
  <si>
    <t>Skatinti nevyriausybinių organizacijų veiklą ir užtikrinti jų plėtrą</t>
  </si>
  <si>
    <t>Suorganizuota mokymų</t>
  </si>
  <si>
    <t>Planuota suorganizuoti mokymus seniūnaičiams</t>
  </si>
  <si>
    <t>11.02.02.06</t>
  </si>
  <si>
    <t>Dalyvauti Šiaulių vietos veiklos grupės strategijos rengime ir  įgyvendinime</t>
  </si>
  <si>
    <t>Pasirašytos projektų finansavimo sutartys</t>
  </si>
  <si>
    <t>2020 m. pasirašytos 2 biudžeto lėšų naudojimo sutartys su Šiaulių Šv. Ignaco Lojolos bažnyčia ir VšĮ Šiaulių paliatyvios pagalbos ir slaugos centru dėl įgyvendinamų projektų kofinansavimo. Parengti ir priimti tarybos sprendimai dėl lėšų skyrimo dar 4 projektams.</t>
  </si>
  <si>
    <t>11.02.02.07</t>
  </si>
  <si>
    <t>Įgyvendinti bendruomenės iniciatyvas, skirtas gyvenamajai aplinkai gerinti</t>
  </si>
  <si>
    <t>11.02.02.08</t>
  </si>
  <si>
    <t>Dalyvaujančio jaunimo veikloje procentas nuo bendro jaunimo skaičiaus</t>
  </si>
  <si>
    <t>1,20</t>
  </si>
  <si>
    <t>Dalyvių</t>
  </si>
  <si>
    <t>1 800,00</t>
  </si>
  <si>
    <t>Buvo planuota, kad jaunimo iniciatyvų projektuose dalyvaus 1500 jaunuolių, projektinėje veikloje, renginiuose dalyvavo 6819 jauni žmonės.</t>
  </si>
  <si>
    <t>11.03.</t>
  </si>
  <si>
    <t>Užtikrinti tinkamą savivaldybės lėšų planavimą ir panaudojimą</t>
  </si>
  <si>
    <t>11.03.01.</t>
  </si>
  <si>
    <t>Užtikrinti prisiimtų įsipareigojimų vykdymą</t>
  </si>
  <si>
    <t>11.03.01.01</t>
  </si>
  <si>
    <t>Vykdyti paskolų grąžinimą, palūkanų už paskolas mokėjimą, bei kitus finansinių įsipareigojimus</t>
  </si>
  <si>
    <t>Strateginio planavimo ir finansų skyrius</t>
  </si>
  <si>
    <t>Skolinių įsipareigojimų vykdymas</t>
  </si>
  <si>
    <t>Pasirašytų paskolų sutarčių</t>
  </si>
  <si>
    <t>11.03.01.02</t>
  </si>
  <si>
    <t>Mokėti  koncesijos mokestį Aukštabalio multifunkcinio komplekso operatoriui</t>
  </si>
  <si>
    <t>Sutartinių metinių įsipareigojimų vykdymas</t>
  </si>
  <si>
    <t>11.03.01.03</t>
  </si>
  <si>
    <t>Užtikrinti rinkliavos už leidimą prekiauti nuo (iš) laikinųjų prekybos įrenginių gėlėmis ir gedulo ritualo reikmenimis prie Ginkūnų ir K. Donelaičio civilinių kapinių administravimą</t>
  </si>
  <si>
    <t>Užtikrintas rinkliavos organizavimas</t>
  </si>
  <si>
    <t>Įsipareigojimai vykdomi 100 proc., atsiskaitoma pagal pateikiamas sąskaitas faktūras.</t>
  </si>
  <si>
    <t>11.03.01.04</t>
  </si>
  <si>
    <t>Kompensuoti keleivių vežimo vietiniais maršrutais organizavimo išlaidas</t>
  </si>
  <si>
    <t>Sutartiniai įsipareigojimai vykdomi 100 proc. Nuostolių kompensacija ir Operatoriaus patirtos sąnaudos apmokamos pagal UAB „Busturas“ pateiktas sąskaitas.</t>
  </si>
  <si>
    <t>11.03.01.05</t>
  </si>
  <si>
    <t>Administruoti rinkliavą Šiaulių miesto viešosiose prekybos vietose</t>
  </si>
  <si>
    <t>11.03.02.</t>
  </si>
  <si>
    <t>Organizuoti civilinę saugą, naudojant direktoriaus rezervo fondo lėšas</t>
  </si>
  <si>
    <t>11.03.02.01</t>
  </si>
  <si>
    <t>Likviduoti įvykių, ekstremalių įvykių ir ekstremalių situacijų pasekmes</t>
  </si>
  <si>
    <t>Likviduotos įvykusių ekstremalių įvykių/situacijų pasekmės</t>
  </si>
  <si>
    <t>Savivaldybės administracijos direktoriaus rezervo fondas buvo naudojamas valstybinės ekstremaliosios situacijos pasekmių likvidavimui (pandemijos suvaldymui: lėšos medicininei įrangai Respublikinei Šiaulių ligoninei; mobilaus punkto, autobusų stotelių dezinfekavimo paslaugos; biotualetų nuoma; lauko scenos stogo su šoniniu audiniu nuoma punktui; maitinimo paslaugos izoliuotis turintiems asmenims; atliekų, kurių rinkimui taikomi spec. reikalavimai, tvarkymas; transporto paslaugos izoliuotiems asmenims; asmens apsaugos ir dezinfekavimo priemonės).</t>
  </si>
  <si>
    <t>1.</t>
  </si>
  <si>
    <t>SAVIVALDYBĖS BIUDŽETAS IŠ VISO, IŠ JO:</t>
  </si>
  <si>
    <t>Savivaldybės biudžeto lėšos (SB)</t>
  </si>
  <si>
    <t>Skolintos lėšos (PS)</t>
  </si>
  <si>
    <t>Mokymo lėšos VB (ML)</t>
  </si>
  <si>
    <t>Lėšos valstybinėms funkcijoms atlikti VB (VF)</t>
  </si>
  <si>
    <t>Valstybės biudžeto lėšos (VB)</t>
  </si>
  <si>
    <t>Kelių priežiūros ir plėtros programos lėšos VB (KPPP)</t>
  </si>
  <si>
    <t>Valstybės investicijų projektų lėšos VB (VIP)</t>
  </si>
  <si>
    <t>Europos Sąjungos lėšos (ES)</t>
  </si>
  <si>
    <t>Įstaigos pajamų lėšos (PL)</t>
  </si>
  <si>
    <t>Lėšų likutis ataskaitinio laikotarpio pabaigoje (LIK)</t>
  </si>
  <si>
    <t>Aplinkos apsaugos rėmimo specialiosios programos lėšos SB (AA)</t>
  </si>
  <si>
    <t>Lėšų likutis iš Aplinkos apsaugos rėmimo specialiosios programos SB (AA/LIK)</t>
  </si>
  <si>
    <t>2.</t>
  </si>
  <si>
    <t>KITOS LĖŠOS IŠ VISO, IŠ JŲ:</t>
  </si>
  <si>
    <t>Valstybės biudžeto lėšos KT (VB)</t>
  </si>
  <si>
    <t>Europos Sąjungos lėšos KT (ES)</t>
  </si>
  <si>
    <t>Kitų šaltinių lėšos KT (KL)</t>
  </si>
  <si>
    <t>IŠ VISO:</t>
  </si>
  <si>
    <t>05</t>
  </si>
  <si>
    <t>20</t>
  </si>
  <si>
    <t>ŠIAULIŲ MIESTO SAVIVALDYBĖS 2020-2022  METŲ STRATEGINIO VEIKLOS PLANO</t>
  </si>
  <si>
    <t>2020  METŲ ĮGYVENDINIMO ATASKAITA</t>
  </si>
  <si>
    <t>Priemonės pavadinimas</t>
  </si>
  <si>
    <t>Priemonės vykdytojo kodas</t>
  </si>
  <si>
    <t>Programos tikslo/uždavinio/priemonės kodas</t>
  </si>
  <si>
    <t>Finansavimo šaltinis</t>
  </si>
  <si>
    <t>2020 m. planas</t>
  </si>
  <si>
    <t>2020 metų patikslintas planas</t>
  </si>
  <si>
    <t>2020 metais panaudotos lėšos (kasinės išlaidos)</t>
  </si>
  <si>
    <t>Asignavimai (tūkst. Eur)</t>
  </si>
  <si>
    <t>Vertinimo kriterijus</t>
  </si>
  <si>
    <t>Planuotos reikšmės</t>
  </si>
  <si>
    <t>Faktinės reikšmės</t>
  </si>
  <si>
    <t>Informacija apie pasiektus rezultatus</t>
  </si>
  <si>
    <t>Paaiškinimas dėl nukrypimo nuo vertinimo kriterijaus plano</t>
  </si>
  <si>
    <t>Pasirašyta sutartis, tačiau, pasikeitus aplinkybėms, bendru šalių susitarimu sutartis nutraukta.</t>
  </si>
  <si>
    <t>Neįgyvendinimo priežastis - projektavimo darbų vėlavimas dėl pasikeitusios teisinės bazės ir ženkliai padidėjusios darbų apimties.</t>
  </si>
  <si>
    <t>Neįgyvendinimo priežastis - pagal 2020 m. vasario 2 d. pasirašytą sutartį Nr. SŽ-79 detalųjį planą numatyta atlikti per 435 k. d. Darbų kalendoriniame grafike numatyta darbus baigti 2021-04-19.</t>
  </si>
  <si>
    <t>Teismai baigėsi 2020-03-18 d. nutartimi Savivaldybės naudai. 2020-04-28 Nr. SŽ-539 pasirašyta sutartis dėl nuostolių atlyginimo. 2020-04-30 raštu Nr. S-1524 sutartis perduota NŽT ir paprašyta toliau tęsti procedūras.  2020-05-26 S-1848 pakartotinai NŽT prašėme tęsti procedūras. 2020-06-26 S-2411 išsiųstas NŽT paklausimas dėl procedūrų eigos. 2020-09-22 S-3588 prašėme NŽT paskubinti Sprendimo priėmimą. 2020-10-05 S-3837 pateikėme papildomus paaiškinimus kad greičiau būtų priimtas Sprendimas. 2020-11-19 G-10079 gautas NŽT atsisakymas priimti sprendimą nurodant motyvus, kad savininkui turi būti užtikrintas teisingas atlyginimas, atitinkantis realią  žemės sklypo rinkos kainą (ankstesnė vertinimo ataskaita atlikta 2016 m.). Apie tai supažindintas savininkas ir gautas savininko pritarimas dėl naujos ataskaitos parengimo.</t>
  </si>
  <si>
    <t>Pagal Sutartį ir teisės aktus, NŽT turi priimti sprendimą paimti žemę visuomenės poreikiams (Sprendimas dar nepriimtas), ir tik po sprendimo priėmimo įgyjame pareigą sumokėti savininkui už paimamą žemę. Tolimesnės procedūros bus vykdomos 2021 m. Neįgyvendinimo priežastis - užsitęsę kitų institucijų sprendimų priėmimai.</t>
  </si>
  <si>
    <t xml:space="preserve">Darbai atliekami pagal poreikį. </t>
  </si>
  <si>
    <t>1. Pagal 2020 m. birželio 17 d. sutartį Nr. SŽ-744 atnaujintos Šiaulių bulvaro TIC rodyklės, t. y. pagamintos ir pakabintos ant esamų nuorodų stulpų 8 vnt. rodyklių. 2. Pagal 2020 m. spalio 6 d. sutartį Nr. SŽ-1215 parengtas projektas, pagamintas ir sumontuotas informacinis stovas prie skulptūrinio dizaino akcento "Geležinė lapė".</t>
  </si>
  <si>
    <t>Neįgyvendinimo priežastis - dėl viešųjų konkursų, įrangos pirkimo procedūrų vėlavimo.</t>
  </si>
  <si>
    <t>Dėl problemų su kioskais, neparengtas planuotas Dainų tako (bulvaro) atnaujinimo techninis projektas</t>
  </si>
  <si>
    <t>Parengta 15 projektų: 1) Dubijos - Serbentų sąnkryžos techninis darbo projektas; 2) Industrinio parko II etapo projekto koregavimo techninis projektas; 3) Radviliskio g. saligatviu projektas; 4) Vytauto g. projektas; 5) Aukštabalio g. nuo Tilžės g. iki Išradėjų g. projektas ir ekspertizė.  6) Tiesos g., Rasos g. projektas; 7) Sondeckio g. projektas; 8) S.Šalkauskio g. techninis darbo projektas. 9) Salantų g. apšvietimo tinklų projektas. 10) Žiemgalių gatvės naujos statybos  techninis darbo projektas, atlikta bendroji projekto ekspertizė, inžineriniai, geologiniai ir geotechniniai tyrimai. 11) Infrastruktūros sutvarkymo šalia senųjų (Talkšos) kapinių projektinių pasiūlymų rengimo, techninės užduoties ir paraiškų prisijungimo sąlygoms gauti paslauga. 12) Radviliškio g. nuo Dubijos iki Vilniaus g. kapitalinio remonto/rekonstravimo projekto projektiniai pasiūlymai ir techninis darbo projektas, atlikta projekto bendroji projekto ekspertizė. 13) J. Basanavičiaus g. nuo Vaidoto g. iki miesto ribos techninis darbo projektas. 14) Vandens nuvedimo nuo Vėtrungės g. surinkimo kolektoriaus į Šventupio upelį projektinių pasiūlymų parengimas. 15) Gardino gatvės Šiaulių mieste kapitalinio remonto/rekonstravimo, įrengiant automobilių stovėjimo aikšteles projektiniai pasiūlymai.</t>
  </si>
  <si>
    <t>Dėl Covid-19 pandeminės situacijos, įvestų karantinų neįvyko 10 kultūros projektų: „Baltoji varnelė“, „Tūto“,“Tebūnie šviesa“, „Europos muziejų naktis“, Fortepijonų duetų festivalis, spektaklio „Apvaliojo stalo riteriai“ pristatymas, dainavimo mokyklos „Dagilėlis“ 20-metis, „Kalėdos su „Dagilėliu“, „Filmuoja Šiauliai“, knygos „Evangelikų liuteronų bažnyčios istorijos pėdsakais“ leidyba.</t>
  </si>
  <si>
    <t>Dvi Šiaulių miesto savivaldybės premijos po 1500 Eur skirtos šiems Valstybinio Šiaulių dramos teatro aktoriams: MONIKAI GEŠTAUTAITEI už reikšmingą meninę veiklą Valstybiniame Šiaulių dramos teatre, Marijos Antonovnos vaidmenį spektaklyje „Revizorius“ (rež. Aidas Giniotis) ir Elenos vaidmenį spektaklyje „Vasarvidžio nakties sapnas“ (rež. Paulius Ignatavičius); ARNUI AŠMONUI už reikšmingą meninę veiklą Valstybiniame Šiaulių dramos teatre ir Chlestakovo vaidmenį spektaklyje „Revizorius“ (rež. Aidas Giniotis).
2020 metais 4 kultūros ir meno premijos po 3500 Eur skirtos: LAURAI REMEIKIENEI, atlikėjai, kompozitorei;  ROLANDUI PARAFINAVIČIUI, fotomenininkui, žurnalistui; DARIUI DAKNIUI, atlikėjui, kompozitoriui, etninės kultūros puoselėtojui; REDAI IR ARŪNUI UOGINTAMS, menininkams.
2019 metais paskirtos 2020 metų 4 stipendijos po 1800 Eur, išmokant dalimis kas mėnesį po 150 Eur, šiems jauniesiems menininkams: ORINTAI LUKAUSKAITEI, akordeonistei; JONUI VOZBUTUI, akordeonistui; ŽIVILEI SPŪDYTEI-BLĖDEI, grafikei; SIMONAI BAGDONAITEI-GUBINIENEI, grafikei. 
2020 metais paskirtos 2021 metų  4 stipendijos po 1800 Eur, išmokant dalimis kas mėnesį po 150 Eur, šiems jauniesiems menininkams: UGNEI KRIKŠČIŪNAITEI, smuikininkei; GABIJAI KORSAKAITEI, grafikei; IEVAI SLONKSNYTEI, dizaino grafikei; ROBERTAI STONKUTEI, literatei.
2020 m. už geriausią kultūrinės edukacijos projektą 2000 Eur premija skirta Šiaulių dailės galerijai, kuri apdovanota už geriausią kultūrinės edukacijos projektą „Edukacinė programa vaikams ir jaunimui „Menopolis“.</t>
  </si>
  <si>
    <t xml:space="preserve"> 2020 m.  finansuoti 6 reprezentaciniai festivaliai iš 7 planuotų: tarptautinis Chaimo Frenkelio vilos vasaros festivalis, tarptautinis bigbendų festivalis „Big Band Festival Šiauliai“, Lietuvos, Latvijos ir Estijos kaimo muzikantų ir kapelijų festivalis „Ant rubežiaus“, šiuolaikinio meno festivalis “Virus“, festivalis „Šiaulių Monmartro respublika“, meno festivalis-akcija „Šiaulių kultūros naktys“.</t>
  </si>
  <si>
    <t xml:space="preserve">Dėl Covid-19 pandemijos neįvyko festivalis „Resurrexit“ </t>
  </si>
  <si>
    <t xml:space="preserve"> dėl Covid-19 pandemijos neįvyko kolektyvų gastrolės ir išvykos</t>
  </si>
  <si>
    <t>2020 m. balandžio 28 d. baigtas vykdyti projektas daugiau nei 4 000 000, tūkst. Eur vertės „Šiaulių kultūros centro aktualizavimas (Aušros al. 31)“ – atlikta 100 proc. planuotų pastato kapitalinio išorės ir vidaus remonto darbų. Sukurtos naujos daugiafunkcės erdvės, pritaikytos išplėstoms kultūrinėms veikloms. Įrengtos keturios modernios salės: Didžioji koncertų (stacionari scena, 570 sėdimų vietų), Kamerinė (stacionari scena, 270 sėdimų vietų ir galimybė keisti sėdėjimo modulį), Oranžinė salė (mobili scena su mobiliomis garso, apšvietimo, vaizdo transliavimo įrangomis), pramogų salė „Maksas“ (mobili scena su mobiliomis garso, apšvietimo, vaizdo transliavimo įrangomis). Įkurta moderni garso įrašymo studija, perkusijos studija, sukurtos trys edukacinės erdvės ir kt. Sukurtos viešosios lankytojų zonos, įrengtos rūbinės, priimamasis, poilsio vietos, taip pat grimo patalpos atlikėjams, repeticijų patalpos mėgėjų meno kolektyvams (13 kolektyvų). Pakeistos vėdinimo, šildymo, elektros tiekimo ir apšvietimo sistemos. Įsigyta ir įdiegta 100 proc. integruotos technikos – įgarsinimo, apšvietimo, vaizdo atkūrimo sistemų, interaktyvių stendų, baldų sistemų ir kt.</t>
  </si>
  <si>
    <t>2020 m. pradėti priestato statybos ir koncertų salės rekonstrukcijos darbai, kurie pagal rangos darbų sutartį turi būti atlikti iki 2021 m. liepos mėn. Per 2020 m. atlikti šie planuoti darbai (procentais): darbo projekto parengimas (100 proc.), rekonstravimo darbai, iš jų: lauko vandentiekio tinklų įrengimas (100 proc.), lauko lietaus nuotekų tinklų įrengimas (100 proc.), lauko buitinių nuotekų tinklų įrengimas (80 proc.), buitinių nuotekų iš rūsio patalpų įrengimas (0 proc.), lauko šilumos tinklų įrengimas (80 proc.), konstrukcijų ardymo darbai (70 proc.), žemės darbai (100 proc.), pamatų ir rūsio grindų įrengimas (70 proc.), gelžbetoninių monolitinių kolonų montavimas (20 proc.).</t>
  </si>
  <si>
    <t xml:space="preserve"> Dėl būtinybės koreguoti techninį projektą rengiant darbo projektą ir dėl rangos darbų vėlavimo. </t>
  </si>
  <si>
    <t xml:space="preserve">2020 m. balandžio 24 d. buvo pasirašyta statybos rangos sutartis tarp Šiaulių kultūros centro ir UAB „Aukstata“ ir pradėtas vykdyti projektas „Šiaulių miesto centrinio parko estrados modernizavimas ir pritaikymas visuomenės poreikiams“. Per 2020 m. atlikti šie darbai: demontuotas senasis Estrados pastatas, scena ir žiūrovų tribūnos; suformuoti tribūnos šlaitai, išbetonuoti suoliukai; išbetonuoti pamatai scenos stogo kolonoms, sukonstruotos aptarnaujančio pastato monolitinės konstrukcijos, iki pastato atvestos inžinerinės komunikacijos. </t>
  </si>
  <si>
    <t xml:space="preserve">Stringa viešųjų pirkimų procedūros, sutartys pasirašomos vėliau nei planuota ir dėl tos priežasties darbų pabaiga nusikelia į 2021 ir 2022 metus. </t>
  </si>
  <si>
    <t>2020 m. baigtas įgyvendinti projektas „Tarptautinis kultūros turizmo kelias – Baltų kelias“ ir įkurtas inovatyvus „Baltų kelio“ centras. Siekiant skatinti gamtos ir kultūros paveldo objektų išsaugojimą, darnų jų vystymą ir informacijos sklaidą apie baltų paveldo objektus, Lietuvos ir Latvijos partneriai nuo 2017 m. vykdė bendras veiklas 4 Lietuvos regionuose (Klaipėdos, Telšių, Šiaulių ir Panevėžio) bei 2 Latvijos regionuose (Kuržemė, Žiemgala). Pagrindinis projekto tikslas – didinti lankytojų skaičių kuriant tarpvalstybinį maršrutą „Baltų kelias“. Projekto vykdymo laikotarpiu suorganizuoti informaciniai seminarai įvairioms tikslinėms grupėms iš abiejų valstybių, įgyvendintas rinkodaros priemonių kompleksas, parengtas kelionių vadovas, mobili aplikacija, žemėlapis, reklaminiai vaizdo klipai, sukurti trys interaktyvūs produktai, parengta galimybių studija, dalyvauta tarptautinėse parodose ir mugėse. Šiaulių turizmo informacijos centras vykdė pagrindinį projekto uždavinį – „Baltų centro“ įkūrimą, kuriam buvo skirta 75 proc. viso projekto biudžeto – 175 188,10 Eur. Lėšos panaudotos interjero projektavimo paslaugoms ir techninei projekto darbų įgyvendinimo priežiūrai, interaktyvių IT žaidimų su IT inventoriumi, kompiuterinių žaidimų, programinės įrangos įsigijimui, ekspozicinės įrangos ir edukacinio inventoriaus įsigijimui, baldinės įrangos įsigijimui ir sumontavimui, interjero įrengimo ir statybos rangos darbams, „Baltų kelio“ interneto svetainės www.baltukelias.lt kūrimui, modifikavimui ir atnaujinimui, darbo grupių susitikimams, projekto viešinimo veiklai organizuoti, auditavimui, darbo užmokesčiui ir kt.</t>
  </si>
  <si>
    <t xml:space="preserve"> Projekto įgyvendinimo laikotarpis nuo 2020-06-01 iki 2022-05-31. 2020 m. įvykdyta 10 proc. (iš 30 proc.) numatytų projekto veiklų: organizuoti darbo grupės ir iniciatyvinės grupės posėdžiai, sukurtas animuotas vaizdo įrašas, įsigytos ūkinės prekės „Baltų kelio“ centrui. </t>
  </si>
  <si>
    <t xml:space="preserve"> Dėl Covid-19 pandemijos ir įvestų karantinų 2020 m. įvykdyta 10 proc. (iš 30 proc.) numatytų projekto veiklų: nebuvo galimybės dalyvauti šventėje „Baltų vienybės diena 2020“ ir susitikimuose su projekto partneriais; neįvyko vadovų / gidų mokymai.</t>
  </si>
  <si>
    <t xml:space="preserve"> Pagrindinė projekto idėja – per saulę, ryškiausią dangaus objektą, lemiantį gamtos ir žmogaus ritmą, pasaulio suvokimą, žmogaus gyvenimo formavimą, labiausiai atsispindintį kultūros reiškiniuose, tradicijose, ypatingai – Šiaulių, Joniškio, taip pat ir Jelgavos miestų identitetuose, kurti 4 tarpvalstybinius maršrutus, kurti / plėtoti renginius akcentuojant 4 metų laikus, 4 pasaulio sukūrimo elementus, 4 žmogaus gyvenimo tarpsnius. Projekto uždaviniai: skatinti atvykstamąjį ir vietinį turizmą Šiaulių mieste ir regione, mažinti turistinio sezoniškumo įtaką, didinti miesto pažinimą ir reprezentavimą įdiegiant turistams patogias inovatyvias technologines priemones, didinti esamų ir naujų turizmo maršrutų patrauklumą vietos ir užsienio turistams dizaino, rinkodaros priemonėmis. Projekto įgyvendinimo laikotarpis nuo 2020-06-01 iki 2022-05-31. 2020 m. įvykdyta 1 proc. (iš 36 proc.) numatytų projekto veiklų: kartu su projekto partneriais pradėta rengti turizmo produkto koncepcija.</t>
  </si>
  <si>
    <t xml:space="preserve"> Dėl Covid-19 pandemijos ir įvestų karantinų 2020 m. įvykdyta 1 proc. (iš 36 proc.) numatytų projekto veiklų. Dėl Covid-19 pandemijos projekto partneriui Jelgavos (Latvija) savivaldybei nepavyko sukurti turizmo produkto koncepcijos, atlikti tyrimų. Neužbaigus turizmo produkto koncepcijos kūrimo, nebuvo galima tęsti tolimesnių darbų visiems projekto partneriams.</t>
  </si>
  <si>
    <t>2020 m. Šiaulių turizmo informacijos centras parengė Šiaulių miesto įvaizdžio rinkodaros strategijos gaires, jos buvo pristatytos viešai IV Šiaulių krašto turizmo forume ir Šiaulių miesto savivaldybės Turizmo tarybos posėdyje. Pranešimus perskaitė Šiaulių miesto įvaizdžio rinkodaros strategijos gairių rengėjai Mykolo Romerio universiteto (MRU) docentai dr. doc. Miglė Černikovaitė ir doc. Valdas Dambrava. Buvo koordinuoti darbo grupės, kurią sudarė Šiaulių miesto savivaldybės administracijos ir Šiaulių turizmo informacijos centro atstovai, susitikimai (7) Šiaulių miesto įvaizdžio rinkodaros strategijos gairių rengimo etape. IV Šiaulių krašto turizmo forumo transliacijai įsigyta nuotolinės konferencijos licencija. Organizuotos kūrybinės dirbtuvės apie miesto įvaizdžio turizmo rinkodaros strategiją, parengtas ir skaitytas pranešimas „Turizmo sektoriau bendradarbiavimo įtaka įvaizdžio gerinimui“.</t>
  </si>
  <si>
    <t>Įgyvendinant projektą atsirado poreikis koreguoti detalųjį planą, inicijuotas detaliojo plano koregavimo procesas.</t>
  </si>
  <si>
    <t>2020 m. nuspręsta koreguoti detalųjį planą „Šiaulių miesto buitinių atliekų sąvartyno ir žaliųjų atliekų kompostavimo aikštelės detalusis planas Kairių kaime, Kairių seniūnijoje, Šiaulių rajone". Rangos darbų vykdyti negalima, kol nepatvirtinta detaliojo plano korekcija.</t>
  </si>
  <si>
    <t xml:space="preserve"> Neįrengtos likusios pusiau požeminių konteinerių aikštelės, t.y., 189 vnt., nes užtruko projektavimo, derinimo procedūros, taip pat sustabdyti darbai dėl pastebėtų apdailos defektų.</t>
  </si>
  <si>
    <t>5</t>
  </si>
  <si>
    <t>2020 m.: Projektai: Aviacijos g. 9 ir Aviacijos g. 11 sklypų želdinių inventorizacija; Aukštabalio g. atkarpos tarp Baltų g. ir Serbentų g. augančių želdinių inventorizacija; Želdinių inventorizavimas ir naujų sodinimo vietų parinkimas: Vilniaus g. nuo 22 iki 34 žali plotai nuo gatvės pusės iki daugiabučių; Dubijos g. žalios zonos; Jablonskio g. (nuo Žemaitės g. iki miesto ribos).  Atlikta Želdinių inventorizavimo ir naujų sodinimo vietų parinkimo projekto Jono Jablonskio g. tvarkymo dalis.</t>
  </si>
  <si>
    <t>Sausio - vasario mėn. nugenėta 966 medžiai. Kovo mėn. nugenėti 110 vnt. medžių.</t>
  </si>
  <si>
    <t>Darbų atlikta mažiau, nes užtruko pirkimo procedūros, buvo skelbiama pora kartų, ir sutartis pasirašyta tik rugpjūčio mėnesį, paslaugos nebuvo vykdomos nuo 2020-05 iki 2020-08.</t>
  </si>
  <si>
    <t xml:space="preserve"> Pasodinti 96 vnt. medžių sodinukai ir 450 vnt.visžalių krūmų</t>
  </si>
  <si>
    <t xml:space="preserve"> Atlikti Liepto, esančio Prūdelio tvenkinyje, remonto darbai.</t>
  </si>
  <si>
    <t>546</t>
  </si>
  <si>
    <t xml:space="preserve"> Pasirašyta sutartis su UAB Galutinis tikslas dėl griovių tvarkymo. Išvalyta pralaidų, griovių 30-tyje teritorijų</t>
  </si>
  <si>
    <t>Šiaulių municipalinė aplinkos tyrimų laboratorija vykdė aplinkos oro, paviršinio vandens ir triukšmo stebėseną. Įsigytos kalibracinės dujos, cheminiai reagentai, atnaujinta laboratorinė įranga, atliktas prietaisų remontas</t>
  </si>
  <si>
    <t xml:space="preserve"> Parengta 2020 metų Šiaulių miesto oro, paviršinių vandens telkinių stebėsenos ataskaita.</t>
  </si>
  <si>
    <t>Pavasarį, siekiant sumažinti aplinkos oro taršą kietosiomis dalelėmis (KD10), valoma gatvių su asfalto danga važiuojamoji dalis.Gatvių sąšlavų surinkimas pradėtas kovo mėn</t>
  </si>
  <si>
    <t>Stebima požeminio vandens lygis, fizikiniai ir cheminiai rodikliai.Požeminio vandens monitoringo darbai buvo vykdomi 18-oje tyrimo vietų. Buvo tiriami gruntinio, tarpmoreninio ir permo vandeningieji sluoksniai. Dirvožemio tyrimai buvo vykdomi 16-oje vietų. Buvo stebimi fizikiniai, cheminiai rodikliai. Parengta ataskaita.</t>
  </si>
  <si>
    <t xml:space="preserve"> Įvykdžius aplinkosauginio švietimo projektų konkursą, buvo dalinai paremti 9 projektai</t>
  </si>
  <si>
    <t>2020 m.: Vykdant visuomenės aplinkosaugos švietimą, 2021 metams užsakyta 10 savaitraščio „Žaliasis pasaulis“ ir 12 žurnalo „Miškai“ prenumeratų. Šios prenumeratos skirtos Šiaulių miesto savivaldybės viešosios bibliotekos filialams, Šiaulių apskrities Povilo Višinskio viešajai bibliotekai, Šiaulių miesto savivaldybės administracijai ir Šiaulių miesto švietimo įstaigoms. Buvo įsigyta 15 knygų gamtos, želdinių tema</t>
  </si>
  <si>
    <t xml:space="preserve"> Per 2020 m. metus įsigyta mažiau leidinių, nes dėl karantino nevyko renginiai (Žemės diena, Paukščių sugrįžimo šventė, Gyvūnijos diena), kurių metu knygos dovanojamos dalyviams.</t>
  </si>
  <si>
    <t>Buvo organizuojama Europos judumo savaitė.</t>
  </si>
  <si>
    <t xml:space="preserve"> Pasaulinė žemės diena dėl prasidėjusio karantino neįvyko</t>
  </si>
  <si>
    <t>Buvo organizuojama Europos judumo savaitė, kurios metu vyko žygiai: ekskursijos po Šiaulių miestą, Talkšos ir Salduvės miško parkus, įgyvendintas interaktyvus žaidimas šeimai „Kur teka vandenys Šiauliuose?“. Organizuota ekskursija judėjimo negalią turintiems žmonėms.</t>
  </si>
  <si>
    <t xml:space="preserve"> Paremtas egzotinių gyvūnų kampelis, buvo užtikrintos Šiaulių jaunųjų gamtininų centre "Gyvūnijos sode" gyvenančių gyvūnų laikymo sąlygos. Šiaulių jaunųjų gamtininkų centras vykdo neformaliojo suaugusiųjų ir vaikų švietimo kraštotyros, gamtos, ekologijos ir kitų ugdymo krypčių programas. Gyvūnai naudojami visuomenės švietimui, organizuojant įvairias edukacines programas.</t>
  </si>
  <si>
    <t xml:space="preserve"> Jaunųjų gamtininkų centrui pavesta Salduvės ir Talkšos miško parkuose rinkti šiukšles, šalinti nukritusius medžius iš parkų erdvės ir kt. Pakeisti stendai prie Žuvininkų ir Svajonių gatvių sankryžos ir Žuvininkų gatvėje ties įvažiavimu į Šiaulių jaunųjų gamtininkų centro Jojimo skyrių, nes senieji buvo panaikinti remontuojant gatves. Buvo remontuojami pastatyti statiniai (sūpynės, suoliukai), ekologinio tako stulpai ir nuorodos, sezono metu  pjaunama žolė.</t>
  </si>
  <si>
    <t xml:space="preserve"> Apmokama Rėkyvos ugniagesių savanorių draugijai už gaisrų prevenciją - Rėkyvos ežero pakrančių stebėjimą. Draugija 3 kartus vyko į iškvietimus. UAB „Žalvaris“ surinko 7 skirtingų rūšių pavojingųjų atliekų ir jas utilizavo. UAB "Ecoservice" surinko ir išvežė utilizuoti 6,12 tonos asbestinio šiferio.</t>
  </si>
  <si>
    <t>Atlikta reguliari 5-ių šunų vedžiojimo aikštelių priežiūra, remonto ir modernizavimo darbai šunų vedžiojimo aikštelėse: Lieporių parke, Pelkių g., Mechanikų g. (tvoros įtempimas, remontas ir kt.). Vykdytas viešasis pirkimas, 2020 m. gegužės 27 d. pasirašyta Šunų išvedžiojimo aikštelių (voljerų), kačių šėrimo, vietų ir gyvūnų priežiūrai skirtos įrangos priežiūros paslaugos sutartis Nr. SŽ-640 su nauju rangovu, mažesniais įkainiais. Taip pat dėl poreikio nebuvimo nevykdyta šunų vedžiojimo aikštelių šienavimo paslauga kovo-balandžio ir spalio-lapkričio mėn. bei sniego kasimo paslauga. Nevykdytas šunų vedžiojimo aikštelės tvoros keitimas Pelkių g., dėl rangovo žmogiškųjų išteklių trūkumo karantino metu.</t>
  </si>
  <si>
    <t>Pagrindinės išlaidos gatvių apšvietimui ir gatvių valymui, smulkesnės išlaidos šaligatvių valymui, žaliųjų plotų šienavimui, kapinių priežiūrai, medžių kirtimui, gėlynams, vykdoma pagal Rėkyvos, Medelyno seniūnijų poreikį. Už  benamių gyvūnų gaudymą (laikymą) mokamas fiksuotas mėnesio mokestis 3,3 tūkst. Eur ; vykdoma Ginkūnų kapinių, K.Donelaičio kapinių ir kitų kapinių priežiūra, kapinių atliekų surinkimas ir išvežimas.</t>
  </si>
  <si>
    <t xml:space="preserve"> Vykdytas K. Donelaičio kapinių kelių asfaltavimas; Informacinių stendų įrengimas kapinėse; šaligatvio įrengimas ir kelio atkarpos remontas Ginkūnų kapinėse</t>
  </si>
  <si>
    <t xml:space="preserve"> Numatyti darbai nebuvo atlikti dėl covid-19 sutrikusio granito tiekimo iš Portugalijos</t>
  </si>
  <si>
    <t>Vyturių gatvės naujo apšvietimo įrengimo darbai pilnai atlikti.</t>
  </si>
  <si>
    <t xml:space="preserve"> Atlikti Tilžės g.kapitalinis remontas, įrengiant naują  pėsčiųjų perėjos šviesoforą Tilžės g. 9 C (prie IRIS).</t>
  </si>
  <si>
    <t>Viešojo konkurso metu pasirašyta sutartis, kurios vertė 24520 Eur.(bendra objekto kaina 25638,04 Eur (įskaičiuota techninė priežiūra, projekto ekspertizė), o už likusius 17061,96 neįmanoma rekonstruoti šviesoforinės sankryžos, nes nepakanka lėšų tokiems darbams.</t>
  </si>
  <si>
    <t>Didesnis nei planuota rodiklis pasiektas, kadangi metų eigoje didinti asignavimai priemonei, tačiau siekiamas rodiklis nekoreguotas.</t>
  </si>
  <si>
    <t>Mažesnis nei planuota rodiklis pasiektas dėl techninio projekto klaidų, tikslinamas techninis projektas, dėl to vėluoja rangos darbų vykdymas.</t>
  </si>
  <si>
    <t xml:space="preserve">Paklotas optinio pluošto kabelis nuo Aušros al. 19, Šiauliai iki Žemaitės g. 70 B. Atliktas Šiaulių miesto viešųjų erdvių vaizdo stebėjimo proceso poveikio duomenų apsaugai vertinimas. Įrengtos 4 kameros Draugystės prospekte. Taip pat pradėti 13 kamerų įrengimo darbai Vytauto g., pagal sutartį SŽ-1455 atliktas apmokėjimas, pasirašytas priėmimo-perdavimo aktas su trūkumų nustatymo aktu. Trūkumai bus pašalinti ir kameros įrengtos ne vėliau kaip 2021 m. balandžio 15 d.   </t>
  </si>
  <si>
    <t xml:space="preserve"> Atlikti Žemaitės g. viaduko konstrukcijos rekonstrukcijos darbai 40 proc., Poilsio g. rekonstrukcija, Sondeckio g., Dubijos g.; Gardino g.; Tilžės dviračių takas nuo Vaidoto g. iki miesto ribos, Tilžės - Gegužių sankryža, gatvių dangos laboratoriniai tyrimai.</t>
  </si>
  <si>
    <t xml:space="preserve"> Esant karantinui, rangovas negalėjo atlikti visų numatytų darbų, todėl visos planuotos lėšos nebuvo spėtos panaudoti.</t>
  </si>
  <si>
    <t xml:space="preserve"> Didesnis nei planuota rodiklis pasiektas, kadangi metų eigoje didinti asignavimai priemonei, tačiau siekiamas rodiklis nekoreguotas.</t>
  </si>
  <si>
    <t>Baigti II ir III etapų darbų likučiai, IV, V, VI etapuose įrengta važiuojamoji dalis, iki Lingailių gatvės įrengtas pėsčiųjų dviračių takas.</t>
  </si>
  <si>
    <t>600000</t>
  </si>
  <si>
    <t>Inžineriniai tinklai nebuvo iškelti, nes iki spalio mėnesio nebuvo poreikio. Atsiradus poreikiui pradėtos tinklų iškėlimo derinimo procedūros, viešojo pirkimo organizavimas. Tinklai bus iškelti 2021 m.</t>
  </si>
  <si>
    <t xml:space="preserve"> Neužbaigti II etapo šaligatvių įrengimo darbai. Įvykdžius pirkimus sutaupyta projekto lėšų, atliktas finansavimo sutarties pakeitimas siekiant kompensuoti patirtas kelio jungties tarp LEZ teritorijos ir oro uosto teritorijos įrengimo patirtas išlaidas.</t>
  </si>
  <si>
    <t>Per metus suformuotose žemės sklypuose atlikta 52 gatvių kadastriniai tikslinimai . Patikslinti 5 pastatų Žaliūkių g. 152, Radviliškio 100-1, Žemaitės g. 71, Jankausko g. 21, Gumbinės g. 18) kadastro duomenys. Atlikta 26 kiemo statinių kadastriniai matavimai pagal suformuotus žemės sklypus. Atlikta įvairių nekilnojamojo turto objektų registracija Nekilnojamojo turo registre.</t>
  </si>
  <si>
    <t>Paslaugos yra suteikiamos pagal poreikį</t>
  </si>
  <si>
    <t>Turtas draudžiama pagal poreikį. Draudžiamas turtas po įgyvendintų projektų. 2020 m. poreikis nesusiformavo.</t>
  </si>
  <si>
    <t>Apmokama už tuščių patalpų komunalines paslaugas (elektra, šildymas ir kt.), taip pat už pastatų apsaugą, pagal pateiktas sąskaitas.</t>
  </si>
  <si>
    <t>Nupirkta lietaus nuotekų tinklų vertinimo paslauga. Atlikta 24 863,10 km lietaus nuotekų trasų turto vertinimas. Tinklai perduoti kaip įstatinis kapitalas UAB ,,Šiaulių vandenys".</t>
  </si>
  <si>
    <t xml:space="preserve"> Projekto finansavimo sutartis pasirašyta tik 2020 m. lapkričio mėn., todėl veiklų įgyvendinimo pabaiga nusikėlė į 2021 m. I ketv. Taip pat įvykdžius viešąjį pirkimą  bešeimininkių pastatų griovimas buvo įsigytas pigiau nei planuota.</t>
  </si>
  <si>
    <t>Dėl karantino neįvyko dalis varžybų.</t>
  </si>
  <si>
    <t>Dėl karantino nebuvo galima vykdyti dalies renginių.</t>
  </si>
  <si>
    <t xml:space="preserve"> Dėl karantino neįvyko didžioji dalis varžybų.</t>
  </si>
  <si>
    <t>Dėl koronaviruso pandemijos 2020 m. nevyko pasaulio vaikų žaidynės, Sportininkų pagerbimo vakaras. Taip pat nebuvo pasirašyta Finansavimo sutartis su vienu Paraiškos teikėju ir viena sporto organizacija grąžino lėšas.</t>
  </si>
  <si>
    <t xml:space="preserve"> Dėl karantino neįvyko dalis tarptautinių varžybų.</t>
  </si>
  <si>
    <t xml:space="preserve"> Dėl karantino nebuvo galima vykdyti dalies renginių.</t>
  </si>
  <si>
    <t>Dėl karantino neįvyko dalis tarptautinių varžybų.</t>
  </si>
  <si>
    <t>Tarptautinėse varžybose nedalyvavo, nes dėl karantino buvo nutrauktas varžybų sezonas - Šiaulių vyrų tinklinio komanda „Elga-MasterIdea / SC Dubysa.</t>
  </si>
  <si>
    <t>Dėl karantino neįvyko dalis  varžybų.</t>
  </si>
  <si>
    <t xml:space="preserve"> Dėl karantino neįvyko 4 iš 8 reprezentacinių renginių.</t>
  </si>
  <si>
    <t xml:space="preserve"> Dėl karantino neįvyko 4 iš 8 reprezentacinių renginių. Taip pat buvo ribojamas žiūrovų skaičius.</t>
  </si>
  <si>
    <t xml:space="preserve"> 2020 m. dėl coronaviruso pandemijos neįvyko: 1. Pasaulio žirgų konkūrų taurės etapas; 2.  Europos motokroso čempionato etapas; 3.  Šiaulių dviračių lenktynės; 4. Europos regbio čempionatas.</t>
  </si>
  <si>
    <t>Dėl koronaviruso pandemijos nevyko didelė dalis tarptautinių varžybų, kuriose būtų galima pasiekti aukštų rezultatų, todėl 11,8 tūkst. Eur liko nepanaudoti.</t>
  </si>
  <si>
    <t xml:space="preserve"> Pagal licencijavimo taisykles I lygos komanda turi turėti dublerinę komandą.</t>
  </si>
  <si>
    <t>2021 m. procedūrų vykdymas tęsiamas.</t>
  </si>
  <si>
    <t>2020 m. parengtos pirkimo sąlygos, projektavimo užduotis ir sutarties projektas.</t>
  </si>
  <si>
    <t xml:space="preserve">Aptvertas stadionas, įrengtas apšvietimas bei gaudyklės. </t>
  </si>
  <si>
    <t>Pakeista Šiaulių miesto stadiono bėgimo takų danga, sutvarkyti lietaus surinkimo latakai ir aptverti stadiono takai tvorele.</t>
  </si>
  <si>
    <t xml:space="preserve"> 2021 m. bus pakeista Šiaulių miesto stadiono bėgimo takų danga, todėl ir paliktas 79,6 tūkst. Eur likutis.</t>
  </si>
  <si>
    <t>Suremontuota D tribūna.</t>
  </si>
  <si>
    <t>Buvo atlikti modernizavimo darbai (apšiltintas fasadas ir dalis stogo, cokolis).</t>
  </si>
  <si>
    <t xml:space="preserve"> Kitų naujokų Šiaulių plaukimo centras „Delfinas" nebegalėjo priimti į mokymo plauti programą dėl karantino paskelbimo Lietuvoje. 10,1 tūkst. Eur nepanaudoti, nes buvo gautas finansavimas iš kitų šaltinių.</t>
  </si>
  <si>
    <t xml:space="preserve"> Dėl karantino neįvyko didelė dalis veiklų. 1,0 tūkst. Eur liko nepanaudoti, nes nebuvo pasirašyta Finansavimo sutartis su Paraiškos teikėju.</t>
  </si>
  <si>
    <t>Organizuojami tradiciniai mokytojų ir mokinių renginiai: ,,Metų geriausieji“, ,,Dainų dainelė“, Mokslo ir žinių šventė (rugsėjo 1 d.), Mokytojų diena</t>
  </si>
  <si>
    <t>Suorganizuotos 29 miesto olimpiados, kuriose dalyvavo 651 mokinys. 
47 mokiniai dalyvavo 15 šalies mastu surengtose olimpiadose ir konkursuose.</t>
  </si>
  <si>
    <t xml:space="preserve"> Kalėdinis švietimo bendruomenės vakaras neįvyko dėl Covid 19 paskelbto karantino.</t>
  </si>
  <si>
    <t xml:space="preserve"> 2020 m. nesudaryta sutartis su Šiaulių vyskupija dėl  „Krikščioniškų šeimų šventės“.</t>
  </si>
  <si>
    <t xml:space="preserve"> Dėl Covid-19 situacijos nebuvo vykdomos keturios Trečiojo amžiaus universiteto programos.</t>
  </si>
  <si>
    <t>"STEAM ir STEAM JUNIOR programos:  ŠVK 5 programos, 7 grupės
ŠU  6 programos, 12 grupių
ŠPRC  11 programų, 13 grupių
UAB ,,Nord Robotics"" 1 programa, 4 grupės
VšĮ ,,Eduplius""  6 programos, 16 grupių
Šiaulių jaunųjų gamtininkų centras 2 programos, 2 grupės
Šiaulių jaunųjų turistų centras, 1 programa, 1 grupė
Šiaulių Didždvario gimnazija, 1 programa, 10 grupių
Šiaulių ,,Romuvos"" progimnazija, 1 programa, 1 grupė,
Šiaulių Dainų progimnazija, 1 programa, 2 grupės, 
Šiaulių jaunųjų technikų centras, 1 programa, 5 grupės,  STEAM darželis programos:                                               l/d ,,Berželis"" programa ,,Aš myliu STEAM"", l/d Drugelis programa ,,Keliaukime kartu su STEAM"", l/d ,,Pasaka"" porograma ,,Atradimai prasideda nuo veiksmo"", l/d ,,Pupų pėdas"" programa ,,Draugauju su STEAM"", l/d ,,Žirniukas"" programa ,,Atradimų laboratorija""."</t>
  </si>
  <si>
    <t xml:space="preserve"> 2020 m.: Dėl Covid-19 situacijos dalis STEAM programų nevyko. </t>
  </si>
  <si>
    <t xml:space="preserve">2020 m.: Dėl Covid-19 situacijos varžybos nevyko. </t>
  </si>
  <si>
    <t>1</t>
  </si>
  <si>
    <t>Mokymo reikmių tenkinimas  (ML 2 % )</t>
  </si>
  <si>
    <t xml:space="preserve"> Apmokėtos pateiktos paraiškos. Lėšos liko dėl Covid 19 vykdomo nuotolinio mokymo. Jos grąžintos į savivaldybės biudžetą.</t>
  </si>
  <si>
    <t>7</t>
  </si>
  <si>
    <t xml:space="preserve"> Dėl veiklų pobūdžio (fizinis mobilumas) ir dėl pandeminės situacijos mobilumai nuo kovo mėn. nebuvo vykdomi. .</t>
  </si>
  <si>
    <t>522</t>
  </si>
  <si>
    <t>2020 m.: 2020 m.: 08.03.01.01.03  IU programos, kurias įgyvendina nevalstybinės švietimo įstaigos (70€) 
Dėl 09-12 mėn. pasikeitusio vaikų skaičiaus liko nepanaudoti 0,4 tūkst. eurų.</t>
  </si>
  <si>
    <t xml:space="preserve"> Kompensuoti tėvų atlyginimą už neformalųjį vaikų švietimą savivaldybės įstaigose. 
16,1 tūkst. eurų  liko finansavus pateiktas paraiškas.</t>
  </si>
  <si>
    <t>3700</t>
  </si>
  <si>
    <t xml:space="preserve">Dėl Covid 19 vykdyto nuotolinio ugdymo </t>
  </si>
  <si>
    <t>Vykdytos 37 vaikų užimtumo programos ir jose  buvo užimta 2048 vaikai.</t>
  </si>
  <si>
    <t>Avarijos šalintos v. Kudirkos  ir Zoknių progimnazijose, Lieporių, St. Šalkauskio ir Sporto gimnazijose, lopšelyje-darželyje ,,Saulutė“ ir kt.  Avarijų šalinimas įvykdytas pagal įstaigų poreikį.</t>
  </si>
  <si>
    <t>15</t>
  </si>
  <si>
    <t xml:space="preserve"> Sporto aikštelės įrengimas nukeltas į 2021 metus.</t>
  </si>
  <si>
    <t>Atlikti Juliaus Janonio gimnazijos daugiafunkcinės sporto aikštės įrengimo rangos darbai</t>
  </si>
  <si>
    <t>100</t>
  </si>
  <si>
    <t>Atliekamų darbų tempas buvo spartesnis, nei planuota. Taip pat metų eigoje buvo gautas papildomas finansavimas iš Valstybės biudžeto lėšų.</t>
  </si>
  <si>
    <t xml:space="preserve"> Įsigyta planuota įranga</t>
  </si>
  <si>
    <t>Juliaus Janonio gimnazijos gerbūvio sutvarkymas nukeltas į 2021 metus</t>
  </si>
  <si>
    <t>Rangos darbų, rangos darbai vyks iki 2021.04
Užsitęsė statybos leidimo išdavimo procedūra dėl būtino perprojektavimo pagal ŽN reikalavimus.</t>
  </si>
  <si>
    <t xml:space="preserve"> ASPĮ nepateikė lėšų poreikio paremti gydytojams.</t>
  </si>
  <si>
    <t xml:space="preserve">Vadovaujantis Tvarkos aprašu finansuoti 6 rezidentai, iš kurių 5 pagal 2019 m. pateiktus prašymus, 1 - pagal 2020 m. II pusmečio prašymą. Viso finansuoti 6 rezidentai dalimis per du ketvirčius pagal pateiktą ASPĮ poreikį. 
</t>
  </si>
  <si>
    <t xml:space="preserve"> Finansuotų sveikatinimo projektų skaičių lėmė paskelbto karantino metu taikyti apribojimai ir pasyvus galimų pareiškėjų dalyvavimas sveikatinimo projektų konkursuose.</t>
  </si>
  <si>
    <t xml:space="preserve"> Dėl karantino metu sustabdytų veiklų naujos grupės neformuotos, veiklas tęsė jas jau pradėję 45 dalyviai. Prie jau dalyvaujančių prisijungė 8 mokiniai, kurie keitė mokyklą.</t>
  </si>
  <si>
    <t xml:space="preserve"> Privalomojo mokymo metu apmokytų pagal poreikį asmenų skaičius mažesnis nei planuota dėl karantino metu taikytų apribojimų (I ketv. 53,II ketv. 50, III ketv. 88, IV ketv. 148 apmokyti asmenys).</t>
  </si>
  <si>
    <t>Didėjimą lėmė didesnis poreikis.</t>
  </si>
  <si>
    <t xml:space="preserve"> Didėjimą lėmė karantino metu papildomas veiklų vykdymas nuotoliniu būdu.</t>
  </si>
  <si>
    <t>Sveikatos skyrius, Visuomenės sveikatos biuras</t>
  </si>
  <si>
    <t xml:space="preserve"> Didėjimą lėmė karantino metu papildomas veiklų vykdymas ir viešinimas nuotoliniu būdu.</t>
  </si>
  <si>
    <t>Didėjimą lėmė karantino metu papildomas veiklų vykdymas nuotoliniu būdu.</t>
  </si>
  <si>
    <t xml:space="preserve">Viso: I ketv. 16, II ketv. 24, III ketv. 20, IV ketv. 14. </t>
  </si>
  <si>
    <t xml:space="preserve"> Pagal pateiktą poreikį apmokėta už faktiškai suteiktas paslaugas.</t>
  </si>
  <si>
    <t>Nebuvo poreikio.</t>
  </si>
  <si>
    <t>Karantino metu konsultacijos buvo teikiamos ir nuotoliniu būdu.</t>
  </si>
  <si>
    <t>Dėl COVID-19 pandemijos karantino metu laikinai buvo neteikiama parama maisto talonais, kadangi asmenys negalėjo vykti į DOTS kabinetus. Taip pat besigydančių asmenų skaičius buvo mažesnis nei planuota.</t>
  </si>
  <si>
    <t xml:space="preserve"> Projekto veiklas pradėta įgyvendinti vėliau nei planuota. Paslaugos teikiamos pagal poreikį. Patiriamos išlaidos išmokamos proporcingai kabineto darbuotojų darbo užmokesčiui, todėl aplankymų skaičius nelemia lėšų naudojimo pokyčių.</t>
  </si>
  <si>
    <t xml:space="preserve"> Apmokėta už faktiškai suteiktas paslaugas.</t>
  </si>
  <si>
    <t>.</t>
  </si>
  <si>
    <t xml:space="preserve"> Pagal esamą poreikį paslaugų suteikta daugiau nei planuota.</t>
  </si>
  <si>
    <t xml:space="preserve"> Dėl COVID pandemijos, pablogėjusios žmonių psichikos sveikatos Projekto paslaugos, ypač psichologo konsultacijos tapo labai paklausios, dėl to paslaugų suteikta daugiau asmenų nei buvo suplanuota.</t>
  </si>
  <si>
    <t xml:space="preserve"> 2020 m. neįvykus projekto ekspertizės pirkimui, skelbtas pakartotinis pirkimas. Neatlikus projekto ekspertizės nebuvo galima skelbti rangos darbų pirkimo.</t>
  </si>
  <si>
    <t xml:space="preserve">Pritaikytų patalpų/kambarių apgyvendinimo  paslaugoms teikti </t>
  </si>
  <si>
    <t xml:space="preserve"> Atnaujinus dienos centrų veiklą nuo rugsėjo mėn. buvo nutrauktos dvi sutartys, kadangi paslaugų gavėjai pradėjo lankyti ugdymo įstaigas.
2.03 paramos lėšų likutis 21,0 tūkst. eurų: nebuvo poreikio.</t>
  </si>
  <si>
    <t xml:space="preserve"> Dėl Covid-19 pandemijos dalis organizacijų laikinai nevykdė veiklos.</t>
  </si>
  <si>
    <t xml:space="preserve"> Išmokos mokamos pagal poreikį</t>
  </si>
  <si>
    <t>Lėšų poreikis piniginei socialinei paramai (socialinė pašalpa ir kompensacijos) planuojamas vadovaujantis Lietuvos Respublikos Socialinės apsaugos ir darbo ministro įsakymu  Nr. A1-193 patvirtinta „Dėl valstybinėms (perduotoms savivaldybėms) funkcijoms atlikti skirtų lėšų apskaičiavimo“ metodika, kurios 8 ir 9 punkte nurodoma, kad bazinis lėšų dydis socialinei pašalpai ir kompensacijoms mokėti nustatomas kaip vidutinis metinis išlaidų  socialinei pašalpai ir kompensacijoms dydis per paskutinius 3 metus iki einamųjų biudžetinių metų, kuriais atliekami skaičiavimai. Planuojant 2020 metų lėšas socialinei pašalpai buvo imtos  2017, 2018 ir 2019 metų faktinės išlaidos. Nuo 2020-06-16 Užimtumo tarnyboje pradėta mokėti darbo paieškos išmoka. Apskaičiuojant piniginę socialinę paramą į bendrai gyvenančių asmenų arba vieno gyvenančio asmens pajamas neįskaitoma pagal darbo sutartį arba darbo santykiams prilygintų teisinių santykių pagrindu gautų pajamų dalis, nedarbo draudimo išmokos ir darbo paieškos išmokos dalis, bei gautos faktinės piniginės lėšos, kurios neviršija 1 valstybės remiamų pajamų dydžio (2020 m. VRP-125,00 Eur). Nuo 2021 m. VRP-128,00 Eur.</t>
  </si>
  <si>
    <t>8373</t>
  </si>
  <si>
    <t>Išmokos mokamos pagal poreikį</t>
  </si>
  <si>
    <t>20850</t>
  </si>
  <si>
    <t xml:space="preserve"> Mokama pagal poreikį</t>
  </si>
  <si>
    <t xml:space="preserve">Siekiama, kad kuo daugiau vaikų iš socialinę riziką patiriančių šeimų lankytų dienos centrus. </t>
  </si>
  <si>
    <t>2020 metais planuojamas rodiklis nebuvo pasiektas dėl ribojimų, susijusių su Covid-19, nes dienos centrai veiklą vykdė su pertraukomis.</t>
  </si>
  <si>
    <t>11</t>
  </si>
  <si>
    <t xml:space="preserve"> Asignavimai nepanaudoti dėl lėšų poreikio nebuvo.</t>
  </si>
  <si>
    <t>. Mokama pagal gyventojų prašymus.</t>
  </si>
  <si>
    <t>Kūdikio kraiteliai yra perkami pagal poreikį.</t>
  </si>
  <si>
    <t>2020 m. įsigyta 2 Microsoft®SQLSvrStandardCore 2019
Government OLP 2Licenses NoLevel CoreLic
Qualified licencijos  ir     4 Microsoft®WindowsServerSTDCORE 2019
Government OLP 16Licenses NoLevel
CoreLic licencijos"</t>
  </si>
  <si>
    <t>Eksploatuota 330 kompiuterių.</t>
  </si>
  <si>
    <t xml:space="preserve"> 2020 m. karjeros valstybės tarnautojų pareigybių skaičius didėjo nuo 172 iki 178.</t>
  </si>
  <si>
    <t xml:space="preserve"> Įsigyta 1 duomenų saugykla (Serv_HP_GB_D)</t>
  </si>
  <si>
    <t xml:space="preserve"> Planuotas rodiklis nepasiektas dėl Covid-19 infekcijos.</t>
  </si>
  <si>
    <t>2020 m. įsigyta 4 spausdintuvai ir 18 mobiliųjų telefonų.</t>
  </si>
  <si>
    <t>Įsigyta 84 vienetai kompiuterių (plančetinių, nešiojamų ir stacionarių).</t>
  </si>
  <si>
    <t xml:space="preserve"> 2020 m. darbuotojų, dirbančių pagal darbo sutartis, pareigybių skaičius sumažėjo, nes 5 pareigybės buvo panaikintos įsteigiant valstybės tarnautojų pareigybes.</t>
  </si>
  <si>
    <t>Sukurtos 2 paskyros anglų kalba (Facebook anglų kalba bei Instagram), atgauta viena (Linkedin - buvo sukurta seniai, nebuvo naudojama).</t>
  </si>
  <si>
    <t>Šiaulių miesto savivaldybės administracijos direktoriaus ir</t>
  </si>
  <si>
    <t xml:space="preserve">Šiaulių miesto savivaldybės administracijos </t>
  </si>
  <si>
    <t>2020 metų veiklos ataskaitos 1 priedas</t>
  </si>
  <si>
    <t>Užtikrintas funkcijos įgyvendinimas</t>
  </si>
  <si>
    <t>Neįvykdymo priežastys-projektavimo darbų vėlavimas; rangos paslaugų vėlavimas; viešųjų konkursų procedūrų vėlavimas.</t>
  </si>
  <si>
    <t>Pagal nevyriausybinių organizacijų ir bendruomeninės veiklos stiprinimo 2020 metų veiksmų planą iš valstybės biudžeto lėšų Šiaulių miesto savivaldybėje  finansuota  12 projektų. Įgyvendinta 131 veikla, iš kurių 41 veikla skirta socialiai pažeidžiamiems bendruomenės nariams, 5 – bendruomenės narių pilietiškumui, lyderystei ugdyti ir gyvenimo kokybei gerinti, 4 –  susijusios su socialinio verslo plėtra, pasirengimu jį kurti, teikti viešąsias paslaugas, 81 – gyventojų sutelktumui, pasitikėjimui stiprinti, organizuojant vaikų ir jaunimo laisvalaikio užimtumą, bendruomenės narių švietėjiškai ir kultūrinei, sporto ir sveikatinimo veiklų skatinimui, bendruomenės akcijoms ir iniciatyvoms, skirtoms viešųjų erdvių ir aplinkos kokybės gerinimui.</t>
  </si>
  <si>
    <t xml:space="preserve">Mokymai organizuojami nebus, nes neišrinkti seniūnaičiai.
</t>
  </si>
  <si>
    <t>Pateikta 16 nevyriausybinių organizacijų paraiškų, finansuota 13 projektų. Šiaulių miesto savivaldybės administracijos direktoriaus įsakymu patobulinti Nevyriausybinių organizacijų projektų finansavimo konkurso nuostatai. Įvertinta 16 nevyriausybinių organizacijų paraiškų atitiktis, kurių 3 įvertintos neigiamai,sudaryta 13 projektų finansavimo sutartčių. Projektinių veiklų metu suorganizuotos vaikų kūrybinės dirbtuvės, penkių dienų vaikų ir jaunimo stovykla, trijų dienų jaunimo savaitgalio stovykla. Įgyvendinti  motyvaciniai patyriminiai mokymai „Jaunimo sėkmės laboratorija“, tobulinant komunikacijos, lyderystės, kūrybiškumo, verslumo žinias ir gebėjimus. Šiaulių miesto jaunimui sukurtos platesnės turiningo užimtumo pasirinkimo galimybės. Kultūrinės veiklos programų skatinimui suorganizuotos kūrybinės dirbtuvės, muzikos, šokių, dailės užsiėmimai, kurių metu projekto dalyviai domėjosi sveika gyvensena. Parengtas ir išleistas leidinys „Šviesą nešantys buvom ir būsim“. Suorganizuotos nuotolinės paskaitos tėvams, kurie augina vaikus su negalia, vaikams, jaunimui ir specialistams, terapinės veiklos, grupinės ir  individualios mankštos,  šaškių žaidimo populiarinimas. Pateikti 4 prašymai steigimo ir perregistravimo išlaidoms kompensuoti. 3 organizacijoms kompensuota  už 292,93 Eur.</t>
  </si>
  <si>
    <t xml:space="preserve"> Iki 2020-04-20 paskelbtas projektų finansavimo konkursas.
II ketv. finansuota 13 NVO projektų, sudarytos 9 sutartys. Viena sutartis sudaryta birželio 29 d., lėšos nebuvo pervestos, todėl susidarė 7440 eurų likutis.
III ketv. lėšų likutis bus panaudotas NVO projektams ir NVO steigim / perregistravimo išlaidų kompensavimui.
</t>
  </si>
  <si>
    <t xml:space="preserve"> Pareiškėjai projektus įgyvendina savo lėšomis ir kreipiasi dėl projektų finansavimo agentūrai patvirtinus pateiktus mokėjimo prašymus. Pareiškėjai nesikreipė dėl projektų finansavimo, planuojama kad kreipsis 2021 m.</t>
  </si>
  <si>
    <t>Arcitektūos, urbanistikosir paveldosaugos skyrius</t>
  </si>
  <si>
    <t xml:space="preserve"> Rėkyvos ežero tilto apžvalgos aikštelės įrengta.</t>
  </si>
  <si>
    <t>Šiaulių valstybinės kolegijos įgyvendintas projektas, kurio metu suorganizuotas renginys – piknikas jaunimui #AšEsuŠiauliai, kuriame dalyvavo 300 jaunų žmonių, Šiaulių universiteto alumnų asociacija įgyvendino vienos savaitės  renginių ciklą „Atradimų ir tobulėjimo savaitė“, kuriame dalyvavo 6000 jaunuolių.</t>
  </si>
  <si>
    <t xml:space="preserve"> Renginiai buvo perkelti į virtualią erdvę sulaukė didelio susidomėjimo</t>
  </si>
  <si>
    <t>Suorganizuoti 2 jaunimo iniciatyvų projektų finansavimo konkursai iš Šiaulių miesto savivaldybės biudžeto lėšų pagal priemonę „Įgyvendinti jaunimo politiką“. Pateikta 12  paraiškų, finansuota 10 projektų už 10,00 tūkst. Eur. Įvertinta 12 jaunimo iniciatyvų paraiškų atitiktis, kurių 2 įvertintos neigiamai, parengta 10 jaunimo iniciatyvų projektų projektų finansavimo sutarčių. Ypatingo dėmesio sulaukė Šiaulių valstybinės kolegijos įgyvendintas projektas, kurio metu suorganizuotas renginys – piknikas jaunimui #AšEsuŠiauliai, kurio metu vyk 2  diskusijos: „Šiauliai – karjeros miestas: kokios galimybės jaunam žmogui?“ ir „Ar jaunimas (ne)pilietiškas?“. Baigiamuoju renginio akcentu tapo atlikėjo Gabrieliaus Vagelio koncertas. Jaunimo centre sukurta jaunimo centre inovatyvi ir šiuolaikiška žaidimų erdvė jaunimui: nupirktas televizorius, lentyna, komoda, sėdmaišių komplektas, įvairūs stalo žaidimai. Šiaulių universiteto alumnų asociacija įgyvendino vienos savaitės  renginių ciklą „Atradimų ir tobulėjimo savaitė“, parengta apklausa, kurioje dalyvavo 200 respondentų.</t>
  </si>
  <si>
    <t>Dėl COVID-19 epidemijos neįvyko reikšmingi renginiai jaunimui, tokie kaip LMS XXX Asamblėja, Lietuvos jaunimo dienos ir kt.</t>
  </si>
  <si>
    <t xml:space="preserve"> Kiekvieną mėnesį apmokama pastovi lėšų suma koncesininkui.</t>
  </si>
  <si>
    <t>2020 m. planuota įsigyti konteinerius stiklo surinkimui.  Konteinerių įsigyti 2020 m. nebeplanuojama.</t>
  </si>
  <si>
    <t>278</t>
  </si>
  <si>
    <t>62,5</t>
  </si>
  <si>
    <t>Įgyvendintos penkios iš aštuonių Administracinės naštos mažinimo 2019–2021 m. priemonių plane numatytų įgyvendinti priemonių.</t>
  </si>
  <si>
    <t>Trys Administracinės naštos mažinimo 2019–2021 m. priemonių plane numatytos priemonės (1.1. „Administracinių, viešųjų paslaugų teikimo teisės aktų analizė. Perteklinių, besidubliuojančių, neaktualių informacinių įpareigojimų tikslinei grupei identifikavimas ir teisės aktų, kuriuose nustatyti tokie informaciniai įpareigojimai, pakeitimų projektų parengimas ir patvirtinimas“; 1.5. „Šiaulių miesto savivaldybės priimamų teisės aktų projektų analizė jų derinimo metu ir administracinės naštos įvertinimas ūkio subjektams (priedas Nr. 1)“; 1.6. „Vykdomų viešojo pirkimo procedūrų optimizavimas kiek tai leidžiama pagal galiojančius teisės aktus“), mažinant administracinę naštą Savivaldybės administracijoje, Savivaldybės administracijos padalinių 2020 m. nebuvo įgyvendintos.</t>
  </si>
  <si>
    <t>Nuo 2020 m. pradėtas įgyvendinti projektas „Priklausomybės ligų profilaktikos, diagnostikos ir gydymo kokybės ir prieinamumo gerinimas Šiaulių mieste", finansuotas ES lėšomis įgyvendinant priemonę 09.03.01.05. Priemonei planuotos lėšos iškeltos į 09.02.01.01 Covid-19 valdymo priemonėms įgyvendinti.</t>
  </si>
  <si>
    <t xml:space="preserve"> "Rasos" progimnazijos sporto aikštyno projekto parengimas nukeltas į kitus metus ir bus vykdomas Miesto urbanistinės programos lėšomis 01.05.01.01 Organizuoti projektinių darbų finansavimą</t>
  </si>
  <si>
    <t>Įrengta daugiafunkcinė sporto aikštelė.</t>
  </si>
  <si>
    <t>Įstaigų, kuriose apšiltintos pastatų sienos (l.d.,,Drugelis“ ir ,,Žibutė“)</t>
  </si>
  <si>
    <t>Įsigyti baldai (komplektas)</t>
  </si>
  <si>
    <t>Dėl Covid-19 pandeminės situacijos nepavyko įgyvendinti Kultūros dienos, Europos dienos, Tarptautinės pagyvenusių žmonių dienos, nors jai buvo pilnai pasirengta - paruoštos medžiagos ir priemonės edukaciniams užsiėmimams ir suplanuotas spektaklis senjorams Šiaulių kultūros centre, atspausdinti kvietimai, parengta renginių programa, pagal specialų užsakymą pagaminta 1650 vnt. šokoladukų (18 g). Dėl Covid-19 pandeminės situacijos negalėjo įvykti šventinis Šiaulių miesto kultūros ir meno premijų įteikimo renginys (buvo parengti virtualūs premijų laureatų ir jaunojo menininko stipendininkų pristatymai ir jų pasveikinimai), neįvyko kalėdinių renginių ciklas Prisikėlimo aikštėje. Dėl Covid-19 pandemijos ir įvestų karantinų neįgyvendinti du Tolygios kultūrinės raidos programos kofinansuoti projektai: vaikų ir jaunimo festivalis „Z karta x 5“, „Žemaitijos kultūros ženklai. Žemaičių etnokultūrą puoselėjančių edukacinių programų parengimas ir įgyvendinimas“.</t>
  </si>
  <si>
    <t>2020 m. įvyko 2 projektai - Prisikėlimo aikštės pristatymas ir renginių ciklas „Susitikimo vieta - Prisikėlimo aikštė“. Iš viso suorganizuoti 36 renginiai: 1. Prisikėlimo aikštės pristatymas, fontanų pajungimas. 2. Renginių ciklas „Susitikimo vieta – Prisikėlimo aikštė“, 22 renginiai,  2.1. Paskaita „Prisikėlimo aikštė Lietuvos didžiųjų miestų pagrindinių aikščių kontekste“ Tarptautinei architektų dienai paminėti. Paskaita buvo retransliuojama per LED ekraną Prisikėlimo a. 2.2. Šiaulių miesto vėliavos pakėlimo ceremonija.  2.3. Pramogų (žaidimų) erdvė: karuselė, virtualios realybės pramogos, robotai, „Gubernijos“ giros degustacija ir kt. 2.4. Dokumentinė video medžiaga „Įdomioji Šiaulių istorija“ per LED ekraną. 2.5. Šventinė koncertinė Šiaulių pučiamųjų orkestro programa. 2.6. Ekskursija „Prisikėlimo aikštė – Šiaulių miesto širdis“. 2.7. Šventinė koncertinė Šiaulių bigbendo programa. 2.8. Lietuvos kino klasikos filmas „Velnio nuotaka“ . 2.9. Tarptautinio animacinių filmų festivalio „Tindirindis“ programa. 2.10. Kino festivalio „Kino pavasaris“ filmas „Atsiprašome, neradome jūsų“. 2.11.-2.12.  „Hoptrans 3x3” turnyro rungtynės. Šiaulių „Šiauliai“ – Prienų „CBet“,  Šiaulių „Šiauliai“ – Kauno r. „Tauras“. 2.13. Lietuvos kino klasikos filmas „Jausmai“ . 2.14. Kino festivalio „Kino pavasaris“ animacinis filmas visai šeimai „Garsioji meškinų invazija į Siciliją“ . 2.15. Kino festivalio „Kino pavasaris“ filmas „Parazitas“ . 2.16. Kino festivalio „Kino pavasaris“ filmas visai šeimai „Suteik man sparnus“ . 2.17. Kino festivalio „Kino pavasaris“ filmas „Liepsnojančios moters portretas“ . 2.18. Lietuvos kino klasika. „Herkus Mantas“. 2.19. Vilniaus akademinio dramos teatro spektaklio įrašas pagal Just. Marcinkevičiaus istorinę dramą „Mindaugas“ . 2.20-2.22. Nemokamos šokio pamokos su šokių studija „Arabella“. 2.23. Šiauliečių menininkų skulptūrų paroda. 3. Valstybės (Lietuvos Karaliaus Mindaugo karūnavimo) dienos iškilminga Lietuvos respublikos vėliavos pakėlimo ceremonija ir Visuotinis Lietuvos Respublikos himno giedojimas. 4. Šventinis Baltijos kelio dienos minėjimas. 5. Renginys „Aš – mažasis šiaulietis“. 6. Miesto šventės „Šiaulių dienos 784“ šventiniai koncertai „#Šiauliai šviečia“. 7. Kalėdinės meninės iniciatyvos: 7.1. Kalėdų eglės pastatymas. 7.2. Laikinosios meninės ekspozicijos įgyvendinimas., 8. Šiuolaikinio meno festivalio VIRUS skulptūrų paroda Prisikėlimo aikštėje.</t>
  </si>
  <si>
    <t>Dėl Covid-19 pandemijos ir įvestų karantinų nepavyko suorganizuoti 10 planuotų parodų.</t>
  </si>
  <si>
    <t xml:space="preserve"> Dėl Covid-19 pandeminės situacijos ir įvestų karantinų neįvyko Šiaulių kultūros centro organizuojamas respublikinis mėgėjų teatrų festivalis „Pulsas“</t>
  </si>
  <si>
    <t>0</t>
  </si>
  <si>
    <t>Įgyvendinta strategijos gairiųs veiklų</t>
  </si>
  <si>
    <t xml:space="preserve"> Pilnai suremontuota asfalto danga 95 kiemuose, dar 13 kiemų užtaisytos avarinės duobės bei suremontuoti 2 įvažiavimai į 4 daugiabučių kiemus. Bendras kiemų skaičius 108 vnt</t>
  </si>
  <si>
    <t>108</t>
  </si>
  <si>
    <t>2020 m. buvo atlikti šie darbai: paviršinių nuotekų tinklų, vandentiekio, buitinių nuotekų tinklų įrengimas,  drenažo rinktuvų rekonstravimas, vandent. siurblinės įreng., užtverta dalis tvoros, kapaviečių takų įrengimas.</t>
  </si>
  <si>
    <t>Atlikti Prisikėlimo aikštės ir jos prieigų rekonstrukcijos darbai: Rekonstruotas aikštės plotas – 6120 m², aikštėje įrengta 23 suolai, prieigose – 47 suolai, skvere prie teatro – 5 lenkti suolai. Rekonstruota takas prie Swedbank, Prisikėlimo (Renginių) a. ilgis – 102 m, plotas 405 m². Skverai: prieš Šiaulių valstybinę kolegiją ilgis 238 m, plotas – 1408 m²; prie Šiaulių dramos teatro plotas – 701 m²; prieš Šiaulių m. savivaldybę Vasario 16-osios g. 61 plotas – 663 m².
Rekonstruotos automobilių stovėjimo aikštelės: prie aikštės plotas – 1200 m²; prie Šiaulių valstybinės kolegijos plotas – 2054 m²; prie Vasario 16-osios g. 61 skvero plotas prie skvero – 911 m², prie Šiaulių m. savivaldybės  Vasario 16-osios g. plotas  – 819 m².
Rekonstruoti dviračių takai: Tilžės g.:asfalto dangoje – 846 m (plotas – 1269 m²);šaligatvio zonoje – 328 m (plotas – 492 m²); Aušros al.:šaligatvio zonoje – 213 m (plotas – 320 m²); Vasario-16-osios g.: šaligatvio zonoje – 85 m (plotas – 128 m²); Trakų g.: šaligatvio zonoje – 32 m (plotas – 48 m²), iš viso: asfalto dangoje – 846 m (plotas – 1269 m²);šaligatvio zonoje – 658 m (plotas – 988 m²).
Rekonstruoti pėsčiųjų takai: Tilžės g. tako ilgis – 1305 m, plotas – 4269 m²; Aušros al. tako ilgis – 411 m, plotas – 1001 m²; Varpo g. tako ilgis – 489 m, plotas – 1797 m²; Vasario 16-osios g. tako ilgis – 244 m, plotas – 875 m²; Trakų g. tako ilgis – 37 m, plotas – 191 m²; Aušros takas:
Aušros tako (esamo, rekonstruoto) ilgis – 295 m, plotas – 1545 m²; Naujai įrengto tako (prie katedros) ilgis – 48 m, plotas – 282 m²; II Pasaulinio karo karių palaidojimo vietos takų ilgis – 82 m, plotas – 544 m²; Naujai įrengtų pandusų (pritaikytų žmonėms su negalia) ilgis – 179 m, plotas – 336 m²; Tako į gaisrinę ilgis – 43 m, plotas – 109 m²; Viso Aušros tako ilgis – 647 m, plotas – 2816 m².</t>
  </si>
  <si>
    <t>Atlikta didžioji dalis Centrinio parko ir Kaštonų al. rangos darbų, baigiamųjų darbų aktavimas persikėlė į 2021 m  Parke atnaujinta 2518 m. asfalto dangos takų, įrengta 1000 m. atsijų dangos takų, atnaujintas visas apšvietimas, įrengti 88 suolai, 53 šiukšlinės, tualetas, dvi gertuvės, Scate parkas, krepšinio ir tinklinio aikštelės, vaikų ir paauglių žaidimų zonos, treniruokliai, 469 nukirsti medžiai, nei vieno dar neatsodinta.</t>
  </si>
  <si>
    <t xml:space="preserve"> Planuota, kad bus baigti Centrinio parko ir Kaštonų al. rangos darbai, darbų pabaiga nusikėlė į 2021 m.</t>
  </si>
  <si>
    <t>Metinis rodiklis nepasiektas, nes 13 vnt. kamerų pagal sutartį SŽ-1455 dar nėra pajungtos į stebėjimo sistemą dėl objektyvios priežasties. Darbų atlikimo perdavimo aktas pasirašytas su trūkumais, kurie turi būti panaikinti iki 2021 m. balandžio 15 d. Terminas pratęstas tik trūkumams pašalinti neilginant sutarties termino todėl, kad dalis kamerų turi būti jungiama per Vilniaus g., Višinskio g.,  kur kiti rangovai yra sustabdę darbus dėl žiemos klimato-yra paskelbta  technologinė pertrauka. Kamerų įrengimo sutarties rangovas negali užbaigti tam tikrose atkarpose darbų. Kameros jungiamos turi būti visos kartu į sistemą. Likusi dalis atsiskaitymo bus atliekama pilnai įgyvendinus projektą, t. y. 2021 m.</t>
  </si>
  <si>
    <t xml:space="preserve">2020-04-02 sudaryta projektavimo sutartis,  projektas patvirtintas tik 2020 m. spalio 30 d. įsakymu A-1506. Rangos darbai planuojami 2021 m.,pirkimo procedūros trunka apie 2 mėn. </t>
  </si>
  <si>
    <t>Užklotas nauajs asfalto sluoksnis Dubijos g.; Gardino g.</t>
  </si>
  <si>
    <t>Projektas įgyvendinamas kartu su LAKD, per 2020 m. rangos darbus turėjo pirkti LAKD, bet vėlavo su savo dalies projekto parengimu, todėl viešojo pirkimo procedūros rangos darbams liko nepradėtos.</t>
  </si>
  <si>
    <t>Viršyti planuoti rodikliai, nes panaudota daugiau lėšų nei planuota</t>
  </si>
  <si>
    <t xml:space="preserve">Viršyti planuoti rodiklai dėl metų eigoje gauto papildomo finansavimo. </t>
  </si>
  <si>
    <t>6819</t>
  </si>
  <si>
    <t>Projekto metu suteikta apsaugoto būsto paslauga 4–iems dalinai savarankiškiems suaugusiems asmenims su psichikos negalia, siekiant įtvirtinti paslaugų gavėjų įgūdžius gyventi savarankiškai. Paslauga vienu metu gali būti teikiama ne daugiau kaip 4 asmenims.</t>
  </si>
  <si>
    <t>Viso programos priemonių</t>
  </si>
  <si>
    <t>Priemonė buvo įvykdyta pagal planą</t>
  </si>
  <si>
    <t>Vykdant priemonę buvo pasiekta vertinimo kriterijų reikšmių mažiau, nei planuota</t>
  </si>
  <si>
    <t>Priemonė neįvykdyta, t.y. nepasiekta planuota vertinimo kriterijų reikšmė</t>
  </si>
  <si>
    <t>Viso priemonių:</t>
  </si>
  <si>
    <t>33</t>
  </si>
  <si>
    <t>80</t>
  </si>
  <si>
    <t>PATVIRTINTA</t>
  </si>
  <si>
    <t xml:space="preserve">Šiaulių miesto savivaldybės tarybos </t>
  </si>
  <si>
    <t>2021 m. gegužės 6 d. sprendimu Nr. T-208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</si>
</sst>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_ ;\-0.0\ "/>
    <numFmt numFmtId="166" formatCode="_-* #,##0.0000\ _L_t_-;\-* #,##0.0000\ _L_t_-;_-* &quot;-&quot;??\ _L_t_-;_-@_-"/>
    <numFmt numFmtId="167" formatCode="0.0"/>
  </numFmts>
  <fonts count="18" x14ac:knownFonts="1">
    <font>
      <sz val="11"/>
      <color rgb="FF000000"/>
      <name val="Calibri"/>
      <family val="2"/>
      <charset val="1"/>
    </font>
    <font>
      <b/>
      <sz val="11"/>
      <color rgb="FF000000"/>
      <name val="Times New Roman"/>
      <family val="1"/>
      <charset val="186"/>
    </font>
    <font>
      <sz val="11"/>
      <color rgb="FF000000"/>
      <name val="Times New Roman"/>
      <family val="1"/>
      <charset val="186"/>
    </font>
    <font>
      <sz val="12"/>
      <name val="Times New Roman"/>
      <family val="1"/>
      <charset val="1"/>
    </font>
    <font>
      <b/>
      <sz val="12"/>
      <name val="Times New Roman"/>
      <family val="1"/>
      <charset val="1"/>
    </font>
    <font>
      <sz val="10"/>
      <name val="Times New Roman"/>
      <family val="1"/>
      <charset val="186"/>
    </font>
    <font>
      <sz val="11"/>
      <name val="Times New Roman"/>
      <family val="1"/>
      <charset val="186"/>
    </font>
    <font>
      <sz val="10"/>
      <color rgb="FF000000"/>
      <name val="Times New Roman"/>
      <family val="1"/>
      <charset val="186"/>
    </font>
    <font>
      <sz val="11"/>
      <color rgb="FF000000"/>
      <name val="Calibri"/>
      <family val="2"/>
    </font>
    <font>
      <sz val="12"/>
      <color rgb="FF000000"/>
      <name val="Times New Roman"/>
      <family val="1"/>
      <charset val="186"/>
    </font>
    <font>
      <b/>
      <sz val="12"/>
      <name val="Times New Roman"/>
      <family val="1"/>
      <charset val="186"/>
    </font>
    <font>
      <b/>
      <sz val="12"/>
      <color rgb="FF000000"/>
      <name val="Times New Roman"/>
      <family val="1"/>
      <charset val="186"/>
    </font>
    <font>
      <sz val="9"/>
      <color rgb="FF000000"/>
      <name val="Times New Roman"/>
      <family val="1"/>
      <charset val="186"/>
    </font>
    <font>
      <b/>
      <sz val="10"/>
      <color rgb="FF000000"/>
      <name val="Times New Roman"/>
      <family val="1"/>
      <charset val="186"/>
    </font>
    <font>
      <sz val="11"/>
      <color rgb="FF000000"/>
      <name val="Calibri"/>
      <family val="2"/>
      <charset val="1"/>
    </font>
    <font>
      <sz val="8"/>
      <name val="Times New Roman"/>
      <family val="1"/>
      <charset val="186"/>
    </font>
    <font>
      <sz val="12"/>
      <name val="Arial"/>
      <family val="2"/>
      <charset val="186"/>
    </font>
    <font>
      <sz val="12"/>
      <name val="Times New Roman"/>
      <family val="1"/>
      <charset val="186"/>
    </font>
  </fonts>
  <fills count="14">
    <fill>
      <patternFill patternType="none"/>
    </fill>
    <fill>
      <patternFill patternType="gray125"/>
    </fill>
    <fill>
      <patternFill patternType="solid">
        <fgColor rgb="FFFAEE80"/>
        <bgColor rgb="FFFFCC99"/>
      </patternFill>
    </fill>
    <fill>
      <patternFill patternType="solid">
        <fgColor rgb="FFC0E4F6"/>
        <bgColor rgb="FFCCFFFF"/>
      </patternFill>
    </fill>
    <fill>
      <patternFill patternType="solid">
        <fgColor rgb="FFD8FAD4"/>
        <bgColor rgb="FFCCFFFF"/>
      </patternFill>
    </fill>
    <fill>
      <patternFill patternType="solid">
        <fgColor rgb="FFEBEBEB"/>
        <bgColor rgb="FFD8FAD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DE9D9"/>
        <bgColor indexed="64"/>
      </patternFill>
    </fill>
    <fill>
      <patternFill patternType="solid">
        <fgColor rgb="FFEBF1DE"/>
        <bgColor indexed="64"/>
      </patternFill>
    </fill>
    <fill>
      <patternFill patternType="solid">
        <fgColor theme="0"/>
        <bgColor rgb="FFD8FAD4"/>
      </patternFill>
    </fill>
  </fills>
  <borders count="37">
    <border>
      <left/>
      <right/>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style="thin">
        <color auto="1"/>
      </left>
      <right style="medium">
        <color auto="1"/>
      </right>
      <top style="thin">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right style="thin">
        <color auto="1"/>
      </right>
      <top style="medium">
        <color auto="1"/>
      </top>
      <bottom/>
      <diagonal/>
    </border>
  </borders>
  <cellStyleXfs count="3">
    <xf numFmtId="0" fontId="0" fillId="0" borderId="0"/>
    <xf numFmtId="0" fontId="8" fillId="0" borderId="0" applyBorder="0"/>
    <xf numFmtId="43" fontId="14" fillId="0" borderId="0" applyFont="0" applyFill="0" applyBorder="0" applyAlignment="0" applyProtection="0"/>
  </cellStyleXfs>
  <cellXfs count="317">
    <xf numFmtId="0" fontId="0" fillId="0" borderId="0" xfId="0"/>
    <xf numFmtId="0" fontId="0" fillId="0" borderId="0" xfId="0" applyBorder="1" applyAlignment="1" applyProtection="1"/>
    <xf numFmtId="0" fontId="0" fillId="0" borderId="0" xfId="0" applyFont="1" applyBorder="1" applyAlignment="1" applyProtection="1">
      <alignment vertical="center" wrapText="1" readingOrder="1"/>
    </xf>
    <xf numFmtId="0" fontId="2" fillId="0" borderId="0" xfId="0" applyFont="1" applyBorder="1" applyAlignment="1" applyProtection="1"/>
    <xf numFmtId="0" fontId="2" fillId="2" borderId="5" xfId="0" applyFont="1" applyFill="1" applyBorder="1" applyAlignment="1" applyProtection="1">
      <alignment vertical="center" wrapText="1" readingOrder="1"/>
      <protection locked="0"/>
    </xf>
    <xf numFmtId="0" fontId="2" fillId="2" borderId="6" xfId="0" applyFont="1" applyFill="1" applyBorder="1" applyAlignment="1" applyProtection="1">
      <alignment vertical="center" wrapText="1" readingOrder="1"/>
      <protection locked="0"/>
    </xf>
    <xf numFmtId="0" fontId="2" fillId="2" borderId="6" xfId="0" applyFont="1" applyFill="1" applyBorder="1" applyAlignment="1" applyProtection="1">
      <alignment horizontal="left" vertical="center" wrapText="1" readingOrder="1"/>
      <protection locked="0"/>
    </xf>
    <xf numFmtId="164" fontId="2" fillId="2" borderId="6" xfId="0" applyNumberFormat="1" applyFont="1" applyFill="1" applyBorder="1" applyAlignment="1" applyProtection="1">
      <alignment horizontal="right" vertical="center" wrapText="1" readingOrder="1"/>
    </xf>
    <xf numFmtId="0" fontId="2" fillId="3" borderId="5" xfId="0" applyFont="1" applyFill="1" applyBorder="1" applyAlignment="1" applyProtection="1">
      <alignment vertical="center" wrapText="1" readingOrder="1"/>
      <protection locked="0"/>
    </xf>
    <xf numFmtId="0" fontId="2" fillId="3" borderId="6" xfId="0" applyFont="1" applyFill="1" applyBorder="1" applyAlignment="1" applyProtection="1">
      <alignment vertical="center" wrapText="1" readingOrder="1"/>
      <protection locked="0"/>
    </xf>
    <xf numFmtId="0" fontId="2" fillId="3" borderId="6" xfId="0" applyFont="1" applyFill="1" applyBorder="1" applyAlignment="1" applyProtection="1">
      <alignment horizontal="left" vertical="center" wrapText="1" readingOrder="1"/>
      <protection locked="0"/>
    </xf>
    <xf numFmtId="164" fontId="2" fillId="3" borderId="6" xfId="0" applyNumberFormat="1" applyFont="1" applyFill="1" applyBorder="1" applyAlignment="1" applyProtection="1">
      <alignment horizontal="right" vertical="center" wrapText="1" readingOrder="1"/>
    </xf>
    <xf numFmtId="0" fontId="2" fillId="4" borderId="5" xfId="0" applyFont="1" applyFill="1" applyBorder="1" applyAlignment="1" applyProtection="1">
      <alignment vertical="center" wrapText="1" readingOrder="1"/>
      <protection locked="0"/>
    </xf>
    <xf numFmtId="0" fontId="2" fillId="4" borderId="6" xfId="0" applyFont="1" applyFill="1" applyBorder="1" applyAlignment="1" applyProtection="1">
      <alignment vertical="center" wrapText="1" readingOrder="1"/>
      <protection locked="0"/>
    </xf>
    <xf numFmtId="0" fontId="2" fillId="4" borderId="6" xfId="0" applyFont="1" applyFill="1" applyBorder="1" applyAlignment="1" applyProtection="1">
      <alignment horizontal="left" vertical="center" wrapText="1" readingOrder="1"/>
      <protection locked="0"/>
    </xf>
    <xf numFmtId="164" fontId="2" fillId="4" borderId="6" xfId="0" applyNumberFormat="1" applyFont="1" applyFill="1" applyBorder="1" applyAlignment="1" applyProtection="1">
      <alignment horizontal="right" vertical="center" wrapText="1" readingOrder="1"/>
    </xf>
    <xf numFmtId="0" fontId="2" fillId="4" borderId="6" xfId="0" applyFont="1" applyFill="1" applyBorder="1" applyAlignment="1" applyProtection="1">
      <alignment horizontal="center" vertical="center" wrapText="1" readingOrder="1"/>
      <protection locked="0"/>
    </xf>
    <xf numFmtId="0" fontId="2" fillId="4" borderId="6" xfId="0" applyFont="1" applyFill="1" applyBorder="1" applyAlignment="1" applyProtection="1">
      <alignment horizontal="right" vertical="center" wrapText="1" readingOrder="1"/>
      <protection locked="0"/>
    </xf>
    <xf numFmtId="0" fontId="2" fillId="4" borderId="1" xfId="0" applyFont="1" applyFill="1" applyBorder="1" applyAlignment="1" applyProtection="1">
      <alignment horizontal="left" vertical="center" wrapText="1" readingOrder="1"/>
      <protection locked="0"/>
    </xf>
    <xf numFmtId="0" fontId="2" fillId="0" borderId="5" xfId="0" applyFont="1" applyBorder="1" applyAlignment="1" applyProtection="1">
      <alignment vertical="center" wrapText="1" readingOrder="1"/>
      <protection locked="0"/>
    </xf>
    <xf numFmtId="0" fontId="2" fillId="0" borderId="6" xfId="0" applyFont="1" applyBorder="1" applyAlignment="1" applyProtection="1">
      <alignment vertical="center" wrapText="1" readingOrder="1"/>
      <protection locked="0"/>
    </xf>
    <xf numFmtId="0" fontId="2" fillId="0" borderId="6" xfId="0" applyFont="1" applyBorder="1" applyAlignment="1" applyProtection="1">
      <alignment horizontal="left" vertical="center" wrapText="1" readingOrder="1"/>
      <protection locked="0"/>
    </xf>
    <xf numFmtId="164" fontId="2" fillId="0" borderId="6" xfId="0" applyNumberFormat="1" applyFont="1" applyBorder="1" applyAlignment="1" applyProtection="1">
      <alignment horizontal="right" vertical="center" wrapText="1" readingOrder="1"/>
    </xf>
    <xf numFmtId="0" fontId="2" fillId="0" borderId="6" xfId="0" applyFont="1" applyBorder="1" applyAlignment="1" applyProtection="1">
      <alignment horizontal="center" vertical="center" wrapText="1" readingOrder="1"/>
      <protection locked="0"/>
    </xf>
    <xf numFmtId="0" fontId="2" fillId="0" borderId="6" xfId="0" applyFont="1" applyBorder="1" applyAlignment="1" applyProtection="1">
      <alignment horizontal="right" vertical="center" wrapText="1" readingOrder="1"/>
      <protection locked="0"/>
    </xf>
    <xf numFmtId="0" fontId="2" fillId="0" borderId="1" xfId="0" applyFont="1" applyBorder="1" applyAlignment="1" applyProtection="1">
      <alignment horizontal="left" vertical="center" wrapText="1" readingOrder="1"/>
      <protection locked="0"/>
    </xf>
    <xf numFmtId="0" fontId="2" fillId="0" borderId="7" xfId="0" applyFont="1" applyBorder="1" applyAlignment="1" applyProtection="1">
      <alignment vertical="center" wrapText="1" readingOrder="1"/>
      <protection locked="0"/>
    </xf>
    <xf numFmtId="0" fontId="2" fillId="0" borderId="3" xfId="0" applyFont="1" applyBorder="1" applyAlignment="1" applyProtection="1">
      <alignment vertical="center" wrapText="1" readingOrder="1"/>
      <protection locked="0"/>
    </xf>
    <xf numFmtId="0" fontId="2" fillId="0" borderId="3" xfId="0" applyFont="1" applyBorder="1" applyAlignment="1" applyProtection="1">
      <alignment horizontal="left" vertical="center" wrapText="1" readingOrder="1"/>
      <protection locked="0"/>
    </xf>
    <xf numFmtId="164" fontId="2" fillId="0" borderId="3" xfId="0" applyNumberFormat="1" applyFont="1" applyBorder="1" applyAlignment="1" applyProtection="1">
      <alignment horizontal="right" vertical="center" wrapText="1" readingOrder="1"/>
      <protection locked="0"/>
    </xf>
    <xf numFmtId="0" fontId="2" fillId="0" borderId="3" xfId="0" applyFont="1" applyBorder="1" applyAlignment="1" applyProtection="1">
      <alignment horizontal="center" vertical="center" wrapText="1" readingOrder="1"/>
      <protection locked="0"/>
    </xf>
    <xf numFmtId="0" fontId="2" fillId="0" borderId="3" xfId="0" applyFont="1" applyBorder="1" applyAlignment="1" applyProtection="1">
      <alignment horizontal="right" vertical="center" wrapText="1" readingOrder="1"/>
      <protection locked="0"/>
    </xf>
    <xf numFmtId="0" fontId="2" fillId="0" borderId="8" xfId="0" applyFont="1" applyBorder="1" applyAlignment="1" applyProtection="1">
      <alignment horizontal="left" vertical="center" wrapText="1" readingOrder="1"/>
      <protection locked="0"/>
    </xf>
    <xf numFmtId="164" fontId="2" fillId="0" borderId="6" xfId="0" applyNumberFormat="1" applyFont="1" applyBorder="1" applyAlignment="1" applyProtection="1">
      <alignment horizontal="right" vertical="center" wrapText="1" readingOrder="1"/>
      <protection locked="0"/>
    </xf>
    <xf numFmtId="0" fontId="2" fillId="0" borderId="2" xfId="0" applyFont="1" applyBorder="1" applyAlignment="1" applyProtection="1">
      <alignment horizontal="left" vertical="center" wrapText="1" readingOrder="1"/>
      <protection locked="0"/>
    </xf>
    <xf numFmtId="164" fontId="2" fillId="0" borderId="2" xfId="0" applyNumberFormat="1" applyFont="1" applyBorder="1" applyAlignment="1" applyProtection="1">
      <alignment horizontal="right" vertical="center" wrapText="1" readingOrder="1"/>
      <protection locked="0"/>
    </xf>
    <xf numFmtId="0" fontId="2" fillId="0" borderId="2" xfId="0" applyFont="1" applyBorder="1" applyAlignment="1" applyProtection="1">
      <alignment horizontal="center" vertical="center" wrapText="1" readingOrder="1"/>
      <protection locked="0"/>
    </xf>
    <xf numFmtId="0" fontId="2" fillId="0" borderId="2" xfId="0" applyFont="1" applyBorder="1" applyAlignment="1" applyProtection="1">
      <alignment horizontal="right" vertical="center" wrapText="1" readingOrder="1"/>
      <protection locked="0"/>
    </xf>
    <xf numFmtId="0" fontId="2" fillId="0" borderId="4" xfId="0" applyFont="1" applyBorder="1" applyAlignment="1" applyProtection="1">
      <alignment horizontal="left" vertical="center" wrapText="1" readingOrder="1"/>
      <protection locked="0"/>
    </xf>
    <xf numFmtId="0" fontId="2" fillId="0" borderId="0" xfId="0" applyFont="1" applyBorder="1" applyAlignment="1" applyProtection="1">
      <alignment vertical="center" wrapText="1" readingOrder="1"/>
      <protection locked="0"/>
    </xf>
    <xf numFmtId="0" fontId="2" fillId="0" borderId="0" xfId="0" applyFont="1" applyBorder="1" applyAlignment="1" applyProtection="1">
      <alignment horizontal="left" vertical="center" wrapText="1" readingOrder="1"/>
      <protection locked="0"/>
    </xf>
    <xf numFmtId="164" fontId="2" fillId="0" borderId="0" xfId="0" applyNumberFormat="1" applyFont="1" applyBorder="1" applyAlignment="1" applyProtection="1">
      <alignment horizontal="right" vertical="center" wrapText="1" readingOrder="1"/>
      <protection locked="0"/>
    </xf>
    <xf numFmtId="0" fontId="2" fillId="0" borderId="0" xfId="0" applyFont="1" applyBorder="1" applyAlignment="1" applyProtection="1">
      <alignment horizontal="center" vertical="center" wrapText="1" readingOrder="1"/>
      <protection locked="0"/>
    </xf>
    <xf numFmtId="0" fontId="2" fillId="0" borderId="0" xfId="0" applyFont="1" applyBorder="1" applyAlignment="1" applyProtection="1">
      <alignment horizontal="right" vertical="center" wrapText="1" readingOrder="1"/>
      <protection locked="0"/>
    </xf>
    <xf numFmtId="0" fontId="1" fillId="0" borderId="3" xfId="0" applyFont="1" applyBorder="1" applyAlignment="1" applyProtection="1">
      <alignment horizontal="center" vertical="center" wrapText="1" readingOrder="1"/>
    </xf>
    <xf numFmtId="0" fontId="2" fillId="0" borderId="0" xfId="0" applyFont="1" applyBorder="1" applyAlignment="1" applyProtection="1">
      <alignment vertical="center" wrapText="1" readingOrder="1"/>
    </xf>
    <xf numFmtId="49" fontId="2" fillId="0" borderId="6" xfId="0" applyNumberFormat="1" applyFont="1" applyBorder="1" applyAlignment="1" applyProtection="1">
      <alignment horizontal="right" vertical="center" wrapText="1" readingOrder="1"/>
      <protection locked="0"/>
    </xf>
    <xf numFmtId="49" fontId="2" fillId="0" borderId="3" xfId="0" applyNumberFormat="1" applyFont="1" applyBorder="1" applyAlignment="1" applyProtection="1">
      <alignment horizontal="right" vertical="center" wrapText="1" readingOrder="1"/>
      <protection locked="0"/>
    </xf>
    <xf numFmtId="49" fontId="2" fillId="4" borderId="6" xfId="0" applyNumberFormat="1" applyFont="1" applyFill="1" applyBorder="1" applyAlignment="1" applyProtection="1">
      <alignment horizontal="right" vertical="center" wrapText="1" readingOrder="1"/>
      <protection locked="0"/>
    </xf>
    <xf numFmtId="49" fontId="2" fillId="0" borderId="6" xfId="0" applyNumberFormat="1" applyFont="1" applyBorder="1" applyAlignment="1" applyProtection="1">
      <alignment horizontal="left" vertical="center" wrapText="1" readingOrder="1"/>
      <protection locked="0"/>
    </xf>
    <xf numFmtId="49" fontId="2" fillId="0" borderId="6" xfId="0" applyNumberFormat="1" applyFont="1" applyBorder="1" applyAlignment="1" applyProtection="1">
      <alignment horizontal="center" vertical="center" wrapText="1" readingOrder="1"/>
      <protection locked="0"/>
    </xf>
    <xf numFmtId="0" fontId="2" fillId="6" borderId="6" xfId="0" applyFont="1" applyFill="1" applyBorder="1" applyAlignment="1" applyProtection="1">
      <alignment horizontal="left" vertical="center" wrapText="1" readingOrder="1"/>
      <protection locked="0"/>
    </xf>
    <xf numFmtId="164" fontId="2" fillId="6" borderId="6" xfId="0" applyNumberFormat="1" applyFont="1" applyFill="1" applyBorder="1" applyAlignment="1" applyProtection="1">
      <alignment horizontal="right" vertical="center" wrapText="1" readingOrder="1"/>
    </xf>
    <xf numFmtId="0" fontId="2" fillId="0" borderId="14" xfId="0" applyFont="1" applyBorder="1" applyAlignment="1" applyProtection="1">
      <alignment horizontal="left" vertical="center" wrapText="1" readingOrder="1"/>
      <protection locked="0"/>
    </xf>
    <xf numFmtId="0" fontId="3" fillId="0" borderId="0" xfId="0" applyFont="1" applyBorder="1" applyAlignment="1">
      <alignment horizontal="center" vertical="top" wrapText="1"/>
    </xf>
    <xf numFmtId="0" fontId="5" fillId="0" borderId="0" xfId="0" applyFont="1" applyBorder="1" applyAlignment="1">
      <alignment horizontal="center" vertical="top" wrapText="1"/>
    </xf>
    <xf numFmtId="0" fontId="1" fillId="0" borderId="3" xfId="0" applyFont="1" applyBorder="1" applyAlignment="1" applyProtection="1">
      <alignment vertical="center" wrapText="1" readingOrder="1"/>
    </xf>
    <xf numFmtId="0" fontId="2" fillId="2" borderId="28" xfId="0" applyFont="1" applyFill="1" applyBorder="1" applyAlignment="1" applyProtection="1">
      <alignment vertical="center" wrapText="1" readingOrder="1"/>
      <protection locked="0"/>
    </xf>
    <xf numFmtId="164" fontId="2" fillId="2" borderId="29" xfId="0" applyNumberFormat="1" applyFont="1" applyFill="1" applyBorder="1" applyAlignment="1" applyProtection="1">
      <alignment horizontal="right" vertical="center" wrapText="1" readingOrder="1"/>
    </xf>
    <xf numFmtId="0" fontId="2" fillId="4" borderId="9" xfId="0" applyFont="1" applyFill="1" applyBorder="1" applyAlignment="1" applyProtection="1">
      <alignment vertical="center" wrapText="1" readingOrder="1"/>
      <protection locked="0"/>
    </xf>
    <xf numFmtId="0" fontId="2" fillId="4" borderId="11" xfId="0" applyFont="1" applyFill="1" applyBorder="1" applyAlignment="1" applyProtection="1">
      <alignment vertical="center" wrapText="1" readingOrder="1"/>
      <protection locked="0"/>
    </xf>
    <xf numFmtId="0" fontId="2" fillId="4" borderId="10" xfId="0" applyFont="1" applyFill="1" applyBorder="1" applyAlignment="1" applyProtection="1">
      <alignment vertical="center" wrapText="1" readingOrder="1"/>
      <protection locked="0"/>
    </xf>
    <xf numFmtId="49" fontId="2" fillId="0" borderId="3" xfId="0" applyNumberFormat="1" applyFont="1" applyBorder="1" applyAlignment="1" applyProtection="1">
      <alignment horizontal="center" vertical="center" wrapText="1" readingOrder="1"/>
      <protection locked="0"/>
    </xf>
    <xf numFmtId="49" fontId="2" fillId="7" borderId="6" xfId="0" applyNumberFormat="1" applyFont="1" applyFill="1" applyBorder="1" applyAlignment="1" applyProtection="1">
      <alignment horizontal="center" vertical="center" wrapText="1" readingOrder="1"/>
      <protection locked="0"/>
    </xf>
    <xf numFmtId="49" fontId="2" fillId="7" borderId="3" xfId="0" applyNumberFormat="1" applyFont="1" applyFill="1" applyBorder="1" applyAlignment="1" applyProtection="1">
      <alignment horizontal="center" vertical="center" wrapText="1" readingOrder="1"/>
      <protection locked="0"/>
    </xf>
    <xf numFmtId="49" fontId="2" fillId="8" borderId="3" xfId="0" applyNumberFormat="1" applyFont="1" applyFill="1" applyBorder="1" applyAlignment="1" applyProtection="1">
      <alignment horizontal="center" vertical="center" wrapText="1" readingOrder="1"/>
      <protection locked="0"/>
    </xf>
    <xf numFmtId="49" fontId="2" fillId="8" borderId="6" xfId="0" applyNumberFormat="1" applyFont="1" applyFill="1" applyBorder="1" applyAlignment="1" applyProtection="1">
      <alignment horizontal="center" vertical="center" wrapText="1" readingOrder="1"/>
      <protection locked="0"/>
    </xf>
    <xf numFmtId="49" fontId="2" fillId="9" borderId="6" xfId="0" applyNumberFormat="1" applyFont="1" applyFill="1" applyBorder="1" applyAlignment="1" applyProtection="1">
      <alignment horizontal="center" vertical="center" wrapText="1" readingOrder="1"/>
      <protection locked="0"/>
    </xf>
    <xf numFmtId="49" fontId="2" fillId="9" borderId="3" xfId="0" applyNumberFormat="1" applyFont="1" applyFill="1" applyBorder="1" applyAlignment="1" applyProtection="1">
      <alignment horizontal="center" vertical="center" wrapText="1" readingOrder="1"/>
      <protection locked="0"/>
    </xf>
    <xf numFmtId="49" fontId="2" fillId="9" borderId="3" xfId="0" applyNumberFormat="1" applyFont="1" applyFill="1" applyBorder="1" applyAlignment="1" applyProtection="1">
      <alignment horizontal="right" vertical="center" wrapText="1" readingOrder="1"/>
      <protection locked="0"/>
    </xf>
    <xf numFmtId="49" fontId="2" fillId="8" borderId="3" xfId="0" applyNumberFormat="1" applyFont="1" applyFill="1" applyBorder="1" applyAlignment="1" applyProtection="1">
      <alignment horizontal="right" vertical="center" wrapText="1" readingOrder="1"/>
      <protection locked="0"/>
    </xf>
    <xf numFmtId="49" fontId="6" fillId="0" borderId="6" xfId="0" applyNumberFormat="1" applyFont="1" applyBorder="1" applyAlignment="1" applyProtection="1">
      <alignment horizontal="center" vertical="center" wrapText="1" readingOrder="1"/>
      <protection locked="0"/>
    </xf>
    <xf numFmtId="49" fontId="6" fillId="9" borderId="6" xfId="0" applyNumberFormat="1" applyFont="1" applyFill="1" applyBorder="1" applyAlignment="1" applyProtection="1">
      <alignment horizontal="center" vertical="center" wrapText="1" readingOrder="1"/>
      <protection locked="0"/>
    </xf>
    <xf numFmtId="0" fontId="2" fillId="0" borderId="14" xfId="0" applyFont="1" applyBorder="1" applyAlignment="1" applyProtection="1">
      <alignment vertical="center" wrapText="1" readingOrder="1"/>
      <protection locked="0"/>
    </xf>
    <xf numFmtId="49" fontId="2" fillId="9" borderId="6" xfId="0" applyNumberFormat="1" applyFont="1" applyFill="1" applyBorder="1" applyAlignment="1" applyProtection="1">
      <alignment horizontal="right" vertical="center" wrapText="1" readingOrder="1"/>
      <protection locked="0"/>
    </xf>
    <xf numFmtId="49" fontId="2" fillId="8" borderId="6" xfId="0" applyNumberFormat="1" applyFont="1" applyFill="1" applyBorder="1" applyAlignment="1" applyProtection="1">
      <alignment horizontal="right" vertical="center" wrapText="1" readingOrder="1"/>
      <protection locked="0"/>
    </xf>
    <xf numFmtId="0" fontId="2" fillId="0" borderId="29" xfId="0" applyFont="1" applyBorder="1" applyAlignment="1" applyProtection="1">
      <alignment horizontal="left" vertical="center" wrapText="1" readingOrder="1"/>
      <protection locked="0"/>
    </xf>
    <xf numFmtId="49" fontId="2" fillId="0" borderId="6" xfId="0" applyNumberFormat="1" applyFont="1" applyBorder="1" applyAlignment="1" applyProtection="1">
      <alignment vertical="center" wrapText="1" readingOrder="1"/>
      <protection locked="0"/>
    </xf>
    <xf numFmtId="49" fontId="2" fillId="8" borderId="6" xfId="0" applyNumberFormat="1" applyFont="1" applyFill="1" applyBorder="1" applyAlignment="1" applyProtection="1">
      <alignment vertical="center" wrapText="1" readingOrder="1"/>
      <protection locked="0"/>
    </xf>
    <xf numFmtId="0" fontId="2" fillId="0" borderId="30" xfId="0" applyFont="1" applyBorder="1" applyAlignment="1" applyProtection="1">
      <alignment horizontal="left" vertical="center" wrapText="1" readingOrder="1"/>
      <protection locked="0"/>
    </xf>
    <xf numFmtId="164" fontId="2" fillId="6" borderId="6" xfId="0" applyNumberFormat="1" applyFont="1" applyFill="1" applyBorder="1" applyAlignment="1" applyProtection="1">
      <alignment horizontal="left" vertical="center" wrapText="1" readingOrder="1"/>
    </xf>
    <xf numFmtId="49" fontId="7" fillId="0" borderId="6" xfId="0" applyNumberFormat="1" applyFont="1" applyBorder="1" applyAlignment="1" applyProtection="1">
      <alignment horizontal="right" vertical="center" wrapText="1" readingOrder="1"/>
      <protection locked="0"/>
    </xf>
    <xf numFmtId="49" fontId="7" fillId="8" borderId="6" xfId="0" applyNumberFormat="1" applyFont="1" applyFill="1" applyBorder="1" applyAlignment="1" applyProtection="1">
      <alignment horizontal="right" vertical="center" wrapText="1" readingOrder="1"/>
      <protection locked="0"/>
    </xf>
    <xf numFmtId="0" fontId="2" fillId="10" borderId="6" xfId="0" applyFont="1" applyFill="1" applyBorder="1" applyAlignment="1" applyProtection="1">
      <alignment horizontal="left" vertical="center" wrapText="1" readingOrder="1"/>
      <protection locked="0"/>
    </xf>
    <xf numFmtId="0" fontId="2" fillId="0" borderId="29" xfId="0" applyFont="1" applyBorder="1" applyAlignment="1" applyProtection="1">
      <alignment horizontal="center" vertical="center" wrapText="1" readingOrder="1"/>
      <protection locked="0"/>
    </xf>
    <xf numFmtId="0" fontId="2" fillId="0" borderId="29" xfId="0" applyFont="1" applyBorder="1" applyAlignment="1" applyProtection="1">
      <alignment horizontal="left" vertical="center" wrapText="1" readingOrder="1"/>
      <protection locked="0"/>
    </xf>
    <xf numFmtId="49" fontId="2" fillId="0" borderId="29" xfId="0" applyNumberFormat="1" applyFont="1" applyBorder="1" applyAlignment="1" applyProtection="1">
      <alignment horizontal="center" vertical="center" wrapText="1" readingOrder="1"/>
      <protection locked="0"/>
    </xf>
    <xf numFmtId="0" fontId="2" fillId="3" borderId="9" xfId="0" applyFont="1" applyFill="1" applyBorder="1" applyAlignment="1" applyProtection="1">
      <alignment vertical="center" wrapText="1" readingOrder="1"/>
      <protection locked="0"/>
    </xf>
    <xf numFmtId="0" fontId="2" fillId="3" borderId="10" xfId="0" applyFont="1" applyFill="1" applyBorder="1" applyAlignment="1" applyProtection="1">
      <alignment vertical="center" wrapText="1" readingOrder="1"/>
      <protection locked="0"/>
    </xf>
    <xf numFmtId="0" fontId="2" fillId="3" borderId="11" xfId="0" applyFont="1" applyFill="1" applyBorder="1" applyAlignment="1" applyProtection="1">
      <alignment vertical="center" wrapText="1" readingOrder="1"/>
      <protection locked="0"/>
    </xf>
    <xf numFmtId="0" fontId="2" fillId="4" borderId="22" xfId="0" applyFont="1" applyFill="1" applyBorder="1" applyAlignment="1" applyProtection="1">
      <alignment vertical="center" wrapText="1" readingOrder="1"/>
      <protection locked="0"/>
    </xf>
    <xf numFmtId="0" fontId="8" fillId="0" borderId="0" xfId="1" applyNumberFormat="1" applyFill="1" applyAlignment="1" applyProtection="1"/>
    <xf numFmtId="0" fontId="9" fillId="0" borderId="34" xfId="0" applyNumberFormat="1" applyFont="1" applyFill="1" applyBorder="1" applyAlignment="1" applyProtection="1">
      <alignment horizontal="left" vertical="top" wrapText="1" readingOrder="1"/>
      <protection locked="0"/>
    </xf>
    <xf numFmtId="0" fontId="9" fillId="0" borderId="34" xfId="0" applyNumberFormat="1" applyFont="1" applyFill="1" applyBorder="1" applyAlignment="1" applyProtection="1">
      <alignment horizontal="center" vertical="top" readingOrder="1"/>
      <protection locked="0"/>
    </xf>
    <xf numFmtId="0" fontId="2" fillId="0" borderId="34" xfId="0" applyNumberFormat="1" applyFont="1" applyFill="1" applyBorder="1" applyAlignment="1" applyProtection="1">
      <alignment horizontal="center" vertical="top" readingOrder="1"/>
      <protection locked="0"/>
    </xf>
    <xf numFmtId="49" fontId="2" fillId="8" borderId="6" xfId="0" applyNumberFormat="1" applyFont="1" applyFill="1" applyBorder="1" applyAlignment="1" applyProtection="1">
      <alignment horizontal="center" vertical="top" wrapText="1" readingOrder="1"/>
      <protection locked="0"/>
    </xf>
    <xf numFmtId="0" fontId="9" fillId="0" borderId="35" xfId="0" applyNumberFormat="1" applyFont="1" applyFill="1" applyBorder="1" applyAlignment="1" applyProtection="1">
      <alignment horizontal="left" vertical="top" wrapText="1" readingOrder="1"/>
      <protection locked="0"/>
    </xf>
    <xf numFmtId="0" fontId="9" fillId="0" borderId="35" xfId="0" applyNumberFormat="1" applyFont="1" applyFill="1" applyBorder="1" applyAlignment="1" applyProtection="1">
      <alignment horizontal="center" vertical="top" readingOrder="1"/>
      <protection locked="0"/>
    </xf>
    <xf numFmtId="0" fontId="2" fillId="0" borderId="35" xfId="0" applyNumberFormat="1" applyFont="1" applyFill="1" applyBorder="1" applyAlignment="1" applyProtection="1">
      <alignment horizontal="center" vertical="top" readingOrder="1"/>
      <protection locked="0"/>
    </xf>
    <xf numFmtId="49" fontId="2" fillId="8" borderId="14" xfId="0" applyNumberFormat="1" applyFont="1" applyFill="1" applyBorder="1" applyAlignment="1" applyProtection="1">
      <alignment horizontal="center" vertical="top" wrapText="1" readingOrder="1"/>
      <protection locked="0"/>
    </xf>
    <xf numFmtId="49" fontId="2" fillId="9" borderId="29" xfId="0" applyNumberFormat="1" applyFont="1" applyFill="1" applyBorder="1" applyAlignment="1" applyProtection="1">
      <alignment horizontal="center" vertical="center" wrapText="1" readingOrder="1"/>
      <protection locked="0"/>
    </xf>
    <xf numFmtId="0" fontId="2" fillId="10" borderId="3" xfId="0" applyFont="1" applyFill="1" applyBorder="1" applyAlignment="1" applyProtection="1">
      <alignment horizontal="left" vertical="center" wrapText="1" readingOrder="1"/>
      <protection locked="0"/>
    </xf>
    <xf numFmtId="0" fontId="2" fillId="10" borderId="8" xfId="0" applyFont="1" applyFill="1" applyBorder="1" applyAlignment="1" applyProtection="1">
      <alignment horizontal="left" vertical="center" wrapText="1" readingOrder="1"/>
      <protection locked="0"/>
    </xf>
    <xf numFmtId="0" fontId="2" fillId="10" borderId="6" xfId="0" applyFont="1" applyFill="1" applyBorder="1" applyAlignment="1" applyProtection="1">
      <alignment horizontal="right" vertical="center" wrapText="1" readingOrder="1"/>
      <protection locked="0"/>
    </xf>
    <xf numFmtId="0" fontId="2" fillId="10" borderId="3" xfId="0" applyFont="1" applyFill="1" applyBorder="1" applyAlignment="1" applyProtection="1">
      <alignment horizontal="right" vertical="center" wrapText="1" readingOrder="1"/>
      <protection locked="0"/>
    </xf>
    <xf numFmtId="0" fontId="2" fillId="10" borderId="1" xfId="0" applyFont="1" applyFill="1" applyBorder="1" applyAlignment="1" applyProtection="1">
      <alignment horizontal="left" vertical="center" wrapText="1" readingOrder="1"/>
      <protection locked="0"/>
    </xf>
    <xf numFmtId="0" fontId="2" fillId="10" borderId="19" xfId="0" applyFont="1" applyFill="1" applyBorder="1" applyAlignment="1" applyProtection="1">
      <alignment vertical="center" wrapText="1" readingOrder="1"/>
      <protection locked="0"/>
    </xf>
    <xf numFmtId="0" fontId="2" fillId="0" borderId="29" xfId="0" applyFont="1" applyBorder="1" applyAlignment="1" applyProtection="1">
      <alignment horizontal="right" vertical="center" wrapText="1" readingOrder="1"/>
      <protection locked="0"/>
    </xf>
    <xf numFmtId="0" fontId="2" fillId="6" borderId="29" xfId="0" applyFont="1" applyFill="1" applyBorder="1" applyAlignment="1" applyProtection="1">
      <alignment horizontal="left" vertical="center" wrapText="1" readingOrder="1"/>
      <protection locked="0"/>
    </xf>
    <xf numFmtId="164" fontId="2" fillId="6" borderId="29" xfId="0" applyNumberFormat="1" applyFont="1" applyFill="1" applyBorder="1" applyAlignment="1" applyProtection="1">
      <alignment horizontal="right" vertical="center" wrapText="1" readingOrder="1"/>
    </xf>
    <xf numFmtId="0" fontId="0" fillId="0" borderId="3" xfId="0" applyBorder="1"/>
    <xf numFmtId="0" fontId="10" fillId="0" borderId="3" xfId="1" applyFont="1" applyBorder="1" applyAlignment="1">
      <alignment horizontal="center" vertical="center"/>
    </xf>
    <xf numFmtId="0" fontId="5" fillId="0" borderId="3" xfId="0" applyFont="1" applyBorder="1" applyAlignment="1">
      <alignment vertical="center" wrapText="1"/>
    </xf>
    <xf numFmtId="0" fontId="10" fillId="0" borderId="3" xfId="0" applyFont="1" applyBorder="1" applyAlignment="1">
      <alignment horizontal="center" vertical="center"/>
    </xf>
    <xf numFmtId="0" fontId="11" fillId="0" borderId="3" xfId="0" applyFont="1" applyBorder="1"/>
    <xf numFmtId="0" fontId="11" fillId="0" borderId="3" xfId="0" applyFont="1" applyBorder="1" applyAlignment="1">
      <alignment horizontal="center" vertical="center"/>
    </xf>
    <xf numFmtId="0" fontId="0" fillId="11" borderId="3" xfId="0" applyFill="1" applyBorder="1"/>
    <xf numFmtId="0" fontId="0" fillId="12" borderId="3" xfId="0" applyFill="1" applyBorder="1"/>
    <xf numFmtId="0" fontId="0" fillId="9" borderId="3" xfId="0" applyFill="1" applyBorder="1"/>
    <xf numFmtId="0" fontId="11" fillId="0" borderId="3" xfId="0" applyFont="1" applyBorder="1" applyAlignment="1">
      <alignment horizontal="left" vertical="center"/>
    </xf>
    <xf numFmtId="0" fontId="2" fillId="0" borderId="3" xfId="0" applyFont="1" applyBorder="1" applyAlignment="1" applyProtection="1">
      <alignment horizontal="center" vertical="center" wrapText="1" readingOrder="1"/>
      <protection locked="0"/>
    </xf>
    <xf numFmtId="49" fontId="2" fillId="8" borderId="3" xfId="0" applyNumberFormat="1" applyFont="1" applyFill="1" applyBorder="1" applyAlignment="1" applyProtection="1">
      <alignment horizontal="center" vertical="center" wrapText="1" readingOrder="1"/>
      <protection locked="0"/>
    </xf>
    <xf numFmtId="0" fontId="0" fillId="10" borderId="0" xfId="0" applyFill="1"/>
    <xf numFmtId="49" fontId="2" fillId="0" borderId="2" xfId="0" applyNumberFormat="1" applyFont="1" applyBorder="1" applyAlignment="1" applyProtection="1">
      <alignment horizontal="center" vertical="center" wrapText="1" readingOrder="1"/>
      <protection locked="0"/>
    </xf>
    <xf numFmtId="49" fontId="2" fillId="8" borderId="2" xfId="0" applyNumberFormat="1" applyFont="1" applyFill="1" applyBorder="1" applyAlignment="1" applyProtection="1">
      <alignment horizontal="center" vertical="center" wrapText="1" readingOrder="1"/>
      <protection locked="0"/>
    </xf>
    <xf numFmtId="0" fontId="2" fillId="10" borderId="2" xfId="0" applyFont="1" applyFill="1" applyBorder="1" applyAlignment="1" applyProtection="1">
      <alignment horizontal="right" vertical="center" wrapText="1" readingOrder="1"/>
      <protection locked="0"/>
    </xf>
    <xf numFmtId="0" fontId="0" fillId="10" borderId="0" xfId="0" applyFill="1" applyBorder="1"/>
    <xf numFmtId="0" fontId="10" fillId="10" borderId="0" xfId="1" applyFont="1" applyFill="1" applyBorder="1" applyAlignment="1">
      <alignment horizontal="center" vertical="center"/>
    </xf>
    <xf numFmtId="0" fontId="5" fillId="10" borderId="0" xfId="0" applyFont="1" applyFill="1" applyBorder="1" applyAlignment="1">
      <alignment vertical="center" wrapText="1"/>
    </xf>
    <xf numFmtId="0" fontId="10" fillId="10" borderId="0" xfId="0" applyFont="1" applyFill="1" applyBorder="1" applyAlignment="1">
      <alignment horizontal="center" vertical="center"/>
    </xf>
    <xf numFmtId="0" fontId="11" fillId="10" borderId="0" xfId="0" applyFont="1" applyFill="1" applyBorder="1"/>
    <xf numFmtId="0" fontId="11" fillId="10" borderId="0" xfId="0" applyFont="1" applyFill="1" applyBorder="1" applyAlignment="1">
      <alignment horizontal="left" vertical="center"/>
    </xf>
    <xf numFmtId="0" fontId="11" fillId="10" borderId="0" xfId="0" applyFont="1" applyFill="1" applyBorder="1" applyAlignment="1">
      <alignment horizontal="center" vertical="center"/>
    </xf>
    <xf numFmtId="49" fontId="2" fillId="12" borderId="3" xfId="0" applyNumberFormat="1" applyFont="1" applyFill="1" applyBorder="1" applyAlignment="1" applyProtection="1">
      <alignment horizontal="center" vertical="center" wrapText="1" readingOrder="1"/>
      <protection locked="0"/>
    </xf>
    <xf numFmtId="49" fontId="6" fillId="8" borderId="3" xfId="0" applyNumberFormat="1" applyFont="1" applyFill="1" applyBorder="1" applyAlignment="1" applyProtection="1">
      <alignment horizontal="right" vertical="center" wrapText="1" readingOrder="1"/>
      <protection locked="0"/>
    </xf>
    <xf numFmtId="165" fontId="12" fillId="0" borderId="3" xfId="0" applyNumberFormat="1" applyFont="1" applyBorder="1" applyAlignment="1" applyProtection="1">
      <alignment horizontal="right" vertical="center" wrapText="1" readingOrder="1"/>
    </xf>
    <xf numFmtId="165" fontId="12" fillId="0" borderId="3" xfId="0" applyNumberFormat="1" applyFont="1" applyBorder="1" applyAlignment="1" applyProtection="1">
      <alignment horizontal="right" vertical="center" wrapText="1" readingOrder="1"/>
      <protection locked="0"/>
    </xf>
    <xf numFmtId="0" fontId="13" fillId="0" borderId="3" xfId="0" applyFont="1" applyBorder="1" applyAlignment="1" applyProtection="1">
      <alignment horizontal="center" vertical="center" wrapText="1" readingOrder="1"/>
    </xf>
    <xf numFmtId="0" fontId="7" fillId="0" borderId="3" xfId="0" applyFont="1" applyBorder="1" applyAlignment="1" applyProtection="1">
      <alignment vertical="center" wrapText="1" readingOrder="1"/>
      <protection locked="0"/>
    </xf>
    <xf numFmtId="165" fontId="7" fillId="0" borderId="3" xfId="0" applyNumberFormat="1" applyFont="1" applyBorder="1" applyAlignment="1" applyProtection="1">
      <alignment horizontal="right" vertical="center" wrapText="1" readingOrder="1"/>
    </xf>
    <xf numFmtId="165" fontId="7" fillId="0" borderId="3" xfId="0" applyNumberFormat="1" applyFont="1" applyBorder="1" applyAlignment="1" applyProtection="1">
      <alignment horizontal="right" vertical="center" wrapText="1" readingOrder="1"/>
      <protection locked="0"/>
    </xf>
    <xf numFmtId="0" fontId="13" fillId="5" borderId="3" xfId="0" applyFont="1" applyFill="1" applyBorder="1" applyAlignment="1" applyProtection="1">
      <alignment vertical="center" wrapText="1" readingOrder="1"/>
      <protection locked="0"/>
    </xf>
    <xf numFmtId="0" fontId="13" fillId="5" borderId="3" xfId="0" applyFont="1" applyFill="1" applyBorder="1" applyAlignment="1" applyProtection="1">
      <alignment horizontal="right" vertical="center" wrapText="1" readingOrder="1"/>
      <protection locked="0"/>
    </xf>
    <xf numFmtId="165" fontId="13" fillId="5" borderId="3" xfId="0" applyNumberFormat="1" applyFont="1" applyFill="1" applyBorder="1" applyAlignment="1" applyProtection="1">
      <alignment horizontal="right" vertical="center" wrapText="1" readingOrder="1"/>
    </xf>
    <xf numFmtId="0" fontId="13" fillId="0" borderId="0" xfId="0" applyFont="1" applyBorder="1" applyAlignment="1" applyProtection="1">
      <alignment horizontal="center" vertical="center" wrapText="1" readingOrder="1"/>
    </xf>
    <xf numFmtId="165" fontId="7" fillId="0" borderId="0" xfId="0" applyNumberFormat="1" applyFont="1" applyBorder="1" applyAlignment="1" applyProtection="1">
      <alignment horizontal="right" vertical="center" wrapText="1" readingOrder="1"/>
    </xf>
    <xf numFmtId="165" fontId="7" fillId="0" borderId="0" xfId="0" applyNumberFormat="1" applyFont="1" applyBorder="1" applyAlignment="1" applyProtection="1">
      <alignment horizontal="right" vertical="center" wrapText="1" readingOrder="1"/>
      <protection locked="0"/>
    </xf>
    <xf numFmtId="165" fontId="13" fillId="13" borderId="0" xfId="0" applyNumberFormat="1" applyFont="1" applyFill="1" applyBorder="1" applyAlignment="1" applyProtection="1">
      <alignment horizontal="right" vertical="center" wrapText="1" readingOrder="1"/>
    </xf>
    <xf numFmtId="0" fontId="15" fillId="0" borderId="0" xfId="0" applyFont="1" applyAlignment="1">
      <alignment vertical="top"/>
    </xf>
    <xf numFmtId="166" fontId="16" fillId="0" borderId="0" xfId="2" applyNumberFormat="1" applyFont="1" applyAlignment="1">
      <alignment vertical="top"/>
    </xf>
    <xf numFmtId="0" fontId="17" fillId="0" borderId="0" xfId="0" applyFont="1" applyAlignment="1">
      <alignment horizontal="center" vertical="top"/>
    </xf>
    <xf numFmtId="167" fontId="15" fillId="0" borderId="0" xfId="0" applyNumberFormat="1" applyFont="1" applyAlignment="1">
      <alignment vertical="center"/>
    </xf>
    <xf numFmtId="0" fontId="6" fillId="0" borderId="0" xfId="0" applyFont="1" applyAlignment="1">
      <alignment vertical="center"/>
    </xf>
    <xf numFmtId="14" fontId="6" fillId="0" borderId="0" xfId="0" applyNumberFormat="1" applyFont="1" applyAlignment="1">
      <alignment vertical="center"/>
    </xf>
    <xf numFmtId="0" fontId="15" fillId="0" borderId="0" xfId="0" applyFont="1" applyBorder="1" applyAlignment="1">
      <alignment vertical="top"/>
    </xf>
    <xf numFmtId="14" fontId="6" fillId="0" borderId="0" xfId="0" applyNumberFormat="1" applyFont="1" applyAlignment="1">
      <alignment horizontal="left" vertical="center"/>
    </xf>
    <xf numFmtId="0" fontId="2" fillId="0" borderId="26" xfId="0" applyFont="1" applyBorder="1" applyAlignment="1" applyProtection="1">
      <alignment horizontal="center" vertical="center" wrapText="1" readingOrder="1"/>
      <protection locked="0"/>
    </xf>
    <xf numFmtId="0" fontId="2" fillId="0" borderId="21" xfId="0" applyFont="1" applyBorder="1" applyAlignment="1" applyProtection="1">
      <alignment horizontal="center" vertical="center" wrapText="1" readingOrder="1"/>
      <protection locked="0"/>
    </xf>
    <xf numFmtId="0" fontId="2" fillId="10" borderId="14" xfId="0" applyFont="1" applyFill="1" applyBorder="1" applyAlignment="1" applyProtection="1">
      <alignment horizontal="left" vertical="center" wrapText="1" readingOrder="1"/>
      <protection locked="0"/>
    </xf>
    <xf numFmtId="0" fontId="2" fillId="10" borderId="15" xfId="0" applyFont="1" applyFill="1" applyBorder="1" applyAlignment="1" applyProtection="1">
      <alignment horizontal="left" vertical="center" wrapText="1" readingOrder="1"/>
      <protection locked="0"/>
    </xf>
    <xf numFmtId="0" fontId="2" fillId="10" borderId="14" xfId="0" applyFont="1" applyFill="1" applyBorder="1" applyAlignment="1" applyProtection="1">
      <alignment horizontal="center" vertical="center" wrapText="1" readingOrder="1"/>
      <protection locked="0"/>
    </xf>
    <xf numFmtId="0" fontId="2" fillId="10" borderId="15" xfId="0" applyFont="1" applyFill="1" applyBorder="1" applyAlignment="1" applyProtection="1">
      <alignment horizontal="center" vertical="center" wrapText="1" readingOrder="1"/>
      <protection locked="0"/>
    </xf>
    <xf numFmtId="49" fontId="2" fillId="10" borderId="14" xfId="0" applyNumberFormat="1" applyFont="1" applyFill="1" applyBorder="1" applyAlignment="1" applyProtection="1">
      <alignment horizontal="center" vertical="center" wrapText="1" readingOrder="1"/>
      <protection locked="0"/>
    </xf>
    <xf numFmtId="49" fontId="2" fillId="10" borderId="15" xfId="0" applyNumberFormat="1" applyFont="1" applyFill="1" applyBorder="1" applyAlignment="1" applyProtection="1">
      <alignment horizontal="center" vertical="center" wrapText="1" readingOrder="1"/>
      <protection locked="0"/>
    </xf>
    <xf numFmtId="49" fontId="2" fillId="8" borderId="14" xfId="0" applyNumberFormat="1" applyFont="1" applyFill="1" applyBorder="1" applyAlignment="1" applyProtection="1">
      <alignment horizontal="center" vertical="center" wrapText="1" readingOrder="1"/>
      <protection locked="0"/>
    </xf>
    <xf numFmtId="49" fontId="2" fillId="8" borderId="15" xfId="0" applyNumberFormat="1" applyFont="1" applyFill="1" applyBorder="1" applyAlignment="1" applyProtection="1">
      <alignment horizontal="center" vertical="center" wrapText="1" readingOrder="1"/>
      <protection locked="0"/>
    </xf>
    <xf numFmtId="0" fontId="2" fillId="10" borderId="19" xfId="0" applyFont="1" applyFill="1" applyBorder="1" applyAlignment="1" applyProtection="1">
      <alignment horizontal="center" vertical="center" wrapText="1" readingOrder="1"/>
      <protection locked="0"/>
    </xf>
    <xf numFmtId="0" fontId="2" fillId="10" borderId="21" xfId="0" applyFont="1" applyFill="1" applyBorder="1" applyAlignment="1" applyProtection="1">
      <alignment horizontal="center" vertical="center" wrapText="1" readingOrder="1"/>
      <protection locked="0"/>
    </xf>
    <xf numFmtId="0" fontId="2" fillId="4" borderId="9" xfId="0" applyFont="1" applyFill="1" applyBorder="1" applyAlignment="1" applyProtection="1">
      <alignment horizontal="left" vertical="center" wrapText="1" readingOrder="1"/>
      <protection locked="0"/>
    </xf>
    <xf numFmtId="0" fontId="2" fillId="4" borderId="10" xfId="0" applyFont="1" applyFill="1" applyBorder="1" applyAlignment="1" applyProtection="1">
      <alignment horizontal="left" vertical="center" wrapText="1" readingOrder="1"/>
      <protection locked="0"/>
    </xf>
    <xf numFmtId="0" fontId="2" fillId="4" borderId="22" xfId="0" applyFont="1" applyFill="1" applyBorder="1" applyAlignment="1" applyProtection="1">
      <alignment horizontal="left" vertical="center" wrapText="1" readingOrder="1"/>
      <protection locked="0"/>
    </xf>
    <xf numFmtId="0" fontId="2" fillId="4" borderId="9" xfId="0" applyFont="1" applyFill="1" applyBorder="1" applyAlignment="1" applyProtection="1">
      <alignment horizontal="center" vertical="center" wrapText="1" readingOrder="1"/>
      <protection locked="0"/>
    </xf>
    <xf numFmtId="0" fontId="2" fillId="4" borderId="10" xfId="0" applyFont="1" applyFill="1" applyBorder="1" applyAlignment="1" applyProtection="1">
      <alignment horizontal="center" vertical="center" wrapText="1" readingOrder="1"/>
      <protection locked="0"/>
    </xf>
    <xf numFmtId="0" fontId="2" fillId="4" borderId="11" xfId="0" applyFont="1" applyFill="1" applyBorder="1" applyAlignment="1" applyProtection="1">
      <alignment horizontal="center" vertical="center" wrapText="1" readingOrder="1"/>
      <protection locked="0"/>
    </xf>
    <xf numFmtId="0" fontId="2" fillId="3" borderId="9" xfId="0" applyFont="1" applyFill="1" applyBorder="1" applyAlignment="1" applyProtection="1">
      <alignment horizontal="left" vertical="center" wrapText="1" readingOrder="1"/>
      <protection locked="0"/>
    </xf>
    <xf numFmtId="0" fontId="2" fillId="3" borderId="10" xfId="0" applyFont="1" applyFill="1" applyBorder="1" applyAlignment="1" applyProtection="1">
      <alignment horizontal="left" vertical="center" wrapText="1" readingOrder="1"/>
      <protection locked="0"/>
    </xf>
    <xf numFmtId="0" fontId="2" fillId="3" borderId="22" xfId="0" applyFont="1" applyFill="1" applyBorder="1" applyAlignment="1" applyProtection="1">
      <alignment horizontal="left" vertical="center" wrapText="1" readingOrder="1"/>
      <protection locked="0"/>
    </xf>
    <xf numFmtId="0" fontId="2" fillId="3" borderId="9" xfId="0" applyFont="1" applyFill="1" applyBorder="1" applyAlignment="1" applyProtection="1">
      <alignment horizontal="center" vertical="center" wrapText="1" readingOrder="1"/>
      <protection locked="0"/>
    </xf>
    <xf numFmtId="0" fontId="2" fillId="3" borderId="10" xfId="0" applyFont="1" applyFill="1" applyBorder="1" applyAlignment="1" applyProtection="1">
      <alignment horizontal="center" vertical="center" wrapText="1" readingOrder="1"/>
      <protection locked="0"/>
    </xf>
    <xf numFmtId="0" fontId="2" fillId="3" borderId="11" xfId="0" applyFont="1" applyFill="1" applyBorder="1" applyAlignment="1" applyProtection="1">
      <alignment horizontal="center" vertical="center" wrapText="1" readingOrder="1"/>
      <protection locked="0"/>
    </xf>
    <xf numFmtId="0" fontId="2" fillId="3" borderId="22" xfId="0" applyFont="1" applyFill="1" applyBorder="1" applyAlignment="1" applyProtection="1">
      <alignment horizontal="center" vertical="center" wrapText="1" readingOrder="1"/>
      <protection locked="0"/>
    </xf>
    <xf numFmtId="0" fontId="2" fillId="0" borderId="14" xfId="0" applyFont="1" applyBorder="1" applyAlignment="1" applyProtection="1">
      <alignment horizontal="center" vertical="center" wrapText="1" readingOrder="1"/>
      <protection locked="0"/>
    </xf>
    <xf numFmtId="0" fontId="2" fillId="0" borderId="15" xfId="0" applyFont="1" applyBorder="1" applyAlignment="1" applyProtection="1">
      <alignment horizontal="center" vertical="center" wrapText="1" readingOrder="1"/>
      <protection locked="0"/>
    </xf>
    <xf numFmtId="49" fontId="2" fillId="0" borderId="14" xfId="0" applyNumberFormat="1" applyFont="1" applyBorder="1" applyAlignment="1" applyProtection="1">
      <alignment horizontal="center" vertical="center" wrapText="1" readingOrder="1"/>
      <protection locked="0"/>
    </xf>
    <xf numFmtId="49" fontId="2" fillId="0" borderId="15" xfId="0" applyNumberFormat="1" applyFont="1" applyBorder="1" applyAlignment="1" applyProtection="1">
      <alignment horizontal="center" vertical="center" wrapText="1" readingOrder="1"/>
      <protection locked="0"/>
    </xf>
    <xf numFmtId="49" fontId="2" fillId="9" borderId="14" xfId="0" applyNumberFormat="1" applyFont="1" applyFill="1" applyBorder="1" applyAlignment="1" applyProtection="1">
      <alignment horizontal="center" vertical="center" wrapText="1" readingOrder="1"/>
      <protection locked="0"/>
    </xf>
    <xf numFmtId="49" fontId="2" fillId="9" borderId="15" xfId="0" applyNumberFormat="1" applyFont="1" applyFill="1" applyBorder="1" applyAlignment="1" applyProtection="1">
      <alignment horizontal="center" vertical="center" wrapText="1" readingOrder="1"/>
      <protection locked="0"/>
    </xf>
    <xf numFmtId="0" fontId="2" fillId="0" borderId="14" xfId="0" applyFont="1" applyBorder="1" applyAlignment="1" applyProtection="1">
      <alignment horizontal="left" vertical="center" wrapText="1" readingOrder="1"/>
      <protection locked="0"/>
    </xf>
    <xf numFmtId="0" fontId="2" fillId="0" borderId="15" xfId="0" applyFont="1" applyBorder="1" applyAlignment="1" applyProtection="1">
      <alignment horizontal="left" vertical="center" wrapText="1" readingOrder="1"/>
      <protection locked="0"/>
    </xf>
    <xf numFmtId="0" fontId="2" fillId="0" borderId="19" xfId="0" applyFont="1" applyBorder="1" applyAlignment="1" applyProtection="1">
      <alignment horizontal="left" vertical="center" wrapText="1" readingOrder="1"/>
      <protection locked="0"/>
    </xf>
    <xf numFmtId="0" fontId="2" fillId="0" borderId="21" xfId="0" applyFont="1" applyBorder="1" applyAlignment="1" applyProtection="1">
      <alignment horizontal="left" vertical="center" wrapText="1" readingOrder="1"/>
      <protection locked="0"/>
    </xf>
    <xf numFmtId="0" fontId="2" fillId="0" borderId="20" xfId="0" applyFont="1" applyBorder="1" applyAlignment="1" applyProtection="1">
      <alignment horizontal="left" vertical="center" wrapText="1" readingOrder="1"/>
      <protection locked="0"/>
    </xf>
    <xf numFmtId="0" fontId="2" fillId="2" borderId="9" xfId="0" applyFont="1" applyFill="1" applyBorder="1" applyAlignment="1" applyProtection="1">
      <alignment horizontal="center" vertical="center" wrapText="1" readingOrder="1"/>
      <protection locked="0"/>
    </xf>
    <xf numFmtId="0" fontId="2" fillId="2" borderId="10" xfId="0" applyFont="1" applyFill="1" applyBorder="1" applyAlignment="1" applyProtection="1">
      <alignment horizontal="center" vertical="center" wrapText="1" readingOrder="1"/>
      <protection locked="0"/>
    </xf>
    <xf numFmtId="0" fontId="2" fillId="2" borderId="11" xfId="0" applyFont="1" applyFill="1" applyBorder="1" applyAlignment="1" applyProtection="1">
      <alignment horizontal="center" vertical="center" wrapText="1" readingOrder="1"/>
      <protection locked="0"/>
    </xf>
    <xf numFmtId="0" fontId="2" fillId="2" borderId="9" xfId="0" applyFont="1" applyFill="1" applyBorder="1" applyAlignment="1" applyProtection="1">
      <alignment horizontal="left" vertical="center" wrapText="1" readingOrder="1"/>
      <protection locked="0"/>
    </xf>
    <xf numFmtId="0" fontId="2" fillId="2" borderId="10" xfId="0" applyFont="1" applyFill="1" applyBorder="1" applyAlignment="1" applyProtection="1">
      <alignment horizontal="left" vertical="center" wrapText="1" readingOrder="1"/>
      <protection locked="0"/>
    </xf>
    <xf numFmtId="0" fontId="2" fillId="2" borderId="22" xfId="0" applyFont="1" applyFill="1" applyBorder="1" applyAlignment="1" applyProtection="1">
      <alignment horizontal="left" vertical="center" wrapText="1" readingOrder="1"/>
      <protection locked="0"/>
    </xf>
    <xf numFmtId="49" fontId="2" fillId="7" borderId="14" xfId="0" applyNumberFormat="1" applyFont="1" applyFill="1" applyBorder="1" applyAlignment="1" applyProtection="1">
      <alignment horizontal="center" vertical="center" wrapText="1" readingOrder="1"/>
      <protection locked="0"/>
    </xf>
    <xf numFmtId="49" fontId="2" fillId="7" borderId="15" xfId="0" applyNumberFormat="1" applyFont="1" applyFill="1" applyBorder="1" applyAlignment="1" applyProtection="1">
      <alignment horizontal="center" vertical="center" wrapText="1" readingOrder="1"/>
      <protection locked="0"/>
    </xf>
    <xf numFmtId="0" fontId="2" fillId="0" borderId="12" xfId="0" applyFont="1" applyBorder="1" applyAlignment="1" applyProtection="1">
      <alignment horizontal="left" vertical="center" wrapText="1" readingOrder="1"/>
      <protection locked="0"/>
    </xf>
    <xf numFmtId="0" fontId="2" fillId="0" borderId="16" xfId="0" applyFont="1" applyBorder="1" applyAlignment="1" applyProtection="1">
      <alignment horizontal="left" vertical="center" wrapText="1" readingOrder="1"/>
      <protection locked="0"/>
    </xf>
    <xf numFmtId="0" fontId="2" fillId="0" borderId="13" xfId="0" applyFont="1" applyBorder="1" applyAlignment="1" applyProtection="1">
      <alignment horizontal="left" vertical="center" wrapText="1" readingOrder="1"/>
      <protection locked="0"/>
    </xf>
    <xf numFmtId="0" fontId="2" fillId="0" borderId="17" xfId="0" applyFont="1" applyBorder="1" applyAlignment="1" applyProtection="1">
      <alignment horizontal="left" vertical="center" wrapText="1" readingOrder="1"/>
      <protection locked="0"/>
    </xf>
    <xf numFmtId="0" fontId="2" fillId="0" borderId="17" xfId="0" applyFont="1" applyBorder="1" applyAlignment="1" applyProtection="1">
      <alignment horizontal="center" vertical="center" wrapText="1" readingOrder="1"/>
      <protection locked="0"/>
    </xf>
    <xf numFmtId="49" fontId="2" fillId="0" borderId="17" xfId="0" applyNumberFormat="1" applyFont="1" applyBorder="1" applyAlignment="1" applyProtection="1">
      <alignment horizontal="center" vertical="center" wrapText="1" readingOrder="1"/>
      <protection locked="0"/>
    </xf>
    <xf numFmtId="49" fontId="2" fillId="8" borderId="17" xfId="0" applyNumberFormat="1" applyFont="1" applyFill="1" applyBorder="1" applyAlignment="1" applyProtection="1">
      <alignment horizontal="center" vertical="center" wrapText="1" readingOrder="1"/>
      <protection locked="0"/>
    </xf>
    <xf numFmtId="164" fontId="2" fillId="0" borderId="14" xfId="0" applyNumberFormat="1" applyFont="1" applyBorder="1" applyAlignment="1" applyProtection="1">
      <alignment horizontal="right" vertical="center" wrapText="1" readingOrder="1"/>
    </xf>
    <xf numFmtId="164" fontId="2" fillId="0" borderId="15" xfId="0" applyNumberFormat="1" applyFont="1" applyBorder="1" applyAlignment="1" applyProtection="1">
      <alignment horizontal="right" vertical="center" wrapText="1" readingOrder="1"/>
    </xf>
    <xf numFmtId="0" fontId="2" fillId="0" borderId="19" xfId="0" applyFont="1" applyBorder="1" applyAlignment="1" applyProtection="1">
      <alignment horizontal="center" vertical="center" wrapText="1" readingOrder="1"/>
      <protection locked="0"/>
    </xf>
    <xf numFmtId="0" fontId="2" fillId="0" borderId="12" xfId="0" applyFont="1" applyBorder="1" applyAlignment="1" applyProtection="1">
      <alignment horizontal="center" vertical="center" wrapText="1" readingOrder="1"/>
      <protection locked="0"/>
    </xf>
    <xf numFmtId="0" fontId="2" fillId="0" borderId="16" xfId="0" applyFont="1" applyBorder="1" applyAlignment="1" applyProtection="1">
      <alignment horizontal="center" vertical="center" wrapText="1" readingOrder="1"/>
      <protection locked="0"/>
    </xf>
    <xf numFmtId="0" fontId="2" fillId="0" borderId="13" xfId="0" applyFont="1" applyBorder="1" applyAlignment="1" applyProtection="1">
      <alignment horizontal="center" vertical="center" wrapText="1" readingOrder="1"/>
      <protection locked="0"/>
    </xf>
    <xf numFmtId="0" fontId="2" fillId="0" borderId="18" xfId="0" applyFont="1" applyBorder="1" applyAlignment="1" applyProtection="1">
      <alignment horizontal="left" vertical="center" wrapText="1" readingOrder="1"/>
      <protection locked="0"/>
    </xf>
    <xf numFmtId="0" fontId="2" fillId="0" borderId="18" xfId="0" applyFont="1" applyBorder="1" applyAlignment="1" applyProtection="1">
      <alignment horizontal="center" vertical="center" wrapText="1" readingOrder="1"/>
      <protection locked="0"/>
    </xf>
    <xf numFmtId="49" fontId="2" fillId="0" borderId="18" xfId="0" applyNumberFormat="1" applyFont="1" applyBorder="1" applyAlignment="1" applyProtection="1">
      <alignment horizontal="center" vertical="center" wrapText="1" readingOrder="1"/>
      <protection locked="0"/>
    </xf>
    <xf numFmtId="49" fontId="2" fillId="8" borderId="18" xfId="0" applyNumberFormat="1" applyFont="1" applyFill="1" applyBorder="1" applyAlignment="1" applyProtection="1">
      <alignment horizontal="center" vertical="center" wrapText="1" readingOrder="1"/>
      <protection locked="0"/>
    </xf>
    <xf numFmtId="0" fontId="2" fillId="0" borderId="26" xfId="0" applyFont="1" applyBorder="1" applyAlignment="1" applyProtection="1">
      <alignment horizontal="left" vertical="center" wrapText="1" readingOrder="1"/>
      <protection locked="0"/>
    </xf>
    <xf numFmtId="49" fontId="2" fillId="9" borderId="18" xfId="0" applyNumberFormat="1" applyFont="1" applyFill="1" applyBorder="1" applyAlignment="1" applyProtection="1">
      <alignment horizontal="center" vertical="center" wrapText="1" readingOrder="1"/>
      <protection locked="0"/>
    </xf>
    <xf numFmtId="0" fontId="2" fillId="0" borderId="20" xfId="0" applyFont="1" applyBorder="1" applyAlignment="1" applyProtection="1">
      <alignment horizontal="center" vertical="center" wrapText="1" readingOrder="1"/>
      <protection locked="0"/>
    </xf>
    <xf numFmtId="0" fontId="2" fillId="10" borderId="17" xfId="0" applyFont="1" applyFill="1" applyBorder="1" applyAlignment="1" applyProtection="1">
      <alignment horizontal="left" vertical="center" wrapText="1" readingOrder="1"/>
      <protection locked="0"/>
    </xf>
    <xf numFmtId="49" fontId="2" fillId="7" borderId="17" xfId="0" applyNumberFormat="1" applyFont="1" applyFill="1" applyBorder="1" applyAlignment="1" applyProtection="1">
      <alignment horizontal="center" vertical="center" wrapText="1" readingOrder="1"/>
      <protection locked="0"/>
    </xf>
    <xf numFmtId="49" fontId="2" fillId="8" borderId="6" xfId="0" applyNumberFormat="1" applyFont="1" applyFill="1" applyBorder="1" applyAlignment="1" applyProtection="1">
      <alignment horizontal="center" vertical="center" wrapText="1" readingOrder="1"/>
      <protection locked="0"/>
    </xf>
    <xf numFmtId="49" fontId="2" fillId="8" borderId="3" xfId="0" applyNumberFormat="1" applyFont="1" applyFill="1" applyBorder="1" applyAlignment="1" applyProtection="1">
      <alignment horizontal="center" vertical="center" wrapText="1" readingOrder="1"/>
      <protection locked="0"/>
    </xf>
    <xf numFmtId="49" fontId="2" fillId="8" borderId="2" xfId="0" applyNumberFormat="1" applyFont="1" applyFill="1" applyBorder="1" applyAlignment="1" applyProtection="1">
      <alignment horizontal="center" vertical="center" wrapText="1" readingOrder="1"/>
      <protection locked="0"/>
    </xf>
    <xf numFmtId="0" fontId="2" fillId="10" borderId="1" xfId="0" applyFont="1" applyFill="1" applyBorder="1" applyAlignment="1" applyProtection="1">
      <alignment horizontal="center" vertical="center" wrapText="1" readingOrder="1"/>
      <protection locked="0"/>
    </xf>
    <xf numFmtId="0" fontId="2" fillId="10" borderId="8" xfId="0" applyFont="1" applyFill="1" applyBorder="1" applyAlignment="1" applyProtection="1">
      <alignment horizontal="center" vertical="center" wrapText="1" readingOrder="1"/>
      <protection locked="0"/>
    </xf>
    <xf numFmtId="0" fontId="2" fillId="10" borderId="4" xfId="0" applyFont="1" applyFill="1" applyBorder="1" applyAlignment="1" applyProtection="1">
      <alignment horizontal="center" vertical="center" wrapText="1" readingOrder="1"/>
      <protection locked="0"/>
    </xf>
    <xf numFmtId="0" fontId="2" fillId="0" borderId="29" xfId="0" applyFont="1" applyBorder="1" applyAlignment="1" applyProtection="1">
      <alignment horizontal="left" vertical="center" wrapText="1" readingOrder="1"/>
      <protection locked="0"/>
    </xf>
    <xf numFmtId="0" fontId="2" fillId="0" borderId="29" xfId="0" applyFont="1" applyBorder="1" applyAlignment="1" applyProtection="1">
      <alignment horizontal="center" vertical="center" wrapText="1" readingOrder="1"/>
      <protection locked="0"/>
    </xf>
    <xf numFmtId="49" fontId="2" fillId="0" borderId="29" xfId="0" applyNumberFormat="1" applyFont="1" applyBorder="1" applyAlignment="1" applyProtection="1">
      <alignment horizontal="center" vertical="center" wrapText="1" readingOrder="1"/>
      <protection locked="0"/>
    </xf>
    <xf numFmtId="49" fontId="2" fillId="7" borderId="29" xfId="0" applyNumberFormat="1" applyFont="1" applyFill="1" applyBorder="1" applyAlignment="1" applyProtection="1">
      <alignment horizontal="center" vertical="center" wrapText="1" readingOrder="1"/>
      <protection locked="0"/>
    </xf>
    <xf numFmtId="0" fontId="2" fillId="0" borderId="30" xfId="0" applyFont="1" applyBorder="1" applyAlignment="1" applyProtection="1">
      <alignment horizontal="left" vertical="center" wrapText="1" readingOrder="1"/>
      <protection locked="0"/>
    </xf>
    <xf numFmtId="0" fontId="2" fillId="10" borderId="6" xfId="0" applyFont="1" applyFill="1" applyBorder="1" applyAlignment="1" applyProtection="1">
      <alignment horizontal="left" vertical="center" wrapText="1" readingOrder="1"/>
      <protection locked="0"/>
    </xf>
    <xf numFmtId="0" fontId="2" fillId="10" borderId="3" xfId="0" applyFont="1" applyFill="1" applyBorder="1" applyAlignment="1" applyProtection="1">
      <alignment horizontal="left" vertical="center" wrapText="1" readingOrder="1"/>
      <protection locked="0"/>
    </xf>
    <xf numFmtId="0" fontId="2" fillId="10" borderId="2" xfId="0" applyFont="1" applyFill="1" applyBorder="1" applyAlignment="1" applyProtection="1">
      <alignment horizontal="left" vertical="center" wrapText="1" readingOrder="1"/>
      <protection locked="0"/>
    </xf>
    <xf numFmtId="0" fontId="2" fillId="10" borderId="6" xfId="0" applyFont="1" applyFill="1" applyBorder="1" applyAlignment="1" applyProtection="1">
      <alignment horizontal="center" vertical="center" wrapText="1" readingOrder="1"/>
      <protection locked="0"/>
    </xf>
    <xf numFmtId="0" fontId="2" fillId="10" borderId="3" xfId="0" applyFont="1" applyFill="1" applyBorder="1" applyAlignment="1" applyProtection="1">
      <alignment horizontal="center" vertical="center" wrapText="1" readingOrder="1"/>
      <protection locked="0"/>
    </xf>
    <xf numFmtId="0" fontId="2" fillId="10" borderId="2" xfId="0" applyFont="1" applyFill="1" applyBorder="1" applyAlignment="1" applyProtection="1">
      <alignment horizontal="center" vertical="center" wrapText="1" readingOrder="1"/>
      <protection locked="0"/>
    </xf>
    <xf numFmtId="49" fontId="2" fillId="10" borderId="6" xfId="0" applyNumberFormat="1" applyFont="1" applyFill="1" applyBorder="1" applyAlignment="1" applyProtection="1">
      <alignment horizontal="center" vertical="center" wrapText="1" readingOrder="1"/>
      <protection locked="0"/>
    </xf>
    <xf numFmtId="49" fontId="2" fillId="10" borderId="3" xfId="0" applyNumberFormat="1" applyFont="1" applyFill="1" applyBorder="1" applyAlignment="1" applyProtection="1">
      <alignment horizontal="center" vertical="center" wrapText="1" readingOrder="1"/>
      <protection locked="0"/>
    </xf>
    <xf numFmtId="49" fontId="2" fillId="10" borderId="2" xfId="0" applyNumberFormat="1" applyFont="1" applyFill="1" applyBorder="1" applyAlignment="1" applyProtection="1">
      <alignment horizontal="center" vertical="center" wrapText="1" readingOrder="1"/>
      <protection locked="0"/>
    </xf>
    <xf numFmtId="0" fontId="2" fillId="10" borderId="18" xfId="0" applyFont="1" applyFill="1" applyBorder="1" applyAlignment="1" applyProtection="1">
      <alignment horizontal="left" vertical="center" wrapText="1" readingOrder="1"/>
      <protection locked="0"/>
    </xf>
    <xf numFmtId="49" fontId="2" fillId="9" borderId="17" xfId="0" applyNumberFormat="1" applyFont="1" applyFill="1" applyBorder="1" applyAlignment="1" applyProtection="1">
      <alignment horizontal="center" vertical="center" wrapText="1" readingOrder="1"/>
      <protection locked="0"/>
    </xf>
    <xf numFmtId="0" fontId="2" fillId="0" borderId="14" xfId="0" applyFont="1" applyBorder="1" applyAlignment="1" applyProtection="1">
      <alignment vertical="center" wrapText="1" readingOrder="1"/>
      <protection locked="0"/>
    </xf>
    <xf numFmtId="0" fontId="2" fillId="0" borderId="17" xfId="0" applyFont="1" applyBorder="1" applyAlignment="1" applyProtection="1">
      <alignment vertical="center" wrapText="1" readingOrder="1"/>
      <protection locked="0"/>
    </xf>
    <xf numFmtId="0" fontId="2" fillId="0" borderId="15" xfId="0" applyFont="1" applyBorder="1" applyAlignment="1" applyProtection="1">
      <alignment vertical="center" wrapText="1" readingOrder="1"/>
      <protection locked="0"/>
    </xf>
    <xf numFmtId="0" fontId="2" fillId="10" borderId="19" xfId="0" applyFont="1" applyFill="1" applyBorder="1" applyAlignment="1" applyProtection="1">
      <alignment horizontal="left" vertical="center" wrapText="1" readingOrder="1"/>
      <protection locked="0"/>
    </xf>
    <xf numFmtId="0" fontId="2" fillId="10" borderId="21" xfId="0" applyFont="1" applyFill="1" applyBorder="1" applyAlignment="1" applyProtection="1">
      <alignment horizontal="left" vertical="center" wrapText="1" readingOrder="1"/>
      <protection locked="0"/>
    </xf>
    <xf numFmtId="0" fontId="2" fillId="10" borderId="31" xfId="0" applyFont="1" applyFill="1" applyBorder="1" applyAlignment="1" applyProtection="1">
      <alignment horizontal="center" vertical="center" wrapText="1" readingOrder="1"/>
      <protection locked="0"/>
    </xf>
    <xf numFmtId="0" fontId="2" fillId="10" borderId="32" xfId="0" applyFont="1" applyFill="1" applyBorder="1" applyAlignment="1" applyProtection="1">
      <alignment horizontal="center" vertical="center" wrapText="1" readingOrder="1"/>
      <protection locked="0"/>
    </xf>
    <xf numFmtId="0" fontId="2" fillId="10" borderId="36" xfId="0" applyFont="1" applyFill="1" applyBorder="1" applyAlignment="1" applyProtection="1">
      <alignment horizontal="center" vertical="center" wrapText="1" readingOrder="1"/>
      <protection locked="0"/>
    </xf>
    <xf numFmtId="0" fontId="2" fillId="10" borderId="23" xfId="0" applyFont="1" applyFill="1" applyBorder="1" applyAlignment="1" applyProtection="1">
      <alignment horizontal="center" vertical="center" wrapText="1" readingOrder="1"/>
      <protection locked="0"/>
    </xf>
    <xf numFmtId="0" fontId="2" fillId="10" borderId="25" xfId="0" applyFont="1" applyFill="1" applyBorder="1" applyAlignment="1" applyProtection="1">
      <alignment horizontal="center" vertical="center" wrapText="1" readingOrder="1"/>
      <protection locked="0"/>
    </xf>
    <xf numFmtId="0" fontId="2" fillId="10" borderId="24" xfId="0" applyFont="1" applyFill="1" applyBorder="1" applyAlignment="1" applyProtection="1">
      <alignment horizontal="center" vertical="center" wrapText="1" readingOrder="1"/>
      <protection locked="0"/>
    </xf>
    <xf numFmtId="164" fontId="2" fillId="0" borderId="17" xfId="0" applyNumberFormat="1" applyFont="1" applyBorder="1" applyAlignment="1" applyProtection="1">
      <alignment horizontal="right" vertical="center" wrapText="1" readingOrder="1"/>
    </xf>
    <xf numFmtId="164" fontId="2" fillId="0" borderId="18" xfId="0" applyNumberFormat="1" applyFont="1" applyBorder="1" applyAlignment="1" applyProtection="1">
      <alignment horizontal="right" vertical="center" wrapText="1" readingOrder="1"/>
      <protection locked="0"/>
    </xf>
    <xf numFmtId="164" fontId="2" fillId="0" borderId="15" xfId="0" applyNumberFormat="1" applyFont="1" applyBorder="1" applyAlignment="1" applyProtection="1">
      <alignment horizontal="right" vertical="center" wrapText="1" readingOrder="1"/>
      <protection locked="0"/>
    </xf>
    <xf numFmtId="164" fontId="2" fillId="10" borderId="14" xfId="0" applyNumberFormat="1" applyFont="1" applyFill="1" applyBorder="1" applyAlignment="1" applyProtection="1">
      <alignment horizontal="right" vertical="center" wrapText="1" readingOrder="1"/>
    </xf>
    <xf numFmtId="164" fontId="2" fillId="10" borderId="17" xfId="0" applyNumberFormat="1" applyFont="1" applyFill="1" applyBorder="1" applyAlignment="1" applyProtection="1">
      <alignment horizontal="right" vertical="center" wrapText="1" readingOrder="1"/>
    </xf>
    <xf numFmtId="164" fontId="2" fillId="10" borderId="15" xfId="0" applyNumberFormat="1" applyFont="1" applyFill="1" applyBorder="1" applyAlignment="1" applyProtection="1">
      <alignment horizontal="right" vertical="center" wrapText="1" readingOrder="1"/>
    </xf>
    <xf numFmtId="164" fontId="2" fillId="0" borderId="14" xfId="0" applyNumberFormat="1" applyFont="1" applyBorder="1" applyAlignment="1" applyProtection="1">
      <alignment horizontal="center" vertical="center" wrapText="1" readingOrder="1"/>
    </xf>
    <xf numFmtId="164" fontId="2" fillId="0" borderId="15" xfId="0" applyNumberFormat="1" applyFont="1" applyBorder="1" applyAlignment="1" applyProtection="1">
      <alignment horizontal="center" vertical="center" wrapText="1" readingOrder="1"/>
    </xf>
    <xf numFmtId="0" fontId="2" fillId="10" borderId="20" xfId="0" applyFont="1" applyFill="1" applyBorder="1" applyAlignment="1" applyProtection="1">
      <alignment horizontal="left" vertical="center" wrapText="1" readingOrder="1"/>
      <protection locked="0"/>
    </xf>
    <xf numFmtId="49" fontId="2" fillId="10" borderId="17" xfId="0" applyNumberFormat="1" applyFont="1" applyFill="1" applyBorder="1" applyAlignment="1" applyProtection="1">
      <alignment horizontal="center" vertical="center" wrapText="1" readingOrder="1"/>
      <protection locked="0"/>
    </xf>
    <xf numFmtId="0" fontId="2" fillId="0" borderId="12" xfId="0" applyFont="1" applyBorder="1" applyAlignment="1" applyProtection="1">
      <alignment vertical="center" wrapText="1" readingOrder="1"/>
      <protection locked="0"/>
    </xf>
    <xf numFmtId="0" fontId="2" fillId="0" borderId="13" xfId="0" applyFont="1" applyBorder="1" applyAlignment="1" applyProtection="1">
      <alignment vertical="center" wrapText="1" readingOrder="1"/>
      <protection locked="0"/>
    </xf>
    <xf numFmtId="49" fontId="2" fillId="7" borderId="18" xfId="0" applyNumberFormat="1" applyFont="1" applyFill="1" applyBorder="1" applyAlignment="1" applyProtection="1">
      <alignment horizontal="center" vertical="center" wrapText="1" readingOrder="1"/>
      <protection locked="0"/>
    </xf>
    <xf numFmtId="0" fontId="2" fillId="0" borderId="26" xfId="0" applyFont="1" applyBorder="1" applyAlignment="1" applyProtection="1">
      <alignment vertical="center" wrapText="1" readingOrder="1"/>
      <protection locked="0"/>
    </xf>
    <xf numFmtId="0" fontId="2" fillId="0" borderId="21" xfId="0" applyFont="1" applyBorder="1" applyAlignment="1" applyProtection="1">
      <alignment vertical="center" wrapText="1" readingOrder="1"/>
      <protection locked="0"/>
    </xf>
    <xf numFmtId="164" fontId="2" fillId="0" borderId="18" xfId="0" applyNumberFormat="1" applyFont="1" applyBorder="1" applyAlignment="1" applyProtection="1">
      <alignment horizontal="center" vertical="center" wrapText="1" readingOrder="1"/>
      <protection locked="0"/>
    </xf>
    <xf numFmtId="164" fontId="2" fillId="0" borderId="17" xfId="0" applyNumberFormat="1" applyFont="1" applyBorder="1" applyAlignment="1" applyProtection="1">
      <alignment horizontal="center" vertical="center" wrapText="1" readingOrder="1"/>
      <protection locked="0"/>
    </xf>
    <xf numFmtId="49" fontId="2" fillId="8" borderId="29" xfId="0" applyNumberFormat="1" applyFont="1" applyFill="1" applyBorder="1" applyAlignment="1" applyProtection="1">
      <alignment horizontal="center" vertical="center" wrapText="1" readingOrder="1"/>
      <protection locked="0"/>
    </xf>
    <xf numFmtId="0" fontId="2" fillId="0" borderId="30" xfId="0" applyFont="1" applyBorder="1" applyAlignment="1" applyProtection="1">
      <alignment horizontal="center" vertical="center" wrapText="1" readingOrder="1"/>
      <protection locked="0"/>
    </xf>
    <xf numFmtId="164" fontId="2" fillId="0" borderId="15" xfId="0" applyNumberFormat="1" applyFont="1" applyBorder="1" applyAlignment="1" applyProtection="1">
      <alignment horizontal="center" vertical="center" wrapText="1" readingOrder="1"/>
      <protection locked="0"/>
    </xf>
    <xf numFmtId="164" fontId="2" fillId="0" borderId="17" xfId="0" applyNumberFormat="1" applyFont="1" applyBorder="1" applyAlignment="1" applyProtection="1">
      <alignment horizontal="right" vertical="center" wrapText="1" readingOrder="1"/>
      <protection locked="0"/>
    </xf>
    <xf numFmtId="164" fontId="2" fillId="0" borderId="17" xfId="0" applyNumberFormat="1" applyFont="1" applyBorder="1" applyAlignment="1" applyProtection="1">
      <alignment horizontal="center" vertical="center" wrapText="1" readingOrder="1"/>
    </xf>
    <xf numFmtId="49" fontId="2" fillId="12" borderId="14" xfId="0" applyNumberFormat="1" applyFont="1" applyFill="1" applyBorder="1" applyAlignment="1" applyProtection="1">
      <alignment horizontal="center" vertical="center" wrapText="1" readingOrder="1"/>
      <protection locked="0"/>
    </xf>
    <xf numFmtId="49" fontId="2" fillId="12" borderId="17" xfId="0" applyNumberFormat="1" applyFont="1" applyFill="1" applyBorder="1" applyAlignment="1" applyProtection="1">
      <alignment horizontal="center" vertical="center" wrapText="1" readingOrder="1"/>
      <protection locked="0"/>
    </xf>
    <xf numFmtId="49" fontId="2" fillId="12" borderId="15" xfId="0" applyNumberFormat="1" applyFont="1" applyFill="1" applyBorder="1" applyAlignment="1" applyProtection="1">
      <alignment horizontal="center" vertical="center" wrapText="1" readingOrder="1"/>
      <protection locked="0"/>
    </xf>
    <xf numFmtId="0" fontId="2" fillId="4" borderId="31" xfId="0" applyFont="1" applyFill="1" applyBorder="1" applyAlignment="1" applyProtection="1">
      <alignment horizontal="center" vertical="center" wrapText="1" readingOrder="1"/>
      <protection locked="0"/>
    </xf>
    <xf numFmtId="0" fontId="2" fillId="4" borderId="32" xfId="0" applyFont="1" applyFill="1" applyBorder="1" applyAlignment="1" applyProtection="1">
      <alignment horizontal="center" vertical="center" wrapText="1" readingOrder="1"/>
      <protection locked="0"/>
    </xf>
    <xf numFmtId="0" fontId="2" fillId="4" borderId="33" xfId="0" applyFont="1" applyFill="1" applyBorder="1" applyAlignment="1" applyProtection="1">
      <alignment horizontal="center" vertical="center" wrapText="1" readingOrder="1"/>
      <protection locked="0"/>
    </xf>
    <xf numFmtId="0" fontId="2" fillId="2" borderId="23" xfId="0" applyFont="1" applyFill="1" applyBorder="1" applyAlignment="1" applyProtection="1">
      <alignment horizontal="left" vertical="center" wrapText="1" readingOrder="1"/>
      <protection locked="0"/>
    </xf>
    <xf numFmtId="0" fontId="2" fillId="2" borderId="25" xfId="0" applyFont="1" applyFill="1" applyBorder="1" applyAlignment="1" applyProtection="1">
      <alignment horizontal="left" vertical="center" wrapText="1" readingOrder="1"/>
      <protection locked="0"/>
    </xf>
    <xf numFmtId="0" fontId="2" fillId="2" borderId="24" xfId="0" applyFont="1" applyFill="1" applyBorder="1" applyAlignment="1" applyProtection="1">
      <alignment horizontal="left" vertical="center" wrapText="1" readingOrder="1"/>
      <protection locked="0"/>
    </xf>
    <xf numFmtId="0" fontId="4" fillId="0" borderId="0" xfId="0" applyFont="1" applyBorder="1" applyAlignment="1">
      <alignment horizontal="center" vertical="top" wrapText="1"/>
    </xf>
    <xf numFmtId="0" fontId="1" fillId="0" borderId="3" xfId="0" applyFont="1" applyBorder="1" applyAlignment="1" applyProtection="1">
      <alignment horizontal="center" vertical="center" wrapText="1" readingOrder="1"/>
    </xf>
    <xf numFmtId="0" fontId="2" fillId="2" borderId="23" xfId="0" applyFont="1" applyFill="1" applyBorder="1" applyAlignment="1" applyProtection="1">
      <alignment horizontal="center" vertical="center" wrapText="1" readingOrder="1"/>
      <protection locked="0"/>
    </xf>
    <xf numFmtId="0" fontId="2" fillId="2" borderId="25" xfId="0" applyFont="1" applyFill="1" applyBorder="1" applyAlignment="1" applyProtection="1">
      <alignment horizontal="center" vertical="center" wrapText="1" readingOrder="1"/>
      <protection locked="0"/>
    </xf>
    <xf numFmtId="0" fontId="2" fillId="2" borderId="27" xfId="0" applyFont="1" applyFill="1" applyBorder="1" applyAlignment="1" applyProtection="1">
      <alignment horizontal="center" vertical="center" wrapText="1" readingOrder="1"/>
      <protection locked="0"/>
    </xf>
    <xf numFmtId="0" fontId="1" fillId="0" borderId="3" xfId="0" applyFont="1" applyBorder="1" applyAlignment="1" applyProtection="1">
      <alignment horizontal="center" vertical="center" textRotation="90" wrapText="1" readingOrder="1"/>
    </xf>
    <xf numFmtId="0" fontId="1" fillId="0" borderId="18" xfId="0" applyFont="1" applyBorder="1" applyAlignment="1" applyProtection="1">
      <alignment horizontal="center" vertical="center" wrapText="1" readingOrder="1"/>
    </xf>
    <xf numFmtId="0" fontId="1" fillId="0" borderId="17" xfId="0" applyFont="1" applyBorder="1" applyAlignment="1" applyProtection="1">
      <alignment horizontal="center" vertical="center" wrapText="1" readingOrder="1"/>
    </xf>
    <xf numFmtId="0" fontId="1" fillId="0" borderId="29" xfId="0" applyFont="1" applyBorder="1" applyAlignment="1" applyProtection="1">
      <alignment horizontal="center" vertical="center" wrapText="1" readingOrder="1"/>
    </xf>
    <xf numFmtId="0" fontId="2" fillId="0" borderId="14" xfId="0" applyFont="1" applyBorder="1" applyAlignment="1" applyProtection="1">
      <alignment horizontal="left" vertical="top" wrapText="1" readingOrder="1"/>
      <protection locked="0"/>
    </xf>
    <xf numFmtId="0" fontId="2" fillId="0" borderId="17" xfId="0" applyFont="1" applyBorder="1" applyAlignment="1" applyProtection="1">
      <alignment horizontal="left" vertical="top" wrapText="1" readingOrder="1"/>
      <protection locked="0"/>
    </xf>
    <xf numFmtId="0" fontId="2" fillId="0" borderId="15" xfId="0" applyFont="1" applyBorder="1" applyAlignment="1" applyProtection="1">
      <alignment horizontal="left" vertical="top" wrapText="1" readingOrder="1"/>
      <protection locked="0"/>
    </xf>
    <xf numFmtId="49" fontId="6" fillId="7" borderId="14" xfId="0" applyNumberFormat="1" applyFont="1" applyFill="1" applyBorder="1" applyAlignment="1" applyProtection="1">
      <alignment horizontal="center" vertical="center" wrapText="1" readingOrder="1"/>
      <protection locked="0"/>
    </xf>
    <xf numFmtId="49" fontId="6" fillId="7" borderId="17" xfId="0" applyNumberFormat="1" applyFont="1" applyFill="1" applyBorder="1" applyAlignment="1" applyProtection="1">
      <alignment horizontal="center" vertical="center" wrapText="1" readingOrder="1"/>
      <protection locked="0"/>
    </xf>
    <xf numFmtId="49" fontId="6" fillId="7" borderId="15" xfId="0" applyNumberFormat="1" applyFont="1" applyFill="1" applyBorder="1" applyAlignment="1" applyProtection="1">
      <alignment horizontal="center" vertical="center" wrapText="1" readingOrder="1"/>
      <protection locked="0"/>
    </xf>
    <xf numFmtId="0" fontId="2" fillId="7" borderId="19" xfId="0" applyFont="1" applyFill="1" applyBorder="1" applyAlignment="1" applyProtection="1">
      <alignment horizontal="left" vertical="center" wrapText="1" readingOrder="1"/>
      <protection locked="0"/>
    </xf>
    <xf numFmtId="0" fontId="2" fillId="7" borderId="20" xfId="0" applyFont="1" applyFill="1" applyBorder="1" applyAlignment="1" applyProtection="1">
      <alignment horizontal="left" vertical="center" wrapText="1" readingOrder="1"/>
      <protection locked="0"/>
    </xf>
    <xf numFmtId="0" fontId="2" fillId="7" borderId="21" xfId="0" applyFont="1" applyFill="1" applyBorder="1" applyAlignment="1" applyProtection="1">
      <alignment horizontal="left" vertical="center" wrapText="1" readingOrder="1"/>
      <protection locked="0"/>
    </xf>
    <xf numFmtId="0" fontId="2" fillId="10" borderId="26" xfId="0" applyFont="1" applyFill="1" applyBorder="1" applyAlignment="1" applyProtection="1">
      <alignment horizontal="left" vertical="center" wrapText="1" readingOrder="1"/>
      <protection locked="0"/>
    </xf>
    <xf numFmtId="0" fontId="2" fillId="10" borderId="18" xfId="0" applyFont="1" applyFill="1" applyBorder="1" applyAlignment="1" applyProtection="1">
      <alignment horizontal="center" vertical="center" wrapText="1" readingOrder="1"/>
      <protection locked="0"/>
    </xf>
    <xf numFmtId="0" fontId="2" fillId="10" borderId="17" xfId="0" applyFont="1" applyFill="1" applyBorder="1" applyAlignment="1" applyProtection="1">
      <alignment horizontal="center" vertical="center" wrapText="1" readingOrder="1"/>
      <protection locked="0"/>
    </xf>
    <xf numFmtId="0" fontId="2" fillId="0" borderId="19" xfId="0" applyFont="1" applyBorder="1" applyAlignment="1" applyProtection="1">
      <alignment vertical="center" wrapText="1" readingOrder="1"/>
      <protection locked="0"/>
    </xf>
    <xf numFmtId="0" fontId="2" fillId="0" borderId="20" xfId="0" applyFont="1" applyBorder="1" applyAlignment="1" applyProtection="1">
      <alignment vertical="center" wrapText="1" readingOrder="1"/>
      <protection locked="0"/>
    </xf>
    <xf numFmtId="0" fontId="2" fillId="0" borderId="3" xfId="0" applyFont="1" applyBorder="1" applyAlignment="1" applyProtection="1">
      <alignment horizontal="center" vertical="center" wrapText="1" readingOrder="1"/>
      <protection locked="0"/>
    </xf>
    <xf numFmtId="0" fontId="2" fillId="0" borderId="0" xfId="1" applyNumberFormat="1" applyFont="1" applyFill="1" applyAlignment="1" applyProtection="1">
      <alignment horizontal="left" wrapText="1"/>
    </xf>
    <xf numFmtId="49" fontId="2" fillId="12" borderId="18" xfId="0" applyNumberFormat="1" applyFont="1" applyFill="1" applyBorder="1" applyAlignment="1" applyProtection="1">
      <alignment horizontal="center" vertical="center" wrapText="1" readingOrder="1"/>
      <protection locked="0"/>
    </xf>
    <xf numFmtId="0" fontId="9" fillId="0" borderId="3" xfId="0" applyNumberFormat="1" applyFont="1" applyFill="1" applyBorder="1" applyAlignment="1" applyProtection="1">
      <alignment horizontal="left" vertical="top" wrapText="1" readingOrder="1"/>
      <protection locked="0"/>
    </xf>
    <xf numFmtId="0" fontId="9" fillId="0" borderId="3" xfId="0" applyNumberFormat="1" applyFont="1" applyFill="1" applyBorder="1" applyAlignment="1" applyProtection="1">
      <alignment horizontal="center" vertical="top" readingOrder="1"/>
      <protection locked="0"/>
    </xf>
    <xf numFmtId="0" fontId="2" fillId="0" borderId="3" xfId="0" applyNumberFormat="1" applyFont="1" applyFill="1" applyBorder="1" applyAlignment="1" applyProtection="1">
      <alignment horizontal="center" vertical="top" readingOrder="1"/>
      <protection locked="0"/>
    </xf>
    <xf numFmtId="49" fontId="2" fillId="8" borderId="3" xfId="0" applyNumberFormat="1" applyFont="1" applyFill="1" applyBorder="1" applyAlignment="1" applyProtection="1">
      <alignment horizontal="center" vertical="top" wrapText="1" readingOrder="1"/>
      <protection locked="0"/>
    </xf>
    <xf numFmtId="0" fontId="2" fillId="10" borderId="20" xfId="0" applyFont="1" applyFill="1" applyBorder="1" applyAlignment="1" applyProtection="1">
      <alignment horizontal="center" vertical="center" wrapText="1" readingOrder="1"/>
      <protection locked="0"/>
    </xf>
  </cellXfs>
  <cellStyles count="3">
    <cellStyle name="Įprastas" xfId="0" builtinId="0"/>
    <cellStyle name="Įprastas 2" xfId="1"/>
    <cellStyle name="Kablelis" xfId="2" builtinId="3"/>
  </cellStyles>
  <dxfs count="0"/>
  <tableStyles count="0" defaultTableStyle="TableStyleMedium2" defaultPivotStyle="PivotStyleLight16"/>
  <colors>
    <indexedColors>
      <rgbColor rgb="FF000000"/>
      <rgbColor rgb="FFEBEBEB"/>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0E4F6"/>
      <rgbColor rgb="FF000080"/>
      <rgbColor rgb="FFFF00FF"/>
      <rgbColor rgb="FFFFFF00"/>
      <rgbColor rgb="FF00FFFF"/>
      <rgbColor rgb="FF800080"/>
      <rgbColor rgb="FF800000"/>
      <rgbColor rgb="FF008080"/>
      <rgbColor rgb="FF0000FF"/>
      <rgbColor rgb="FF00CCFF"/>
      <rgbColor rgb="FFCCFFFF"/>
      <rgbColor rgb="FFD8FAD4"/>
      <rgbColor rgb="FFFAEE80"/>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EBF1DE"/>
      <color rgb="FFFDE9D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lt-LT" sz="1400">
                <a:solidFill>
                  <a:sysClr val="windowText" lastClr="000000"/>
                </a:solidFill>
                <a:latin typeface="Times New Roman" panose="02020603050405020304" pitchFamily="18" charset="0"/>
                <a:cs typeface="Times New Roman" panose="02020603050405020304" pitchFamily="18" charset="0"/>
              </a:rPr>
              <a:t>01 programos</a:t>
            </a:r>
            <a:r>
              <a:rPr lang="lt-LT" sz="1400" baseline="0">
                <a:solidFill>
                  <a:sysClr val="windowText" lastClr="000000"/>
                </a:solidFill>
                <a:latin typeface="Times New Roman" panose="02020603050405020304" pitchFamily="18" charset="0"/>
                <a:cs typeface="Times New Roman" panose="02020603050405020304" pitchFamily="18" charset="0"/>
              </a:rPr>
              <a:t> vykdymas</a:t>
            </a:r>
            <a:endParaRPr lang="lt-LT" sz="1400">
              <a:solidFill>
                <a:sysClr val="windowText" lastClr="000000"/>
              </a:solidFill>
              <a:latin typeface="Times New Roman" panose="02020603050405020304" pitchFamily="18" charset="0"/>
              <a:cs typeface="Times New Roman" panose="02020603050405020304" pitchFamily="18" charset="0"/>
            </a:endParaRPr>
          </a:p>
        </c:rich>
      </c:tx>
      <c:layout>
        <c:manualLayout>
          <c:xMode val="edge"/>
          <c:yMode val="edge"/>
          <c:x val="0.3582624081814354"/>
          <c:y val="1.9093073974887347E-2"/>
        </c:manualLayout>
      </c:layout>
      <c:overlay val="0"/>
      <c:spPr>
        <a:noFill/>
        <a:ln>
          <a:noFill/>
        </a:ln>
        <a:effectLst/>
      </c:sp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4"/>
          <c:dPt>
            <c:idx val="0"/>
            <c:bubble3D val="0"/>
            <c:spPr>
              <a:solidFill>
                <a:srgbClr val="EBF1DE"/>
              </a:solidFill>
              <a:ln w="25400">
                <a:solidFill>
                  <a:schemeClr val="accent3">
                    <a:lumMod val="60000"/>
                    <a:lumOff val="40000"/>
                  </a:schemeClr>
                </a:solidFill>
              </a:ln>
              <a:effectLst/>
              <a:sp3d contourW="25400">
                <a:contourClr>
                  <a:schemeClr val="accent3">
                    <a:lumMod val="60000"/>
                    <a:lumOff val="40000"/>
                  </a:schemeClr>
                </a:contourClr>
              </a:sp3d>
            </c:spPr>
            <c:extLst xmlns:c16r2="http://schemas.microsoft.com/office/drawing/2015/06/chart">
              <c:ext xmlns:c16="http://schemas.microsoft.com/office/drawing/2014/chart" uri="{C3380CC4-5D6E-409C-BE32-E72D297353CC}">
                <c16:uniqueId val="{00000001-4BD0-4FA7-B27C-98802DC56DE0}"/>
              </c:ext>
            </c:extLst>
          </c:dPt>
          <c:dPt>
            <c:idx val="1"/>
            <c:bubble3D val="0"/>
            <c:explosion val="7"/>
            <c:spPr>
              <a:solidFill>
                <a:srgbClr val="FFFFCC"/>
              </a:solidFill>
              <a:ln w="25400">
                <a:solidFill>
                  <a:srgbClr val="FFFFCC"/>
                </a:solidFill>
              </a:ln>
              <a:effectLst/>
              <a:sp3d contourW="25400">
                <a:contourClr>
                  <a:srgbClr val="FFFFCC"/>
                </a:contourClr>
              </a:sp3d>
            </c:spPr>
            <c:extLst xmlns:c16r2="http://schemas.microsoft.com/office/drawing/2015/06/chart">
              <c:ext xmlns:c16="http://schemas.microsoft.com/office/drawing/2014/chart" uri="{C3380CC4-5D6E-409C-BE32-E72D297353CC}">
                <c16:uniqueId val="{00000002-4BD0-4FA7-B27C-98802DC56DE0}"/>
              </c:ext>
            </c:extLst>
          </c:dPt>
          <c:dPt>
            <c:idx val="2"/>
            <c:bubble3D val="0"/>
            <c:explosion val="7"/>
            <c:spPr>
              <a:solidFill>
                <a:srgbClr val="FDE9D9"/>
              </a:solidFill>
              <a:ln w="25400">
                <a:solidFill>
                  <a:schemeClr val="accent6">
                    <a:lumMod val="40000"/>
                    <a:lumOff val="60000"/>
                  </a:schemeClr>
                </a:solidFill>
              </a:ln>
              <a:effectLst/>
              <a:sp3d contourW="25400">
                <a:contourClr>
                  <a:schemeClr val="accent6">
                    <a:lumMod val="40000"/>
                    <a:lumOff val="60000"/>
                  </a:schemeClr>
                </a:contourClr>
              </a:sp3d>
            </c:spPr>
            <c:extLst xmlns:c16r2="http://schemas.microsoft.com/office/drawing/2015/06/chart">
              <c:ext xmlns:c16="http://schemas.microsoft.com/office/drawing/2014/chart" uri="{C3380CC4-5D6E-409C-BE32-E72D297353CC}">
                <c16:uniqueId val="{00000003-4BD0-4FA7-B27C-98802DC56DE0}"/>
              </c:ext>
            </c:extLst>
          </c:dPt>
          <c:dLbls>
            <c:dLbl>
              <c:idx val="0"/>
              <c:layout>
                <c:manualLayout>
                  <c:x val="-0.13760131718800195"/>
                  <c:y val="2.420797465039028E-2"/>
                </c:manualLayout>
              </c:layout>
              <c:tx>
                <c:rich>
                  <a:bodyPr/>
                  <a:lstStyle/>
                  <a:p>
                    <a:r>
                      <a:rPr lang="en-US"/>
                      <a:t>5; </a:t>
                    </a:r>
                    <a:fld id="{5581624E-AC79-4D7D-BC6A-615C7F01F9D5}" type="PERCENTAGE">
                      <a:rPr lang="en-US"/>
                      <a:pPr/>
                      <a:t>[PERCENTAGE]</a:t>
                    </a:fld>
                    <a:endParaRPr lang="en-US"/>
                  </a:p>
                </c:rich>
              </c:tx>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4BD0-4FA7-B27C-98802DC56DE0}"/>
                </c:ext>
              </c:extLst>
            </c:dLbl>
            <c:dLbl>
              <c:idx val="1"/>
              <c:layout>
                <c:manualLayout>
                  <c:x val="0.10948505510146954"/>
                  <c:y val="-0.19862735314052449"/>
                </c:manualLayout>
              </c:layout>
              <c:tx>
                <c:rich>
                  <a:bodyPr/>
                  <a:lstStyle/>
                  <a:p>
                    <a:r>
                      <a:rPr lang="en-US"/>
                      <a:t>3; </a:t>
                    </a:r>
                    <a:fld id="{5FE183D8-6F5E-4E8F-85FB-891C9EA6939A}" type="PERCENTAGE">
                      <a:rPr lang="en-US"/>
                      <a:pPr/>
                      <a:t>[PERCENTAGE]</a:t>
                    </a:fld>
                    <a:endParaRPr lang="en-US"/>
                  </a:p>
                </c:rich>
              </c:tx>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2-4BD0-4FA7-B27C-98802DC56DE0}"/>
                </c:ext>
              </c:extLst>
            </c:dLbl>
            <c:dLbl>
              <c:idx val="2"/>
              <c:layout>
                <c:manualLayout>
                  <c:x val="0.10815963811760831"/>
                  <c:y val="5.446915686099215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dk1">
                            <a:lumMod val="75000"/>
                            <a:lumOff val="25000"/>
                          </a:schemeClr>
                        </a:solidFill>
                        <a:latin typeface="+mn-lt"/>
                        <a:ea typeface="+mn-ea"/>
                        <a:cs typeface="+mn-cs"/>
                      </a:defRPr>
                    </a:pPr>
                    <a:r>
                      <a:rPr lang="en-US"/>
                      <a:t>3; </a:t>
                    </a:r>
                    <a:fld id="{E65A56FF-7805-4611-8491-F650FE7B6AE4}" type="PERCENTAGE">
                      <a:rPr lang="en-US"/>
                      <a:pPr>
                        <a:defRPr sz="900" b="0" i="0" u="none" strike="noStrike" kern="1200" baseline="0">
                          <a:solidFill>
                            <a:schemeClr val="dk1">
                              <a:lumMod val="75000"/>
                              <a:lumOff val="25000"/>
                            </a:schemeClr>
                          </a:solidFill>
                          <a:latin typeface="+mn-lt"/>
                          <a:ea typeface="+mn-ea"/>
                          <a:cs typeface="+mn-cs"/>
                        </a:defRPr>
                      </a:pPr>
                      <a:t>[PERCENTAGE]</a:t>
                    </a:fld>
                    <a:endParaRPr lang="en-US"/>
                  </a:p>
                </c:rich>
              </c:tx>
              <c:spPr>
                <a:noFill/>
                <a:ln>
                  <a:noFill/>
                </a:ln>
                <a:effectLst/>
              </c:spPr>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15:layout>
                    <c:manualLayout>
                      <c:w val="7.7736162312708884E-2"/>
                      <c:h val="5.0729495341346575E-2"/>
                    </c:manualLayout>
                  </c15:layout>
                  <c15:dlblFieldTable/>
                  <c15:showDataLabelsRange val="0"/>
                </c:ext>
                <c:ext xmlns:c16="http://schemas.microsoft.com/office/drawing/2014/chart" uri="{C3380CC4-5D6E-409C-BE32-E72D297353CC}">
                  <c16:uniqueId val="{00000003-4BD0-4FA7-B27C-98802DC56D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t-LT"/>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Planas!$W$18:$W$20</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Planas!$X$18:$X$20</c:f>
              <c:numCache>
                <c:formatCode>General</c:formatCode>
                <c:ptCount val="3"/>
                <c:pt idx="0">
                  <c:v>5</c:v>
                </c:pt>
                <c:pt idx="1">
                  <c:v>3</c:v>
                </c:pt>
                <c:pt idx="2">
                  <c:v>3</c:v>
                </c:pt>
              </c:numCache>
            </c:numRef>
          </c:val>
          <c:extLst xmlns:c16r2="http://schemas.microsoft.com/office/drawing/2015/06/chart">
            <c:ext xmlns:c16="http://schemas.microsoft.com/office/drawing/2014/chart" uri="{C3380CC4-5D6E-409C-BE32-E72D297353CC}">
              <c16:uniqueId val="{00000000-4BD0-4FA7-B27C-98802DC56DE0}"/>
            </c:ext>
          </c:extLst>
        </c:ser>
        <c:dLbls>
          <c:dLblPos val="inEnd"/>
          <c:showLegendKey val="0"/>
          <c:showVal val="0"/>
          <c:showCatName val="0"/>
          <c:showSerName val="0"/>
          <c:showPercent val="1"/>
          <c:showBubbleSize val="0"/>
          <c:showLeaderLines val="1"/>
        </c:dLbls>
      </c:pie3DChart>
      <c:spPr>
        <a:solidFill>
          <a:schemeClr val="bg1">
            <a:lumMod val="95000"/>
          </a:schemeClr>
        </a:solidFill>
        <a:ln>
          <a:noFill/>
        </a:ln>
        <a:effectLst/>
      </c:spPr>
    </c:plotArea>
    <c:legend>
      <c:legendPos val="r"/>
      <c:layout>
        <c:manualLayout>
          <c:xMode val="edge"/>
          <c:yMode val="edge"/>
          <c:x val="0.6454843201067757"/>
          <c:y val="0.33535878100687239"/>
          <c:w val="0.33804047341107379"/>
          <c:h val="0.43483983263636566"/>
        </c:manualLayout>
      </c:layout>
      <c:overlay val="0"/>
      <c:spPr>
        <a:solidFill>
          <a:schemeClr val="bg1">
            <a:lumMod val="95000"/>
          </a:schemeClr>
        </a:solidFill>
        <a:ln w="0">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t-LT"/>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lumMod val="85000"/>
      </a:schemeClr>
    </a:solidFill>
    <a:ln w="9525" cap="flat" cmpd="sng" algn="ctr">
      <a:solidFill>
        <a:schemeClr val="dk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lt-LT" sz="1200">
                <a:solidFill>
                  <a:sysClr val="windowText" lastClr="000000"/>
                </a:solidFill>
                <a:latin typeface="Times New Roman" panose="02020603050405020304" pitchFamily="18" charset="0"/>
                <a:cs typeface="Times New Roman" panose="02020603050405020304" pitchFamily="18" charset="0"/>
              </a:rPr>
              <a:t>11 programos vykdymas</a:t>
            </a:r>
          </a:p>
        </c:rich>
      </c:tx>
      <c:overlay val="0"/>
      <c:spPr>
        <a:noFill/>
        <a:ln>
          <a:noFill/>
        </a:ln>
        <a:effectLst/>
      </c:sp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7"/>
            <c:spPr>
              <a:solidFill>
                <a:srgbClr val="EBF1DE"/>
              </a:solidFill>
              <a:ln w="25400">
                <a:solidFill>
                  <a:schemeClr val="accent3">
                    <a:lumMod val="40000"/>
                    <a:lumOff val="60000"/>
                  </a:schemeClr>
                </a:solidFill>
              </a:ln>
              <a:effectLst/>
              <a:sp3d contourW="25400">
                <a:contourClr>
                  <a:schemeClr val="accent3">
                    <a:lumMod val="40000"/>
                    <a:lumOff val="60000"/>
                  </a:schemeClr>
                </a:contourClr>
              </a:sp3d>
            </c:spPr>
            <c:extLst xmlns:c16r2="http://schemas.microsoft.com/office/drawing/2015/06/chart">
              <c:ext xmlns:c16="http://schemas.microsoft.com/office/drawing/2014/chart" uri="{C3380CC4-5D6E-409C-BE32-E72D297353CC}">
                <c16:uniqueId val="{00000001-2060-4C6F-94E9-86257F0F0410}"/>
              </c:ext>
            </c:extLst>
          </c:dPt>
          <c:dPt>
            <c:idx val="1"/>
            <c:bubble3D val="0"/>
            <c:explosion val="4"/>
            <c:spPr>
              <a:solidFill>
                <a:srgbClr val="FFFFCC"/>
              </a:solidFill>
              <a:ln w="25400">
                <a:solidFill>
                  <a:srgbClr val="FFFF99"/>
                </a:solidFill>
              </a:ln>
              <a:effectLst/>
              <a:sp3d contourW="25400">
                <a:contourClr>
                  <a:srgbClr val="FFFF99"/>
                </a:contourClr>
              </a:sp3d>
            </c:spPr>
            <c:extLst xmlns:c16r2="http://schemas.microsoft.com/office/drawing/2015/06/chart">
              <c:ext xmlns:c16="http://schemas.microsoft.com/office/drawing/2014/chart" uri="{C3380CC4-5D6E-409C-BE32-E72D297353CC}">
                <c16:uniqueId val="{00000002-2060-4C6F-94E9-86257F0F0410}"/>
              </c:ext>
            </c:extLst>
          </c:dPt>
          <c:dPt>
            <c:idx val="2"/>
            <c:bubble3D val="0"/>
            <c:spPr>
              <a:solidFill>
                <a:srgbClr val="FDE9D9"/>
              </a:solidFill>
              <a:ln w="25400">
                <a:solidFill>
                  <a:schemeClr val="accent6">
                    <a:lumMod val="40000"/>
                    <a:lumOff val="60000"/>
                  </a:schemeClr>
                </a:solidFill>
              </a:ln>
              <a:effectLst/>
              <a:sp3d contourW="25400">
                <a:contourClr>
                  <a:schemeClr val="accent6">
                    <a:lumMod val="40000"/>
                    <a:lumOff val="60000"/>
                  </a:schemeClr>
                </a:contourClr>
              </a:sp3d>
            </c:spPr>
            <c:extLst xmlns:c16r2="http://schemas.microsoft.com/office/drawing/2015/06/chart">
              <c:ext xmlns:c16="http://schemas.microsoft.com/office/drawing/2014/chart" uri="{C3380CC4-5D6E-409C-BE32-E72D297353CC}">
                <c16:uniqueId val="{00000003-2060-4C6F-94E9-86257F0F0410}"/>
              </c:ext>
            </c:extLst>
          </c:dPt>
          <c:dLbls>
            <c:dLbl>
              <c:idx val="0"/>
              <c:tx>
                <c:rich>
                  <a:bodyPr/>
                  <a:lstStyle/>
                  <a:p>
                    <a:r>
                      <a:rPr lang="en-US"/>
                      <a:t>33; </a:t>
                    </a:r>
                    <a:fld id="{E970EDF9-91C6-4FBE-95AF-809858DE59D5}"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2060-4C6F-94E9-86257F0F0410}"/>
                </c:ext>
              </c:extLst>
            </c:dLbl>
            <c:dLbl>
              <c:idx val="1"/>
              <c:tx>
                <c:rich>
                  <a:bodyPr/>
                  <a:lstStyle/>
                  <a:p>
                    <a:r>
                      <a:rPr lang="en-US"/>
                      <a:t>6; </a:t>
                    </a:r>
                    <a:fld id="{D0A86D95-C736-49AB-86BB-9255E5CB7C5E}"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2-2060-4C6F-94E9-86257F0F04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t-LT"/>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Planas!$W$763:$W$765</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Planas!$X$763:$X$765</c:f>
              <c:numCache>
                <c:formatCode>General</c:formatCode>
                <c:ptCount val="3"/>
                <c:pt idx="0">
                  <c:v>33</c:v>
                </c:pt>
                <c:pt idx="1">
                  <c:v>6</c:v>
                </c:pt>
              </c:numCache>
            </c:numRef>
          </c:val>
          <c:extLst xmlns:c16r2="http://schemas.microsoft.com/office/drawing/2015/06/chart">
            <c:ext xmlns:c16="http://schemas.microsoft.com/office/drawing/2014/chart" uri="{C3380CC4-5D6E-409C-BE32-E72D297353CC}">
              <c16:uniqueId val="{00000000-2060-4C6F-94E9-86257F0F0410}"/>
            </c:ext>
          </c:extLst>
        </c:ser>
        <c:dLbls>
          <c:dLblPos val="inEnd"/>
          <c:showLegendKey val="0"/>
          <c:showVal val="0"/>
          <c:showCatName val="0"/>
          <c:showSerName val="0"/>
          <c:showPercent val="1"/>
          <c:showBubbleSize val="0"/>
          <c:showLeaderLines val="1"/>
        </c:dLbls>
      </c:pie3DChart>
      <c:spPr>
        <a:solidFill>
          <a:schemeClr val="bg1">
            <a:lumMod val="95000"/>
          </a:schemeClr>
        </a:solidFill>
        <a:ln>
          <a:noFill/>
        </a:ln>
        <a:effectLst/>
      </c:spPr>
    </c:plotArea>
    <c:legend>
      <c:legendPos val="r"/>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t-LT"/>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lumMod val="85000"/>
      </a:schemeClr>
    </a:solidFill>
    <a:ln w="9525" cap="flat" cmpd="sng" algn="ctr">
      <a:solidFill>
        <a:schemeClr val="dk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lt-LT" sz="1400">
                <a:solidFill>
                  <a:sysClr val="windowText" lastClr="000000"/>
                </a:solidFill>
                <a:latin typeface="Times New Roman" panose="02020603050405020304" pitchFamily="18" charset="0"/>
                <a:cs typeface="Times New Roman" panose="02020603050405020304" pitchFamily="18" charset="0"/>
              </a:rPr>
              <a:t>02 programos vykdymas</a:t>
            </a:r>
          </a:p>
        </c:rich>
      </c:tx>
      <c:overlay val="0"/>
      <c:spPr>
        <a:noFill/>
        <a:ln>
          <a:noFill/>
        </a:ln>
        <a:effectLst/>
      </c:sp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EBF1DE"/>
              </a:solidFill>
              <a:ln w="25400">
                <a:solidFill>
                  <a:schemeClr val="accent3">
                    <a:lumMod val="40000"/>
                    <a:lumOff val="60000"/>
                  </a:schemeClr>
                </a:solidFill>
              </a:ln>
              <a:effectLst/>
              <a:sp3d contourW="25400">
                <a:contourClr>
                  <a:schemeClr val="accent3">
                    <a:lumMod val="40000"/>
                    <a:lumOff val="60000"/>
                  </a:schemeClr>
                </a:contourClr>
              </a:sp3d>
            </c:spPr>
            <c:extLst xmlns:c16r2="http://schemas.microsoft.com/office/drawing/2015/06/chart">
              <c:ext xmlns:c16="http://schemas.microsoft.com/office/drawing/2014/chart" uri="{C3380CC4-5D6E-409C-BE32-E72D297353CC}">
                <c16:uniqueId val="{00000002-799D-4BE0-B503-4FDCDA950EBC}"/>
              </c:ext>
            </c:extLst>
          </c:dPt>
          <c:dPt>
            <c:idx val="1"/>
            <c:bubble3D val="0"/>
            <c:explosion val="8"/>
            <c:spPr>
              <a:solidFill>
                <a:srgbClr val="FFFFCC"/>
              </a:solidFill>
              <a:ln w="25400">
                <a:solidFill>
                  <a:srgbClr val="FFFF99"/>
                </a:solidFill>
              </a:ln>
              <a:effectLst/>
              <a:sp3d contourW="25400">
                <a:contourClr>
                  <a:srgbClr val="FFFF99"/>
                </a:contourClr>
              </a:sp3d>
            </c:spPr>
            <c:extLst xmlns:c16r2="http://schemas.microsoft.com/office/drawing/2015/06/chart">
              <c:ext xmlns:c16="http://schemas.microsoft.com/office/drawing/2014/chart" uri="{C3380CC4-5D6E-409C-BE32-E72D297353CC}">
                <c16:uniqueId val="{00000001-799D-4BE0-B503-4FDCDA950EBC}"/>
              </c:ext>
            </c:extLst>
          </c:dPt>
          <c:dPt>
            <c:idx val="2"/>
            <c:bubble3D val="0"/>
            <c:explosion val="4"/>
            <c:spPr>
              <a:solidFill>
                <a:srgbClr val="FDE9D9"/>
              </a:solidFill>
              <a:ln w="25400">
                <a:solidFill>
                  <a:schemeClr val="accent6">
                    <a:lumMod val="40000"/>
                    <a:lumOff val="60000"/>
                  </a:schemeClr>
                </a:solidFill>
              </a:ln>
              <a:effectLst/>
              <a:sp3d contourW="25400">
                <a:contourClr>
                  <a:schemeClr val="accent6">
                    <a:lumMod val="40000"/>
                    <a:lumOff val="60000"/>
                  </a:schemeClr>
                </a:contourClr>
              </a:sp3d>
            </c:spPr>
            <c:extLst xmlns:c16r2="http://schemas.microsoft.com/office/drawing/2015/06/chart">
              <c:ext xmlns:c16="http://schemas.microsoft.com/office/drawing/2014/chart" uri="{C3380CC4-5D6E-409C-BE32-E72D297353CC}">
                <c16:uniqueId val="{00000003-799D-4BE0-B503-4FDCDA950EBC}"/>
              </c:ext>
            </c:extLst>
          </c:dPt>
          <c:dLbls>
            <c:dLbl>
              <c:idx val="0"/>
              <c:tx>
                <c:rich>
                  <a:bodyPr/>
                  <a:lstStyle/>
                  <a:p>
                    <a:r>
                      <a:rPr lang="en-US"/>
                      <a:t>4; </a:t>
                    </a:r>
                    <a:fld id="{4350CD44-EF46-4B1A-B66C-15491493ABF1}"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2-799D-4BE0-B503-4FDCDA950EBC}"/>
                </c:ext>
              </c:extLst>
            </c:dLbl>
            <c:dLbl>
              <c:idx val="1"/>
              <c:tx>
                <c:rich>
                  <a:bodyPr/>
                  <a:lstStyle/>
                  <a:p>
                    <a:r>
                      <a:rPr lang="en-US"/>
                      <a:t>6; </a:t>
                    </a:r>
                    <a:fld id="{B93B9E7E-D995-4DBA-A41A-13706D50F9EC}"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799D-4BE0-B503-4FDCDA950EBC}"/>
                </c:ext>
              </c:extLst>
            </c:dLbl>
            <c:dLbl>
              <c:idx val="2"/>
              <c:tx>
                <c:rich>
                  <a:bodyPr/>
                  <a:lstStyle/>
                  <a:p>
                    <a:r>
                      <a:rPr lang="en-US"/>
                      <a:t>4; </a:t>
                    </a:r>
                    <a:fld id="{B65C7EFF-1229-4A0C-9846-BF776A2F4F82}"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3-799D-4BE0-B503-4FDCDA950E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t-LT"/>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Planas!$W$51:$W$53</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Planas!$X$51:$X$53</c:f>
              <c:numCache>
                <c:formatCode>General</c:formatCode>
                <c:ptCount val="3"/>
                <c:pt idx="0">
                  <c:v>4</c:v>
                </c:pt>
                <c:pt idx="1">
                  <c:v>6</c:v>
                </c:pt>
                <c:pt idx="2">
                  <c:v>4</c:v>
                </c:pt>
              </c:numCache>
            </c:numRef>
          </c:val>
          <c:extLst xmlns:c16r2="http://schemas.microsoft.com/office/drawing/2015/06/chart">
            <c:ext xmlns:c16="http://schemas.microsoft.com/office/drawing/2014/chart" uri="{C3380CC4-5D6E-409C-BE32-E72D297353CC}">
              <c16:uniqueId val="{00000000-799D-4BE0-B503-4FDCDA950EBC}"/>
            </c:ext>
          </c:extLst>
        </c:ser>
        <c:dLbls>
          <c:dLblPos val="ctr"/>
          <c:showLegendKey val="0"/>
          <c:showVal val="0"/>
          <c:showCatName val="0"/>
          <c:showSerName val="0"/>
          <c:showPercent val="1"/>
          <c:showBubbleSize val="0"/>
          <c:showLeaderLines val="1"/>
        </c:dLbls>
      </c:pie3DChart>
      <c:spPr>
        <a:solidFill>
          <a:schemeClr val="bg1">
            <a:lumMod val="95000"/>
          </a:schemeClr>
        </a:solidFill>
        <a:ln>
          <a:noFill/>
        </a:ln>
        <a:effectLst/>
      </c:spPr>
    </c:plotArea>
    <c:legend>
      <c:legendPos val="r"/>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t-LT"/>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lumMod val="85000"/>
      </a:schemeClr>
    </a:solidFill>
    <a:ln w="9525" cap="flat" cmpd="sng" algn="ctr">
      <a:solidFill>
        <a:schemeClr val="dk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lt-LT" sz="1400">
                <a:solidFill>
                  <a:sysClr val="windowText" lastClr="000000"/>
                </a:solidFill>
                <a:latin typeface="Times New Roman" panose="02020603050405020304" pitchFamily="18" charset="0"/>
                <a:cs typeface="Times New Roman" panose="02020603050405020304" pitchFamily="18" charset="0"/>
              </a:rPr>
              <a:t>03 programos</a:t>
            </a:r>
            <a:r>
              <a:rPr lang="lt-LT" sz="1400" baseline="0">
                <a:solidFill>
                  <a:sysClr val="windowText" lastClr="000000"/>
                </a:solidFill>
                <a:latin typeface="Times New Roman" panose="02020603050405020304" pitchFamily="18" charset="0"/>
                <a:cs typeface="Times New Roman" panose="02020603050405020304" pitchFamily="18" charset="0"/>
              </a:rPr>
              <a:t> vykdymas</a:t>
            </a:r>
            <a:endParaRPr lang="lt-LT" sz="1400">
              <a:solidFill>
                <a:sysClr val="windowText" lastClr="000000"/>
              </a:solidFill>
              <a:latin typeface="Times New Roman" panose="02020603050405020304" pitchFamily="18" charset="0"/>
              <a:cs typeface="Times New Roman" panose="02020603050405020304" pitchFamily="18" charset="0"/>
            </a:endParaRPr>
          </a:p>
        </c:rich>
      </c:tx>
      <c:overlay val="0"/>
      <c:spPr>
        <a:noFill/>
        <a:ln>
          <a:noFill/>
        </a:ln>
        <a:effectLst/>
      </c:sp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7"/>
            <c:spPr>
              <a:solidFill>
                <a:srgbClr val="EBF1DE"/>
              </a:solidFill>
              <a:ln w="25400">
                <a:solidFill>
                  <a:schemeClr val="accent3">
                    <a:lumMod val="40000"/>
                    <a:lumOff val="60000"/>
                  </a:schemeClr>
                </a:solidFill>
              </a:ln>
              <a:effectLst/>
              <a:sp3d contourW="25400">
                <a:contourClr>
                  <a:schemeClr val="accent3">
                    <a:lumMod val="40000"/>
                    <a:lumOff val="60000"/>
                  </a:schemeClr>
                </a:contourClr>
              </a:sp3d>
            </c:spPr>
            <c:extLst xmlns:c16r2="http://schemas.microsoft.com/office/drawing/2015/06/chart">
              <c:ext xmlns:c16="http://schemas.microsoft.com/office/drawing/2014/chart" uri="{C3380CC4-5D6E-409C-BE32-E72D297353CC}">
                <c16:uniqueId val="{00000001-0E82-441E-B801-3632E6F5E744}"/>
              </c:ext>
            </c:extLst>
          </c:dPt>
          <c:dPt>
            <c:idx val="1"/>
            <c:bubble3D val="0"/>
            <c:explosion val="5"/>
            <c:spPr>
              <a:solidFill>
                <a:srgbClr val="FFFFCC"/>
              </a:solidFill>
              <a:ln w="25400">
                <a:solidFill>
                  <a:srgbClr val="FFFF99"/>
                </a:solidFill>
              </a:ln>
              <a:effectLst/>
              <a:sp3d contourW="25400">
                <a:contourClr>
                  <a:srgbClr val="FFFF99"/>
                </a:contourClr>
              </a:sp3d>
            </c:spPr>
            <c:extLst xmlns:c16r2="http://schemas.microsoft.com/office/drawing/2015/06/chart">
              <c:ext xmlns:c16="http://schemas.microsoft.com/office/drawing/2014/chart" uri="{C3380CC4-5D6E-409C-BE32-E72D297353CC}">
                <c16:uniqueId val="{00000003-0E82-441E-B801-3632E6F5E744}"/>
              </c:ext>
            </c:extLst>
          </c:dPt>
          <c:dPt>
            <c:idx val="2"/>
            <c:bubble3D val="0"/>
            <c:explosion val="8"/>
            <c:spPr>
              <a:solidFill>
                <a:srgbClr val="FDE9D9"/>
              </a:solidFill>
              <a:ln w="25400">
                <a:solidFill>
                  <a:schemeClr val="accent6">
                    <a:lumMod val="40000"/>
                    <a:lumOff val="60000"/>
                  </a:schemeClr>
                </a:solidFill>
              </a:ln>
              <a:effectLst/>
              <a:sp3d contourW="25400">
                <a:contourClr>
                  <a:schemeClr val="accent6">
                    <a:lumMod val="40000"/>
                    <a:lumOff val="60000"/>
                  </a:schemeClr>
                </a:contourClr>
              </a:sp3d>
            </c:spPr>
            <c:extLst xmlns:c16r2="http://schemas.microsoft.com/office/drawing/2015/06/chart">
              <c:ext xmlns:c16="http://schemas.microsoft.com/office/drawing/2014/chart" uri="{C3380CC4-5D6E-409C-BE32-E72D297353CC}">
                <c16:uniqueId val="{00000002-0E82-441E-B801-3632E6F5E744}"/>
              </c:ext>
            </c:extLst>
          </c:dPt>
          <c:dLbls>
            <c:dLbl>
              <c:idx val="0"/>
              <c:tx>
                <c:rich>
                  <a:bodyPr/>
                  <a:lstStyle/>
                  <a:p>
                    <a:r>
                      <a:rPr lang="en-US"/>
                      <a:t>12; </a:t>
                    </a:r>
                    <a:fld id="{A8F7567E-0DB3-47BA-A5C9-00BC444EB62D}"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0E82-441E-B801-3632E6F5E744}"/>
                </c:ext>
              </c:extLst>
            </c:dLbl>
            <c:dLbl>
              <c:idx val="1"/>
              <c:tx>
                <c:rich>
                  <a:bodyPr rot="0" spcFirstLastPara="1" vertOverflow="ellipsis" vert="horz" wrap="square" lIns="38100" tIns="19050" rIns="38100" bIns="19050" anchor="ctr" anchorCtr="1">
                    <a:noAutofit/>
                  </a:bodyPr>
                  <a:lstStyle/>
                  <a:p>
                    <a:pPr>
                      <a:defRPr sz="900" b="0" i="0" u="none" strike="noStrike" kern="1200" baseline="0">
                        <a:solidFill>
                          <a:schemeClr val="dk1">
                            <a:lumMod val="75000"/>
                            <a:lumOff val="25000"/>
                          </a:schemeClr>
                        </a:solidFill>
                        <a:latin typeface="+mn-lt"/>
                        <a:ea typeface="+mn-ea"/>
                        <a:cs typeface="+mn-cs"/>
                      </a:defRPr>
                    </a:pPr>
                    <a:r>
                      <a:rPr lang="en-US"/>
                      <a:t>7; </a:t>
                    </a:r>
                    <a:fld id="{FD3E1ADA-FE38-4A16-9943-F2DA35FB77E7}" type="PERCENTAGE">
                      <a:rPr lang="en-US"/>
                      <a:pPr>
                        <a:defRPr sz="900" b="0" i="0" u="none" strike="noStrike" kern="1200" baseline="0">
                          <a:solidFill>
                            <a:schemeClr val="dk1">
                              <a:lumMod val="75000"/>
                              <a:lumOff val="25000"/>
                            </a:schemeClr>
                          </a:solidFill>
                          <a:latin typeface="+mn-lt"/>
                          <a:ea typeface="+mn-ea"/>
                          <a:cs typeface="+mn-cs"/>
                        </a:defRPr>
                      </a:pPr>
                      <a:t>[PERCENTAGE]</a:t>
                    </a:fld>
                    <a:endParaRPr lang="en-US"/>
                  </a:p>
                </c:rich>
              </c:tx>
              <c:spPr>
                <a:noFill/>
                <a:ln>
                  <a:noFill/>
                </a:ln>
                <a:effectLst/>
              </c:spPr>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3-0E82-441E-B801-3632E6F5E744}"/>
                </c:ext>
              </c:extLst>
            </c:dLbl>
            <c:dLbl>
              <c:idx val="2"/>
              <c:tx>
                <c:rich>
                  <a:bodyPr rot="0" spcFirstLastPara="1" vertOverflow="ellipsis" vert="horz" wrap="square" lIns="38100" tIns="19050" rIns="38100" bIns="19050" anchor="ctr" anchorCtr="1">
                    <a:noAutofit/>
                  </a:bodyPr>
                  <a:lstStyle/>
                  <a:p>
                    <a:pPr>
                      <a:defRPr sz="900" b="0" i="0" u="none" strike="noStrike" kern="1200" baseline="0">
                        <a:solidFill>
                          <a:schemeClr val="dk1">
                            <a:lumMod val="75000"/>
                            <a:lumOff val="25000"/>
                          </a:schemeClr>
                        </a:solidFill>
                        <a:latin typeface="+mn-lt"/>
                        <a:ea typeface="+mn-ea"/>
                        <a:cs typeface="+mn-cs"/>
                      </a:defRPr>
                    </a:pPr>
                    <a:r>
                      <a:rPr lang="en-US"/>
                      <a:t>1; </a:t>
                    </a:r>
                    <a:fld id="{7E71C452-DBCB-4D07-9297-802FD2DBD970}" type="PERCENTAGE">
                      <a:rPr lang="en-US"/>
                      <a:pPr>
                        <a:defRPr sz="900" b="0" i="0" u="none" strike="noStrike" kern="1200" baseline="0">
                          <a:solidFill>
                            <a:schemeClr val="dk1">
                              <a:lumMod val="75000"/>
                              <a:lumOff val="25000"/>
                            </a:schemeClr>
                          </a:solidFill>
                          <a:latin typeface="+mn-lt"/>
                          <a:ea typeface="+mn-ea"/>
                          <a:cs typeface="+mn-cs"/>
                        </a:defRPr>
                      </a:pPr>
                      <a:t>[PERCENTAGE]</a:t>
                    </a:fld>
                    <a:endParaRPr lang="en-US"/>
                  </a:p>
                </c:rich>
              </c:tx>
              <c:spPr>
                <a:noFill/>
                <a:ln>
                  <a:noFill/>
                </a:ln>
                <a:effectLst/>
              </c:spPr>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2-0E82-441E-B801-3632E6F5E7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t-LT"/>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Planas!$W$114:$W$116</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Planas!$X$114:$X$116</c:f>
              <c:numCache>
                <c:formatCode>General</c:formatCode>
                <c:ptCount val="3"/>
                <c:pt idx="0">
                  <c:v>12</c:v>
                </c:pt>
                <c:pt idx="1">
                  <c:v>7</c:v>
                </c:pt>
                <c:pt idx="2">
                  <c:v>1</c:v>
                </c:pt>
              </c:numCache>
            </c:numRef>
          </c:val>
          <c:extLst xmlns:c16r2="http://schemas.microsoft.com/office/drawing/2015/06/chart">
            <c:ext xmlns:c16="http://schemas.microsoft.com/office/drawing/2014/chart" uri="{C3380CC4-5D6E-409C-BE32-E72D297353CC}">
              <c16:uniqueId val="{00000000-0E82-441E-B801-3632E6F5E744}"/>
            </c:ext>
          </c:extLst>
        </c:ser>
        <c:dLbls>
          <c:dLblPos val="inEnd"/>
          <c:showLegendKey val="0"/>
          <c:showVal val="0"/>
          <c:showCatName val="0"/>
          <c:showSerName val="0"/>
          <c:showPercent val="1"/>
          <c:showBubbleSize val="0"/>
          <c:showLeaderLines val="1"/>
        </c:dLbls>
      </c:pie3DChart>
      <c:spPr>
        <a:solidFill>
          <a:schemeClr val="bg1">
            <a:lumMod val="95000"/>
          </a:schemeClr>
        </a:solidFill>
        <a:ln>
          <a:noFill/>
        </a:ln>
        <a:effectLst/>
      </c:spPr>
    </c:plotArea>
    <c:legend>
      <c:legendPos val="r"/>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t-LT"/>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lumMod val="85000"/>
      </a:schemeClr>
    </a:solidFill>
    <a:ln w="9525" cap="flat" cmpd="sng" algn="ctr">
      <a:solidFill>
        <a:schemeClr val="dk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lt-LT" sz="1400">
                <a:solidFill>
                  <a:sysClr val="windowText" lastClr="000000"/>
                </a:solidFill>
                <a:latin typeface="Times New Roman" panose="02020603050405020304" pitchFamily="18" charset="0"/>
                <a:cs typeface="Times New Roman" panose="02020603050405020304" pitchFamily="18" charset="0"/>
              </a:rPr>
              <a:t>04 programos vykdymas</a:t>
            </a:r>
          </a:p>
        </c:rich>
      </c:tx>
      <c:overlay val="0"/>
      <c:spPr>
        <a:noFill/>
        <a:ln>
          <a:noFill/>
        </a:ln>
        <a:effectLst/>
      </c:sp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6"/>
            <c:spPr>
              <a:solidFill>
                <a:srgbClr val="EBF1DE"/>
              </a:solidFill>
              <a:ln w="25400">
                <a:solidFill>
                  <a:schemeClr val="accent3">
                    <a:lumMod val="40000"/>
                    <a:lumOff val="60000"/>
                  </a:schemeClr>
                </a:solidFill>
              </a:ln>
              <a:effectLst/>
              <a:sp3d contourW="25400">
                <a:contourClr>
                  <a:schemeClr val="accent3">
                    <a:lumMod val="40000"/>
                    <a:lumOff val="60000"/>
                  </a:schemeClr>
                </a:contourClr>
              </a:sp3d>
            </c:spPr>
            <c:extLst xmlns:c16r2="http://schemas.microsoft.com/office/drawing/2015/06/chart">
              <c:ext xmlns:c16="http://schemas.microsoft.com/office/drawing/2014/chart" uri="{C3380CC4-5D6E-409C-BE32-E72D297353CC}">
                <c16:uniqueId val="{00000001-F4F2-4E37-9FF1-F579A52DB2FD}"/>
              </c:ext>
            </c:extLst>
          </c:dPt>
          <c:dPt>
            <c:idx val="1"/>
            <c:bubble3D val="0"/>
            <c:explosion val="5"/>
            <c:spPr>
              <a:solidFill>
                <a:srgbClr val="FFFFCC"/>
              </a:solidFill>
              <a:ln w="25400">
                <a:solidFill>
                  <a:srgbClr val="FFFF99"/>
                </a:solidFill>
              </a:ln>
              <a:effectLst/>
              <a:sp3d contourW="25400">
                <a:contourClr>
                  <a:srgbClr val="FFFF99"/>
                </a:contourClr>
              </a:sp3d>
            </c:spPr>
            <c:extLst xmlns:c16r2="http://schemas.microsoft.com/office/drawing/2015/06/chart">
              <c:ext xmlns:c16="http://schemas.microsoft.com/office/drawing/2014/chart" uri="{C3380CC4-5D6E-409C-BE32-E72D297353CC}">
                <c16:uniqueId val="{00000002-F4F2-4E37-9FF1-F579A52DB2FD}"/>
              </c:ext>
            </c:extLst>
          </c:dPt>
          <c:dPt>
            <c:idx val="2"/>
            <c:bubble3D val="0"/>
            <c:explosion val="4"/>
            <c:spPr>
              <a:solidFill>
                <a:srgbClr val="FDE9D9"/>
              </a:solidFill>
              <a:ln w="25400">
                <a:solidFill>
                  <a:schemeClr val="accent6">
                    <a:lumMod val="40000"/>
                    <a:lumOff val="60000"/>
                  </a:schemeClr>
                </a:solidFill>
              </a:ln>
              <a:effectLst/>
              <a:sp3d contourW="25400">
                <a:contourClr>
                  <a:schemeClr val="accent6">
                    <a:lumMod val="40000"/>
                    <a:lumOff val="60000"/>
                  </a:schemeClr>
                </a:contourClr>
              </a:sp3d>
            </c:spPr>
            <c:extLst xmlns:c16r2="http://schemas.microsoft.com/office/drawing/2015/06/chart">
              <c:ext xmlns:c16="http://schemas.microsoft.com/office/drawing/2014/chart" uri="{C3380CC4-5D6E-409C-BE32-E72D297353CC}">
                <c16:uniqueId val="{00000003-F4F2-4E37-9FF1-F579A52DB2FD}"/>
              </c:ext>
            </c:extLst>
          </c:dPt>
          <c:dLbls>
            <c:dLbl>
              <c:idx val="0"/>
              <c:tx>
                <c:rich>
                  <a:bodyPr rot="0" spcFirstLastPara="1" vertOverflow="ellipsis" vert="horz" wrap="square" lIns="38100" tIns="19050" rIns="38100" bIns="19050" anchor="ctr" anchorCtr="1">
                    <a:noAutofit/>
                  </a:bodyPr>
                  <a:lstStyle/>
                  <a:p>
                    <a:pPr>
                      <a:defRPr sz="900" b="0" i="0" u="none" strike="noStrike" kern="1200" baseline="0">
                        <a:solidFill>
                          <a:schemeClr val="dk1">
                            <a:lumMod val="75000"/>
                            <a:lumOff val="25000"/>
                          </a:schemeClr>
                        </a:solidFill>
                        <a:latin typeface="+mn-lt"/>
                        <a:ea typeface="+mn-ea"/>
                        <a:cs typeface="+mn-cs"/>
                      </a:defRPr>
                    </a:pPr>
                    <a:r>
                      <a:rPr lang="en-US"/>
                      <a:t>16; </a:t>
                    </a:r>
                    <a:fld id="{E6136253-0DC0-4503-92A9-9DC1F2C2F5FD}" type="PERCENTAGE">
                      <a:rPr lang="en-US"/>
                      <a:pPr>
                        <a:defRPr sz="900" b="0" i="0" u="none" strike="noStrike" kern="1200" baseline="0">
                          <a:solidFill>
                            <a:schemeClr val="dk1">
                              <a:lumMod val="75000"/>
                              <a:lumOff val="25000"/>
                            </a:schemeClr>
                          </a:solidFill>
                          <a:latin typeface="+mn-lt"/>
                          <a:ea typeface="+mn-ea"/>
                          <a:cs typeface="+mn-cs"/>
                        </a:defRPr>
                      </a:pPr>
                      <a:t>[PERCENTAGE]</a:t>
                    </a:fld>
                    <a:endParaRPr lang="en-US"/>
                  </a:p>
                </c:rich>
              </c:tx>
              <c:spPr>
                <a:noFill/>
                <a:ln>
                  <a:noFill/>
                </a:ln>
                <a:effectLst/>
              </c:spPr>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1-F4F2-4E37-9FF1-F579A52DB2FD}"/>
                </c:ext>
              </c:extLst>
            </c:dLbl>
            <c:dLbl>
              <c:idx val="1"/>
              <c:tx>
                <c:rich>
                  <a:bodyPr rot="0" spcFirstLastPara="1" vertOverflow="ellipsis" vert="horz" wrap="square" lIns="38100" tIns="19050" rIns="38100" bIns="19050" anchor="ctr" anchorCtr="1">
                    <a:noAutofit/>
                  </a:bodyPr>
                  <a:lstStyle/>
                  <a:p>
                    <a:pPr>
                      <a:defRPr sz="900" b="0" i="0" u="none" strike="noStrike" kern="1200" baseline="0">
                        <a:solidFill>
                          <a:schemeClr val="dk1">
                            <a:lumMod val="75000"/>
                            <a:lumOff val="25000"/>
                          </a:schemeClr>
                        </a:solidFill>
                        <a:latin typeface="+mn-lt"/>
                        <a:ea typeface="+mn-ea"/>
                        <a:cs typeface="+mn-cs"/>
                      </a:defRPr>
                    </a:pPr>
                    <a:r>
                      <a:rPr lang="en-US"/>
                      <a:t>9; </a:t>
                    </a:r>
                    <a:fld id="{EEB1CA3F-E04E-45AE-BF63-E37A2183421D}" type="PERCENTAGE">
                      <a:rPr lang="en-US"/>
                      <a:pPr>
                        <a:defRPr sz="900" b="0" i="0" u="none" strike="noStrike" kern="1200" baseline="0">
                          <a:solidFill>
                            <a:schemeClr val="dk1">
                              <a:lumMod val="75000"/>
                              <a:lumOff val="25000"/>
                            </a:schemeClr>
                          </a:solidFill>
                          <a:latin typeface="+mn-lt"/>
                          <a:ea typeface="+mn-ea"/>
                          <a:cs typeface="+mn-cs"/>
                        </a:defRPr>
                      </a:pPr>
                      <a:t>[PERCENTAGE]</a:t>
                    </a:fld>
                    <a:endParaRPr lang="en-US"/>
                  </a:p>
                </c:rich>
              </c:tx>
              <c:spPr>
                <a:noFill/>
                <a:ln>
                  <a:noFill/>
                </a:ln>
                <a:effectLst/>
              </c:spPr>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2-F4F2-4E37-9FF1-F579A52DB2FD}"/>
                </c:ext>
              </c:extLst>
            </c:dLbl>
            <c:dLbl>
              <c:idx val="2"/>
              <c:layout>
                <c:manualLayout>
                  <c:x val="4.113915294840146E-2"/>
                  <c:y val="7.1666384731270932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dk1">
                            <a:lumMod val="75000"/>
                            <a:lumOff val="25000"/>
                          </a:schemeClr>
                        </a:solidFill>
                        <a:latin typeface="+mn-lt"/>
                        <a:ea typeface="+mn-ea"/>
                        <a:cs typeface="+mn-cs"/>
                      </a:defRPr>
                    </a:pPr>
                    <a:r>
                      <a:rPr lang="en-US"/>
                      <a:t>1; </a:t>
                    </a:r>
                    <a:fld id="{622DD1BF-70A7-4FA4-B6B7-184DC6D086CC}" type="PERCENTAGE">
                      <a:rPr lang="en-US"/>
                      <a:pPr>
                        <a:defRPr sz="900" b="0" i="0" u="none" strike="noStrike" kern="1200" baseline="0">
                          <a:solidFill>
                            <a:schemeClr val="dk1">
                              <a:lumMod val="75000"/>
                              <a:lumOff val="25000"/>
                            </a:schemeClr>
                          </a:solidFill>
                          <a:latin typeface="+mn-lt"/>
                          <a:ea typeface="+mn-ea"/>
                          <a:cs typeface="+mn-cs"/>
                        </a:defRPr>
                      </a:pPr>
                      <a:t>[PERCENTAGE]</a:t>
                    </a:fld>
                    <a:endParaRPr lang="en-US"/>
                  </a:p>
                </c:rich>
              </c:tx>
              <c:spPr>
                <a:noFill/>
                <a:ln>
                  <a:noFill/>
                </a:ln>
                <a:effectLst/>
              </c:spPr>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15:layout>
                    <c:manualLayout>
                      <c:w val="6.6591281084120144E-2"/>
                      <c:h val="4.8489702349493485E-2"/>
                    </c:manualLayout>
                  </c15:layout>
                  <c15:dlblFieldTable/>
                  <c15:showDataLabelsRange val="0"/>
                </c:ext>
                <c:ext xmlns:c16="http://schemas.microsoft.com/office/drawing/2014/chart" uri="{C3380CC4-5D6E-409C-BE32-E72D297353CC}">
                  <c16:uniqueId val="{00000003-F4F2-4E37-9FF1-F579A52DB2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t-LT"/>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Planas!$W$189:$W$191</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Planas!$X$189:$X$191</c:f>
              <c:numCache>
                <c:formatCode>General</c:formatCode>
                <c:ptCount val="3"/>
                <c:pt idx="0">
                  <c:v>16</c:v>
                </c:pt>
                <c:pt idx="1">
                  <c:v>9</c:v>
                </c:pt>
                <c:pt idx="2">
                  <c:v>1</c:v>
                </c:pt>
              </c:numCache>
            </c:numRef>
          </c:val>
          <c:extLst xmlns:c16r2="http://schemas.microsoft.com/office/drawing/2015/06/chart">
            <c:ext xmlns:c16="http://schemas.microsoft.com/office/drawing/2014/chart" uri="{C3380CC4-5D6E-409C-BE32-E72D297353CC}">
              <c16:uniqueId val="{00000000-F4F2-4E37-9FF1-F579A52DB2FD}"/>
            </c:ext>
          </c:extLst>
        </c:ser>
        <c:dLbls>
          <c:dLblPos val="ctr"/>
          <c:showLegendKey val="0"/>
          <c:showVal val="0"/>
          <c:showCatName val="0"/>
          <c:showSerName val="0"/>
          <c:showPercent val="1"/>
          <c:showBubbleSize val="0"/>
          <c:showLeaderLines val="1"/>
        </c:dLbls>
      </c:pie3DChart>
      <c:spPr>
        <a:solidFill>
          <a:schemeClr val="bg1">
            <a:lumMod val="95000"/>
          </a:schemeClr>
        </a:solidFill>
        <a:ln>
          <a:noFill/>
        </a:ln>
        <a:effectLst/>
      </c:spPr>
    </c:plotArea>
    <c:legend>
      <c:legendPos val="r"/>
      <c:layout>
        <c:manualLayout>
          <c:xMode val="edge"/>
          <c:yMode val="edge"/>
          <c:x val="0.64632238494279981"/>
          <c:y val="0.32174754071099326"/>
          <c:w val="0.34449101440144325"/>
          <c:h val="0.46477161480807522"/>
        </c:manualLayout>
      </c:layout>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t-LT"/>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lumMod val="85000"/>
      </a:schemeClr>
    </a:solidFill>
    <a:ln w="9525" cap="flat" cmpd="sng" algn="ctr">
      <a:solidFill>
        <a:schemeClr val="dk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lt-LT" sz="1400">
                <a:solidFill>
                  <a:sysClr val="windowText" lastClr="000000"/>
                </a:solidFill>
                <a:latin typeface="Times New Roman" panose="02020603050405020304" pitchFamily="18" charset="0"/>
                <a:cs typeface="Times New Roman" panose="02020603050405020304" pitchFamily="18" charset="0"/>
              </a:rPr>
              <a:t>05 programos vykdymas</a:t>
            </a:r>
          </a:p>
        </c:rich>
      </c:tx>
      <c:overlay val="0"/>
      <c:spPr>
        <a:noFill/>
        <a:ln>
          <a:noFill/>
        </a:ln>
        <a:effectLst/>
      </c:sp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6"/>
            <c:spPr>
              <a:solidFill>
                <a:srgbClr val="EBF1DE"/>
              </a:solidFill>
              <a:ln w="25400">
                <a:solidFill>
                  <a:schemeClr val="accent3">
                    <a:lumMod val="40000"/>
                    <a:lumOff val="60000"/>
                  </a:schemeClr>
                </a:solidFill>
              </a:ln>
              <a:effectLst/>
              <a:sp3d contourW="25400">
                <a:contourClr>
                  <a:schemeClr val="accent3">
                    <a:lumMod val="40000"/>
                    <a:lumOff val="60000"/>
                  </a:schemeClr>
                </a:contourClr>
              </a:sp3d>
            </c:spPr>
            <c:extLst xmlns:c16r2="http://schemas.microsoft.com/office/drawing/2015/06/chart">
              <c:ext xmlns:c16="http://schemas.microsoft.com/office/drawing/2014/chart" uri="{C3380CC4-5D6E-409C-BE32-E72D297353CC}">
                <c16:uniqueId val="{00000001-668C-4192-9BCC-416F1F975E56}"/>
              </c:ext>
            </c:extLst>
          </c:dPt>
          <c:dPt>
            <c:idx val="1"/>
            <c:bubble3D val="0"/>
            <c:explosion val="4"/>
            <c:spPr>
              <a:solidFill>
                <a:srgbClr val="FFFFCC"/>
              </a:solidFill>
              <a:ln w="25400">
                <a:solidFill>
                  <a:srgbClr val="FFFF99"/>
                </a:solidFill>
              </a:ln>
              <a:effectLst/>
              <a:sp3d contourW="25400">
                <a:contourClr>
                  <a:srgbClr val="FFFF99"/>
                </a:contourClr>
              </a:sp3d>
            </c:spPr>
            <c:extLst xmlns:c16r2="http://schemas.microsoft.com/office/drawing/2015/06/chart">
              <c:ext xmlns:c16="http://schemas.microsoft.com/office/drawing/2014/chart" uri="{C3380CC4-5D6E-409C-BE32-E72D297353CC}">
                <c16:uniqueId val="{00000003-668C-4192-9BCC-416F1F975E56}"/>
              </c:ext>
            </c:extLst>
          </c:dPt>
          <c:dPt>
            <c:idx val="2"/>
            <c:bubble3D val="0"/>
            <c:explosion val="7"/>
            <c:spPr>
              <a:solidFill>
                <a:srgbClr val="FDE9D9"/>
              </a:solidFill>
              <a:ln w="25400">
                <a:solidFill>
                  <a:schemeClr val="accent6">
                    <a:lumMod val="40000"/>
                    <a:lumOff val="60000"/>
                  </a:schemeClr>
                </a:solidFill>
              </a:ln>
              <a:effectLst/>
              <a:sp3d contourW="25400">
                <a:contourClr>
                  <a:schemeClr val="accent6">
                    <a:lumMod val="40000"/>
                    <a:lumOff val="60000"/>
                  </a:schemeClr>
                </a:contourClr>
              </a:sp3d>
            </c:spPr>
            <c:extLst xmlns:c16r2="http://schemas.microsoft.com/office/drawing/2015/06/chart">
              <c:ext xmlns:c16="http://schemas.microsoft.com/office/drawing/2014/chart" uri="{C3380CC4-5D6E-409C-BE32-E72D297353CC}">
                <c16:uniqueId val="{00000002-668C-4192-9BCC-416F1F975E56}"/>
              </c:ext>
            </c:extLst>
          </c:dPt>
          <c:dLbls>
            <c:dLbl>
              <c:idx val="0"/>
              <c:tx>
                <c:rich>
                  <a:bodyPr/>
                  <a:lstStyle/>
                  <a:p>
                    <a:r>
                      <a:rPr lang="en-US"/>
                      <a:t>6; </a:t>
                    </a:r>
                    <a:fld id="{9D6904C2-0008-4C70-9D92-A2A020C4BDBF}"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668C-4192-9BCC-416F1F975E56}"/>
                </c:ext>
              </c:extLst>
            </c:dLbl>
            <c:dLbl>
              <c:idx val="1"/>
              <c:tx>
                <c:rich>
                  <a:bodyPr rot="0" spcFirstLastPara="1" vertOverflow="ellipsis" vert="horz" wrap="square" lIns="38100" tIns="19050" rIns="38100" bIns="19050" anchor="ctr" anchorCtr="1">
                    <a:noAutofit/>
                  </a:bodyPr>
                  <a:lstStyle/>
                  <a:p>
                    <a:pPr>
                      <a:defRPr sz="900" b="0" i="0" u="none" strike="noStrike" kern="1200" baseline="0">
                        <a:solidFill>
                          <a:schemeClr val="dk1">
                            <a:lumMod val="75000"/>
                            <a:lumOff val="25000"/>
                          </a:schemeClr>
                        </a:solidFill>
                        <a:latin typeface="+mn-lt"/>
                        <a:ea typeface="+mn-ea"/>
                        <a:cs typeface="+mn-cs"/>
                      </a:defRPr>
                    </a:pPr>
                    <a:r>
                      <a:rPr lang="en-US"/>
                      <a:t>2; </a:t>
                    </a:r>
                    <a:fld id="{EACCA622-1C27-42D8-99B3-6A3A8B9648AB}" type="PERCENTAGE">
                      <a:rPr lang="en-US"/>
                      <a:pPr>
                        <a:defRPr sz="900" b="0" i="0" u="none" strike="noStrike" kern="1200" baseline="0">
                          <a:solidFill>
                            <a:schemeClr val="dk1">
                              <a:lumMod val="75000"/>
                              <a:lumOff val="25000"/>
                            </a:schemeClr>
                          </a:solidFill>
                          <a:latin typeface="+mn-lt"/>
                          <a:ea typeface="+mn-ea"/>
                          <a:cs typeface="+mn-cs"/>
                        </a:defRPr>
                      </a:pPr>
                      <a:t>[PERCENTAGE]</a:t>
                    </a:fld>
                    <a:endParaRPr lang="en-US"/>
                  </a:p>
                </c:rich>
              </c:tx>
              <c:spPr>
                <a:noFill/>
                <a:ln>
                  <a:noFill/>
                </a:ln>
                <a:effectLst/>
              </c:spPr>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3-668C-4192-9BCC-416F1F975E56}"/>
                </c:ext>
              </c:extLst>
            </c:dLbl>
            <c:dLbl>
              <c:idx val="2"/>
              <c:tx>
                <c:rich>
                  <a:bodyPr rot="0" spcFirstLastPara="1" vertOverflow="ellipsis" vert="horz" wrap="square" lIns="38100" tIns="19050" rIns="38100" bIns="19050" anchor="ctr" anchorCtr="1">
                    <a:noAutofit/>
                  </a:bodyPr>
                  <a:lstStyle/>
                  <a:p>
                    <a:pPr>
                      <a:defRPr sz="900" b="0" i="0" u="none" strike="noStrike" kern="1200" baseline="0">
                        <a:solidFill>
                          <a:schemeClr val="dk1">
                            <a:lumMod val="75000"/>
                            <a:lumOff val="25000"/>
                          </a:schemeClr>
                        </a:solidFill>
                        <a:latin typeface="+mn-lt"/>
                        <a:ea typeface="+mn-ea"/>
                        <a:cs typeface="+mn-cs"/>
                      </a:defRPr>
                    </a:pPr>
                    <a:r>
                      <a:rPr lang="en-US"/>
                      <a:t>1; </a:t>
                    </a:r>
                    <a:fld id="{A8E6444B-2865-41C2-AC5C-7CEB19724A9D}" type="PERCENTAGE">
                      <a:rPr lang="en-US"/>
                      <a:pPr>
                        <a:defRPr sz="900" b="0" i="0" u="none" strike="noStrike" kern="1200" baseline="0">
                          <a:solidFill>
                            <a:schemeClr val="dk1">
                              <a:lumMod val="75000"/>
                              <a:lumOff val="25000"/>
                            </a:schemeClr>
                          </a:solidFill>
                          <a:latin typeface="+mn-lt"/>
                          <a:ea typeface="+mn-ea"/>
                          <a:cs typeface="+mn-cs"/>
                        </a:defRPr>
                      </a:pPr>
                      <a:t>[PERCENTAGE]</a:t>
                    </a:fld>
                    <a:endParaRPr lang="en-US"/>
                  </a:p>
                </c:rich>
              </c:tx>
              <c:spPr>
                <a:noFill/>
                <a:ln>
                  <a:noFill/>
                </a:ln>
                <a:effectLst/>
              </c:spPr>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2-668C-4192-9BCC-416F1F975E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t-LT"/>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Planas!$W$301:$W$303</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Planas!$X$301:$X$303</c:f>
              <c:numCache>
                <c:formatCode>General</c:formatCode>
                <c:ptCount val="3"/>
                <c:pt idx="0">
                  <c:v>6</c:v>
                </c:pt>
                <c:pt idx="1">
                  <c:v>2</c:v>
                </c:pt>
                <c:pt idx="2">
                  <c:v>1</c:v>
                </c:pt>
              </c:numCache>
            </c:numRef>
          </c:val>
          <c:extLst xmlns:c16r2="http://schemas.microsoft.com/office/drawing/2015/06/chart">
            <c:ext xmlns:c16="http://schemas.microsoft.com/office/drawing/2014/chart" uri="{C3380CC4-5D6E-409C-BE32-E72D297353CC}">
              <c16:uniqueId val="{00000000-668C-4192-9BCC-416F1F975E56}"/>
            </c:ext>
          </c:extLst>
        </c:ser>
        <c:dLbls>
          <c:dLblPos val="ctr"/>
          <c:showLegendKey val="0"/>
          <c:showVal val="0"/>
          <c:showCatName val="0"/>
          <c:showSerName val="0"/>
          <c:showPercent val="1"/>
          <c:showBubbleSize val="0"/>
          <c:showLeaderLines val="1"/>
        </c:dLbls>
      </c:pie3DChart>
      <c:spPr>
        <a:solidFill>
          <a:schemeClr val="bg1">
            <a:lumMod val="95000"/>
          </a:schemeClr>
        </a:solidFill>
        <a:ln>
          <a:noFill/>
        </a:ln>
        <a:effectLst/>
      </c:spPr>
    </c:plotArea>
    <c:legend>
      <c:legendPos val="r"/>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t-LT"/>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lumMod val="85000"/>
      </a:schemeClr>
    </a:solidFill>
    <a:ln w="9525" cap="flat" cmpd="sng" algn="ctr">
      <a:solidFill>
        <a:schemeClr val="dk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lt-LT" sz="1400">
                <a:solidFill>
                  <a:sysClr val="windowText" lastClr="000000"/>
                </a:solidFill>
                <a:latin typeface="Times New Roman" panose="02020603050405020304" pitchFamily="18" charset="0"/>
                <a:cs typeface="Times New Roman" panose="02020603050405020304" pitchFamily="18" charset="0"/>
              </a:rPr>
              <a:t>06 programos vykdymas</a:t>
            </a:r>
          </a:p>
        </c:rich>
      </c:tx>
      <c:overlay val="0"/>
      <c:spPr>
        <a:noFill/>
        <a:ln>
          <a:noFill/>
        </a:ln>
        <a:effectLst/>
      </c:sp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7"/>
            <c:spPr>
              <a:solidFill>
                <a:srgbClr val="EBF1DE"/>
              </a:solidFill>
              <a:ln w="25400">
                <a:solidFill>
                  <a:schemeClr val="accent3">
                    <a:lumMod val="40000"/>
                    <a:lumOff val="60000"/>
                  </a:schemeClr>
                </a:solidFill>
              </a:ln>
              <a:effectLst/>
              <a:sp3d contourW="25400">
                <a:contourClr>
                  <a:schemeClr val="accent3">
                    <a:lumMod val="40000"/>
                    <a:lumOff val="60000"/>
                  </a:schemeClr>
                </a:contourClr>
              </a:sp3d>
            </c:spPr>
            <c:extLst xmlns:c16r2="http://schemas.microsoft.com/office/drawing/2015/06/chart">
              <c:ext xmlns:c16="http://schemas.microsoft.com/office/drawing/2014/chart" uri="{C3380CC4-5D6E-409C-BE32-E72D297353CC}">
                <c16:uniqueId val="{00000001-836A-4794-A54A-B180F83D0BCE}"/>
              </c:ext>
            </c:extLst>
          </c:dPt>
          <c:dPt>
            <c:idx val="1"/>
            <c:bubble3D val="0"/>
            <c:spPr>
              <a:solidFill>
                <a:srgbClr val="FFFFCC"/>
              </a:solidFill>
              <a:ln w="25400">
                <a:solidFill>
                  <a:srgbClr val="FFFF99"/>
                </a:solidFill>
              </a:ln>
              <a:effectLst/>
              <a:sp3d contourW="25400">
                <a:contourClr>
                  <a:srgbClr val="FFFF99"/>
                </a:contourClr>
              </a:sp3d>
            </c:spPr>
            <c:extLst xmlns:c16r2="http://schemas.microsoft.com/office/drawing/2015/06/chart">
              <c:ext xmlns:c16="http://schemas.microsoft.com/office/drawing/2014/chart" uri="{C3380CC4-5D6E-409C-BE32-E72D297353CC}">
                <c16:uniqueId val="{00000003-836A-4794-A54A-B180F83D0BCE}"/>
              </c:ext>
            </c:extLst>
          </c:dPt>
          <c:dPt>
            <c:idx val="2"/>
            <c:bubble3D val="0"/>
            <c:explosion val="2"/>
            <c:spPr>
              <a:solidFill>
                <a:srgbClr val="FDE9D9"/>
              </a:solidFill>
              <a:ln w="25400">
                <a:solidFill>
                  <a:schemeClr val="accent6">
                    <a:lumMod val="40000"/>
                    <a:lumOff val="60000"/>
                  </a:schemeClr>
                </a:solidFill>
              </a:ln>
              <a:effectLst/>
              <a:sp3d contourW="25400">
                <a:contourClr>
                  <a:schemeClr val="accent6">
                    <a:lumMod val="40000"/>
                    <a:lumOff val="60000"/>
                  </a:schemeClr>
                </a:contourClr>
              </a:sp3d>
            </c:spPr>
            <c:extLst xmlns:c16r2="http://schemas.microsoft.com/office/drawing/2015/06/chart">
              <c:ext xmlns:c16="http://schemas.microsoft.com/office/drawing/2014/chart" uri="{C3380CC4-5D6E-409C-BE32-E72D297353CC}">
                <c16:uniqueId val="{00000002-836A-4794-A54A-B180F83D0BCE}"/>
              </c:ext>
            </c:extLst>
          </c:dPt>
          <c:dLbls>
            <c:dLbl>
              <c:idx val="0"/>
              <c:tx>
                <c:rich>
                  <a:bodyPr/>
                  <a:lstStyle/>
                  <a:p>
                    <a:r>
                      <a:rPr lang="en-US"/>
                      <a:t>5; </a:t>
                    </a:r>
                    <a:fld id="{124DD896-AC39-4459-A2AC-29B67A4D43EE}"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836A-4794-A54A-B180F83D0BCE}"/>
                </c:ext>
              </c:extLst>
            </c:dLbl>
            <c:dLbl>
              <c:idx val="2"/>
              <c:tx>
                <c:rich>
                  <a:bodyPr/>
                  <a:lstStyle/>
                  <a:p>
                    <a:r>
                      <a:rPr lang="en-US"/>
                      <a:t>2; </a:t>
                    </a:r>
                    <a:fld id="{1F2B58AC-68CB-4880-8652-692B351B8753}"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2-836A-4794-A54A-B180F83D0B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t-LT"/>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Planas!$W$340:$W$342</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Planas!$X$340:$X$342</c:f>
              <c:numCache>
                <c:formatCode>General</c:formatCode>
                <c:ptCount val="3"/>
                <c:pt idx="0">
                  <c:v>5</c:v>
                </c:pt>
                <c:pt idx="2">
                  <c:v>2</c:v>
                </c:pt>
              </c:numCache>
            </c:numRef>
          </c:val>
          <c:extLst xmlns:c16r2="http://schemas.microsoft.com/office/drawing/2015/06/chart">
            <c:ext xmlns:c16="http://schemas.microsoft.com/office/drawing/2014/chart" uri="{C3380CC4-5D6E-409C-BE32-E72D297353CC}">
              <c16:uniqueId val="{00000000-836A-4794-A54A-B180F83D0BCE}"/>
            </c:ext>
          </c:extLst>
        </c:ser>
        <c:dLbls>
          <c:dLblPos val="inEnd"/>
          <c:showLegendKey val="0"/>
          <c:showVal val="0"/>
          <c:showCatName val="0"/>
          <c:showSerName val="0"/>
          <c:showPercent val="1"/>
          <c:showBubbleSize val="0"/>
          <c:showLeaderLines val="1"/>
        </c:dLbls>
      </c:pie3DChart>
      <c:spPr>
        <a:solidFill>
          <a:schemeClr val="bg1">
            <a:lumMod val="95000"/>
          </a:schemeClr>
        </a:solidFill>
        <a:ln>
          <a:noFill/>
        </a:ln>
        <a:effectLst/>
      </c:spPr>
    </c:plotArea>
    <c:legend>
      <c:legendPos val="r"/>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t-LT"/>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lumMod val="85000"/>
      </a:schemeClr>
    </a:solidFill>
    <a:ln w="9525" cap="flat" cmpd="sng" algn="ctr">
      <a:solidFill>
        <a:schemeClr val="dk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lt-LT" sz="1400">
                <a:solidFill>
                  <a:sysClr val="windowText" lastClr="000000"/>
                </a:solidFill>
                <a:latin typeface="Times New Roman" panose="02020603050405020304" pitchFamily="18" charset="0"/>
                <a:cs typeface="Times New Roman" panose="02020603050405020304" pitchFamily="18" charset="0"/>
              </a:rPr>
              <a:t>07 programos vykdymas</a:t>
            </a:r>
          </a:p>
        </c:rich>
      </c:tx>
      <c:overlay val="0"/>
      <c:spPr>
        <a:noFill/>
        <a:ln>
          <a:noFill/>
        </a:ln>
        <a:effectLst/>
      </c:sp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5"/>
            <c:spPr>
              <a:solidFill>
                <a:srgbClr val="EBF1DE"/>
              </a:solidFill>
              <a:ln w="25400">
                <a:solidFill>
                  <a:schemeClr val="accent3">
                    <a:lumMod val="40000"/>
                    <a:lumOff val="60000"/>
                  </a:schemeClr>
                </a:solidFill>
              </a:ln>
              <a:effectLst/>
              <a:sp3d contourW="25400">
                <a:contourClr>
                  <a:schemeClr val="accent3">
                    <a:lumMod val="40000"/>
                    <a:lumOff val="60000"/>
                  </a:schemeClr>
                </a:contourClr>
              </a:sp3d>
            </c:spPr>
            <c:extLst xmlns:c16r2="http://schemas.microsoft.com/office/drawing/2015/06/chart">
              <c:ext xmlns:c16="http://schemas.microsoft.com/office/drawing/2014/chart" uri="{C3380CC4-5D6E-409C-BE32-E72D297353CC}">
                <c16:uniqueId val="{00000003-70B1-4EEB-90C2-5E2F03D6A307}"/>
              </c:ext>
            </c:extLst>
          </c:dPt>
          <c:dPt>
            <c:idx val="1"/>
            <c:bubble3D val="0"/>
            <c:explosion val="14"/>
            <c:spPr>
              <a:solidFill>
                <a:srgbClr val="FFFFCC"/>
              </a:solidFill>
              <a:ln w="25400">
                <a:solidFill>
                  <a:srgbClr val="FFFF99"/>
                </a:solidFill>
              </a:ln>
              <a:effectLst/>
              <a:sp3d contourW="25400">
                <a:contourClr>
                  <a:srgbClr val="FFFF99"/>
                </a:contourClr>
              </a:sp3d>
            </c:spPr>
            <c:extLst xmlns:c16r2="http://schemas.microsoft.com/office/drawing/2015/06/chart">
              <c:ext xmlns:c16="http://schemas.microsoft.com/office/drawing/2014/chart" uri="{C3380CC4-5D6E-409C-BE32-E72D297353CC}">
                <c16:uniqueId val="{00000001-70B1-4EEB-90C2-5E2F03D6A307}"/>
              </c:ext>
            </c:extLst>
          </c:dPt>
          <c:dPt>
            <c:idx val="2"/>
            <c:bubble3D val="0"/>
            <c:explosion val="9"/>
            <c:spPr>
              <a:solidFill>
                <a:srgbClr val="FDE9D9"/>
              </a:solidFill>
              <a:ln w="25400">
                <a:solidFill>
                  <a:schemeClr val="accent6">
                    <a:lumMod val="40000"/>
                    <a:lumOff val="60000"/>
                  </a:schemeClr>
                </a:solidFill>
              </a:ln>
              <a:effectLst/>
              <a:sp3d contourW="25400">
                <a:contourClr>
                  <a:schemeClr val="accent6">
                    <a:lumMod val="40000"/>
                    <a:lumOff val="60000"/>
                  </a:schemeClr>
                </a:contourClr>
              </a:sp3d>
            </c:spPr>
            <c:extLst xmlns:c16r2="http://schemas.microsoft.com/office/drawing/2015/06/chart">
              <c:ext xmlns:c16="http://schemas.microsoft.com/office/drawing/2014/chart" uri="{C3380CC4-5D6E-409C-BE32-E72D297353CC}">
                <c16:uniqueId val="{00000002-70B1-4EEB-90C2-5E2F03D6A307}"/>
              </c:ext>
            </c:extLst>
          </c:dPt>
          <c:dLbls>
            <c:dLbl>
              <c:idx val="0"/>
              <c:tx>
                <c:rich>
                  <a:bodyPr/>
                  <a:lstStyle/>
                  <a:p>
                    <a:r>
                      <a:rPr lang="en-US"/>
                      <a:t>4; </a:t>
                    </a:r>
                    <a:fld id="{2B2582CA-36B2-4820-824D-4A9F599D4B04}"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3-70B1-4EEB-90C2-5E2F03D6A307}"/>
                </c:ext>
              </c:extLst>
            </c:dLbl>
            <c:dLbl>
              <c:idx val="1"/>
              <c:tx>
                <c:rich>
                  <a:bodyPr/>
                  <a:lstStyle/>
                  <a:p>
                    <a:r>
                      <a:rPr lang="en-US"/>
                      <a:t>8; </a:t>
                    </a:r>
                    <a:fld id="{E8C88B43-7D7F-4811-8F3D-F5F17E2D53CE}"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70B1-4EEB-90C2-5E2F03D6A307}"/>
                </c:ext>
              </c:extLst>
            </c:dLbl>
            <c:dLbl>
              <c:idx val="2"/>
              <c:tx>
                <c:rich>
                  <a:bodyPr/>
                  <a:lstStyle/>
                  <a:p>
                    <a:r>
                      <a:rPr lang="en-US"/>
                      <a:t>1; </a:t>
                    </a:r>
                    <a:fld id="{FCDA2317-7A29-4089-9234-ED5AFADB3B18}"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2-70B1-4EEB-90C2-5E2F03D6A3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t-LT"/>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Planas!$W$355:$W$357</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Planas!$X$355:$X$357</c:f>
              <c:numCache>
                <c:formatCode>General</c:formatCode>
                <c:ptCount val="3"/>
                <c:pt idx="0">
                  <c:v>4</c:v>
                </c:pt>
                <c:pt idx="1">
                  <c:v>8</c:v>
                </c:pt>
                <c:pt idx="2">
                  <c:v>1</c:v>
                </c:pt>
              </c:numCache>
            </c:numRef>
          </c:val>
          <c:extLst xmlns:c16r2="http://schemas.microsoft.com/office/drawing/2015/06/chart">
            <c:ext xmlns:c16="http://schemas.microsoft.com/office/drawing/2014/chart" uri="{C3380CC4-5D6E-409C-BE32-E72D297353CC}">
              <c16:uniqueId val="{00000000-70B1-4EEB-90C2-5E2F03D6A307}"/>
            </c:ext>
          </c:extLst>
        </c:ser>
        <c:dLbls>
          <c:dLblPos val="ctr"/>
          <c:showLegendKey val="0"/>
          <c:showVal val="0"/>
          <c:showCatName val="0"/>
          <c:showSerName val="0"/>
          <c:showPercent val="1"/>
          <c:showBubbleSize val="0"/>
          <c:showLeaderLines val="1"/>
        </c:dLbls>
      </c:pie3DChart>
      <c:spPr>
        <a:solidFill>
          <a:schemeClr val="bg1">
            <a:lumMod val="95000"/>
          </a:schemeClr>
        </a:solidFill>
        <a:ln>
          <a:noFill/>
        </a:ln>
        <a:effectLst/>
      </c:spPr>
    </c:plotArea>
    <c:legend>
      <c:legendPos val="r"/>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t-LT"/>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lumMod val="85000"/>
      </a:schemeClr>
    </a:solidFill>
    <a:ln w="9525" cap="flat" cmpd="sng" algn="ctr">
      <a:solidFill>
        <a:schemeClr val="dk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lt-LT" sz="1400">
                <a:solidFill>
                  <a:sysClr val="windowText" lastClr="000000"/>
                </a:solidFill>
                <a:latin typeface="Times New Roman" panose="02020603050405020304" pitchFamily="18" charset="0"/>
                <a:cs typeface="Times New Roman" panose="02020603050405020304" pitchFamily="18" charset="0"/>
              </a:rPr>
              <a:t>08 programos vykdymas</a:t>
            </a:r>
          </a:p>
        </c:rich>
      </c:tx>
      <c:overlay val="0"/>
      <c:spPr>
        <a:noFill/>
        <a:ln>
          <a:noFill/>
        </a:ln>
        <a:effectLst/>
      </c:sp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4"/>
            <c:spPr>
              <a:solidFill>
                <a:srgbClr val="EBF1DE"/>
              </a:solidFill>
              <a:ln w="25400">
                <a:solidFill>
                  <a:schemeClr val="accent3">
                    <a:lumMod val="40000"/>
                    <a:lumOff val="60000"/>
                  </a:schemeClr>
                </a:solidFill>
              </a:ln>
              <a:effectLst/>
              <a:sp3d contourW="25400">
                <a:contourClr>
                  <a:schemeClr val="accent3">
                    <a:lumMod val="40000"/>
                    <a:lumOff val="60000"/>
                  </a:schemeClr>
                </a:contourClr>
              </a:sp3d>
            </c:spPr>
            <c:extLst xmlns:c16r2="http://schemas.microsoft.com/office/drawing/2015/06/chart">
              <c:ext xmlns:c16="http://schemas.microsoft.com/office/drawing/2014/chart" uri="{C3380CC4-5D6E-409C-BE32-E72D297353CC}">
                <c16:uniqueId val="{00000001-23F5-456D-A5E0-5D591A289F24}"/>
              </c:ext>
            </c:extLst>
          </c:dPt>
          <c:dPt>
            <c:idx val="1"/>
            <c:bubble3D val="0"/>
            <c:explosion val="5"/>
            <c:spPr>
              <a:solidFill>
                <a:srgbClr val="FFFFCC"/>
              </a:solidFill>
              <a:ln w="25400">
                <a:solidFill>
                  <a:srgbClr val="FFFF99"/>
                </a:solidFill>
              </a:ln>
              <a:effectLst/>
              <a:sp3d contourW="25400">
                <a:contourClr>
                  <a:srgbClr val="FFFF99"/>
                </a:contourClr>
              </a:sp3d>
            </c:spPr>
            <c:extLst xmlns:c16r2="http://schemas.microsoft.com/office/drawing/2015/06/chart">
              <c:ext xmlns:c16="http://schemas.microsoft.com/office/drawing/2014/chart" uri="{C3380CC4-5D6E-409C-BE32-E72D297353CC}">
                <c16:uniqueId val="{00000003-23F5-456D-A5E0-5D591A289F24}"/>
              </c:ext>
            </c:extLst>
          </c:dPt>
          <c:dPt>
            <c:idx val="2"/>
            <c:bubble3D val="0"/>
            <c:spPr>
              <a:solidFill>
                <a:srgbClr val="FDE9D9"/>
              </a:solidFill>
              <a:ln w="25400">
                <a:solidFill>
                  <a:schemeClr val="accent6">
                    <a:lumMod val="40000"/>
                    <a:lumOff val="60000"/>
                  </a:schemeClr>
                </a:solidFill>
              </a:ln>
              <a:effectLst/>
              <a:sp3d contourW="25400">
                <a:contourClr>
                  <a:schemeClr val="accent6">
                    <a:lumMod val="40000"/>
                    <a:lumOff val="60000"/>
                  </a:schemeClr>
                </a:contourClr>
              </a:sp3d>
            </c:spPr>
            <c:extLst xmlns:c16r2="http://schemas.microsoft.com/office/drawing/2015/06/chart">
              <c:ext xmlns:c16="http://schemas.microsoft.com/office/drawing/2014/chart" uri="{C3380CC4-5D6E-409C-BE32-E72D297353CC}">
                <c16:uniqueId val="{00000002-23F5-456D-A5E0-5D591A289F24}"/>
              </c:ext>
            </c:extLst>
          </c:dPt>
          <c:dLbls>
            <c:dLbl>
              <c:idx val="0"/>
              <c:tx>
                <c:rich>
                  <a:bodyPr/>
                  <a:lstStyle/>
                  <a:p>
                    <a:r>
                      <a:rPr lang="en-US"/>
                      <a:t>15; </a:t>
                    </a:r>
                    <a:fld id="{A39400F9-58AC-4ACA-ADEF-A3B4C3CEF162}"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23F5-456D-A5E0-5D591A289F24}"/>
                </c:ext>
              </c:extLst>
            </c:dLbl>
            <c:dLbl>
              <c:idx val="1"/>
              <c:tx>
                <c:rich>
                  <a:bodyPr/>
                  <a:lstStyle/>
                  <a:p>
                    <a:r>
                      <a:rPr lang="en-US"/>
                      <a:t>14; </a:t>
                    </a:r>
                    <a:fld id="{8628450E-D2C7-4D5D-9FBD-A4B9C1CC5C4A}"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3-23F5-456D-A5E0-5D591A289F24}"/>
                </c:ext>
              </c:extLst>
            </c:dLbl>
            <c:dLbl>
              <c:idx val="2"/>
              <c:tx>
                <c:rich>
                  <a:bodyPr/>
                  <a:lstStyle/>
                  <a:p>
                    <a:r>
                      <a:rPr lang="en-US"/>
                      <a:t>1; </a:t>
                    </a:r>
                    <a:fld id="{D16B2C42-3BA7-4B96-AB72-2D86C3A417A3}"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2-23F5-456D-A5E0-5D591A289F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t-LT"/>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Planas!$W$420:$W$422</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Planas!$X$420:$X$422</c:f>
              <c:numCache>
                <c:formatCode>General</c:formatCode>
                <c:ptCount val="3"/>
                <c:pt idx="0">
                  <c:v>15</c:v>
                </c:pt>
                <c:pt idx="1">
                  <c:v>14</c:v>
                </c:pt>
                <c:pt idx="2">
                  <c:v>1</c:v>
                </c:pt>
              </c:numCache>
            </c:numRef>
          </c:val>
          <c:extLst xmlns:c16r2="http://schemas.microsoft.com/office/drawing/2015/06/chart">
            <c:ext xmlns:c16="http://schemas.microsoft.com/office/drawing/2014/chart" uri="{C3380CC4-5D6E-409C-BE32-E72D297353CC}">
              <c16:uniqueId val="{00000000-23F5-456D-A5E0-5D591A289F24}"/>
            </c:ext>
          </c:extLst>
        </c:ser>
        <c:dLbls>
          <c:dLblPos val="ctr"/>
          <c:showLegendKey val="0"/>
          <c:showVal val="0"/>
          <c:showCatName val="0"/>
          <c:showSerName val="0"/>
          <c:showPercent val="1"/>
          <c:showBubbleSize val="0"/>
          <c:showLeaderLines val="1"/>
        </c:dLbls>
      </c:pie3DChart>
      <c:spPr>
        <a:solidFill>
          <a:schemeClr val="bg1">
            <a:lumMod val="95000"/>
          </a:schemeClr>
        </a:solidFill>
        <a:ln>
          <a:noFill/>
        </a:ln>
        <a:effectLst/>
      </c:spPr>
    </c:plotArea>
    <c:legend>
      <c:legendPos val="r"/>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t-LT"/>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lumMod val="85000"/>
      </a:schemeClr>
    </a:solidFill>
    <a:ln w="9525" cap="flat" cmpd="sng" algn="ctr">
      <a:solidFill>
        <a:schemeClr val="dk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lt-LT" sz="1400">
                <a:solidFill>
                  <a:sysClr val="windowText" lastClr="000000"/>
                </a:solidFill>
                <a:latin typeface="Times New Roman" panose="02020603050405020304" pitchFamily="18" charset="0"/>
                <a:cs typeface="Times New Roman" panose="02020603050405020304" pitchFamily="18" charset="0"/>
              </a:rPr>
              <a:t>09 programos vykdymas</a:t>
            </a:r>
          </a:p>
        </c:rich>
      </c:tx>
      <c:overlay val="0"/>
      <c:spPr>
        <a:noFill/>
        <a:ln>
          <a:noFill/>
        </a:ln>
        <a:effectLst/>
      </c:sp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4"/>
          <c:dPt>
            <c:idx val="0"/>
            <c:bubble3D val="0"/>
            <c:spPr>
              <a:solidFill>
                <a:srgbClr val="EBF1DE"/>
              </a:solidFill>
              <a:ln w="25400">
                <a:solidFill>
                  <a:schemeClr val="accent3">
                    <a:lumMod val="40000"/>
                    <a:lumOff val="60000"/>
                  </a:schemeClr>
                </a:solidFill>
              </a:ln>
              <a:effectLst/>
              <a:sp3d contourW="25400">
                <a:contourClr>
                  <a:schemeClr val="accent3">
                    <a:lumMod val="40000"/>
                    <a:lumOff val="60000"/>
                  </a:schemeClr>
                </a:contourClr>
              </a:sp3d>
            </c:spPr>
            <c:extLst xmlns:c16r2="http://schemas.microsoft.com/office/drawing/2015/06/chart">
              <c:ext xmlns:c16="http://schemas.microsoft.com/office/drawing/2014/chart" uri="{C3380CC4-5D6E-409C-BE32-E72D297353CC}">
                <c16:uniqueId val="{00000001-18B1-43EB-80AE-48A813B2614E}"/>
              </c:ext>
            </c:extLst>
          </c:dPt>
          <c:dPt>
            <c:idx val="1"/>
            <c:bubble3D val="0"/>
            <c:spPr>
              <a:solidFill>
                <a:srgbClr val="FFFFCC"/>
              </a:solidFill>
              <a:ln w="25400">
                <a:solidFill>
                  <a:srgbClr val="FFFF99"/>
                </a:solidFill>
              </a:ln>
              <a:effectLst/>
              <a:sp3d contourW="25400">
                <a:contourClr>
                  <a:srgbClr val="FFFF99"/>
                </a:contourClr>
              </a:sp3d>
            </c:spPr>
            <c:extLst xmlns:c16r2="http://schemas.microsoft.com/office/drawing/2015/06/chart">
              <c:ext xmlns:c16="http://schemas.microsoft.com/office/drawing/2014/chart" uri="{C3380CC4-5D6E-409C-BE32-E72D297353CC}">
                <c16:uniqueId val="{00000002-18B1-43EB-80AE-48A813B2614E}"/>
              </c:ext>
            </c:extLst>
          </c:dPt>
          <c:dPt>
            <c:idx val="2"/>
            <c:bubble3D val="0"/>
            <c:spPr>
              <a:solidFill>
                <a:srgbClr val="FDE9D9"/>
              </a:solidFill>
              <a:ln w="25400">
                <a:solidFill>
                  <a:schemeClr val="accent6">
                    <a:lumMod val="40000"/>
                    <a:lumOff val="60000"/>
                  </a:schemeClr>
                </a:solidFill>
              </a:ln>
              <a:effectLst/>
              <a:sp3d contourW="25400">
                <a:contourClr>
                  <a:schemeClr val="accent6">
                    <a:lumMod val="40000"/>
                    <a:lumOff val="60000"/>
                  </a:schemeClr>
                </a:contourClr>
              </a:sp3d>
            </c:spPr>
            <c:extLst xmlns:c16r2="http://schemas.microsoft.com/office/drawing/2015/06/chart">
              <c:ext xmlns:c16="http://schemas.microsoft.com/office/drawing/2014/chart" uri="{C3380CC4-5D6E-409C-BE32-E72D297353CC}">
                <c16:uniqueId val="{00000003-18B1-43EB-80AE-48A813B2614E}"/>
              </c:ext>
            </c:extLst>
          </c:dPt>
          <c:dLbls>
            <c:dLbl>
              <c:idx val="0"/>
              <c:tx>
                <c:rich>
                  <a:bodyPr/>
                  <a:lstStyle/>
                  <a:p>
                    <a:r>
                      <a:rPr lang="en-US"/>
                      <a:t>9; </a:t>
                    </a:r>
                    <a:fld id="{1FA9D89D-8D5D-4B4D-97C5-FDB74E2CA4B4}"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18B1-43EB-80AE-48A813B2614E}"/>
                </c:ext>
              </c:extLst>
            </c:dLbl>
            <c:dLbl>
              <c:idx val="1"/>
              <c:tx>
                <c:rich>
                  <a:bodyPr/>
                  <a:lstStyle/>
                  <a:p>
                    <a:r>
                      <a:rPr lang="en-US"/>
                      <a:t>8; </a:t>
                    </a:r>
                    <a:fld id="{4CA84AD7-FED1-40E4-AA8D-248CD2CBD976}"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2-18B1-43EB-80AE-48A813B2614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t-LT"/>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Planas!$W$546:$W$548</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Planas!$X$546:$X$548</c:f>
              <c:numCache>
                <c:formatCode>General</c:formatCode>
                <c:ptCount val="3"/>
                <c:pt idx="0">
                  <c:v>9</c:v>
                </c:pt>
                <c:pt idx="1">
                  <c:v>8</c:v>
                </c:pt>
              </c:numCache>
            </c:numRef>
          </c:val>
          <c:extLst xmlns:c16r2="http://schemas.microsoft.com/office/drawing/2015/06/chart">
            <c:ext xmlns:c16="http://schemas.microsoft.com/office/drawing/2014/chart" uri="{C3380CC4-5D6E-409C-BE32-E72D297353CC}">
              <c16:uniqueId val="{00000000-18B1-43EB-80AE-48A813B2614E}"/>
            </c:ext>
          </c:extLst>
        </c:ser>
        <c:dLbls>
          <c:dLblPos val="ctr"/>
          <c:showLegendKey val="0"/>
          <c:showVal val="0"/>
          <c:showCatName val="0"/>
          <c:showSerName val="0"/>
          <c:showPercent val="1"/>
          <c:showBubbleSize val="0"/>
          <c:showLeaderLines val="1"/>
        </c:dLbls>
      </c:pie3DChart>
      <c:spPr>
        <a:solidFill>
          <a:schemeClr val="bg1">
            <a:lumMod val="95000"/>
          </a:schemeClr>
        </a:solidFill>
        <a:ln>
          <a:noFill/>
        </a:ln>
        <a:effectLst/>
      </c:spPr>
    </c:plotArea>
    <c:legend>
      <c:legendPos val="r"/>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t-LT"/>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lumMod val="85000"/>
      </a:schemeClr>
    </a:solidFill>
    <a:ln w="9525" cap="flat" cmpd="sng" algn="ctr">
      <a:solidFill>
        <a:schemeClr val="dk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lt-LT" sz="1400">
                <a:solidFill>
                  <a:sysClr val="windowText" lastClr="000000"/>
                </a:solidFill>
                <a:latin typeface="Times New Roman" panose="02020603050405020304" pitchFamily="18" charset="0"/>
                <a:cs typeface="Times New Roman" panose="02020603050405020304" pitchFamily="18" charset="0"/>
              </a:rPr>
              <a:t>10 programos vykdymas</a:t>
            </a:r>
          </a:p>
        </c:rich>
      </c:tx>
      <c:overlay val="0"/>
      <c:spPr>
        <a:noFill/>
        <a:ln>
          <a:noFill/>
        </a:ln>
        <a:effectLst/>
      </c:sp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9"/>
            <c:spPr>
              <a:solidFill>
                <a:srgbClr val="EBF1DE"/>
              </a:solidFill>
              <a:ln w="25400">
                <a:solidFill>
                  <a:schemeClr val="accent3">
                    <a:lumMod val="40000"/>
                    <a:lumOff val="60000"/>
                  </a:schemeClr>
                </a:solidFill>
              </a:ln>
              <a:effectLst/>
              <a:sp3d contourW="25400">
                <a:contourClr>
                  <a:schemeClr val="accent3">
                    <a:lumMod val="40000"/>
                    <a:lumOff val="60000"/>
                  </a:schemeClr>
                </a:contourClr>
              </a:sp3d>
            </c:spPr>
            <c:extLst xmlns:c16r2="http://schemas.microsoft.com/office/drawing/2015/06/chart">
              <c:ext xmlns:c16="http://schemas.microsoft.com/office/drawing/2014/chart" uri="{C3380CC4-5D6E-409C-BE32-E72D297353CC}">
                <c16:uniqueId val="{00000001-D307-4D26-8407-9D790BCE6AFE}"/>
              </c:ext>
            </c:extLst>
          </c:dPt>
          <c:dPt>
            <c:idx val="1"/>
            <c:bubble3D val="0"/>
            <c:explosion val="8"/>
            <c:spPr>
              <a:solidFill>
                <a:srgbClr val="FFFFCC"/>
              </a:solidFill>
              <a:ln w="25400">
                <a:solidFill>
                  <a:srgbClr val="FFFF99"/>
                </a:solidFill>
              </a:ln>
              <a:effectLst/>
              <a:sp3d contourW="25400">
                <a:contourClr>
                  <a:srgbClr val="FFFF99"/>
                </a:contourClr>
              </a:sp3d>
            </c:spPr>
            <c:extLst xmlns:c16r2="http://schemas.microsoft.com/office/drawing/2015/06/chart">
              <c:ext xmlns:c16="http://schemas.microsoft.com/office/drawing/2014/chart" uri="{C3380CC4-5D6E-409C-BE32-E72D297353CC}">
                <c16:uniqueId val="{00000003-D307-4D26-8407-9D790BCE6AFE}"/>
              </c:ext>
            </c:extLst>
          </c:dPt>
          <c:dPt>
            <c:idx val="2"/>
            <c:bubble3D val="0"/>
            <c:spPr>
              <a:solidFill>
                <a:srgbClr val="FDE9D9"/>
              </a:solidFill>
              <a:ln w="25400">
                <a:solidFill>
                  <a:schemeClr val="accent6">
                    <a:lumMod val="40000"/>
                    <a:lumOff val="60000"/>
                  </a:schemeClr>
                </a:solidFill>
              </a:ln>
              <a:effectLst/>
              <a:sp3d contourW="25400">
                <a:contourClr>
                  <a:schemeClr val="accent6">
                    <a:lumMod val="40000"/>
                    <a:lumOff val="60000"/>
                  </a:schemeClr>
                </a:contourClr>
              </a:sp3d>
            </c:spPr>
            <c:extLst xmlns:c16r2="http://schemas.microsoft.com/office/drawing/2015/06/chart">
              <c:ext xmlns:c16="http://schemas.microsoft.com/office/drawing/2014/chart" uri="{C3380CC4-5D6E-409C-BE32-E72D297353CC}">
                <c16:uniqueId val="{00000002-D307-4D26-8407-9D790BCE6AFE}"/>
              </c:ext>
            </c:extLst>
          </c:dPt>
          <c:dLbls>
            <c:dLbl>
              <c:idx val="0"/>
              <c:tx>
                <c:rich>
                  <a:bodyPr/>
                  <a:lstStyle/>
                  <a:p>
                    <a:r>
                      <a:rPr lang="en-US"/>
                      <a:t>29; </a:t>
                    </a:r>
                    <a:fld id="{45C056D5-58CF-4C6B-9169-83AF1E4D6C88}"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D307-4D26-8407-9D790BCE6AFE}"/>
                </c:ext>
              </c:extLst>
            </c:dLbl>
            <c:dLbl>
              <c:idx val="1"/>
              <c:tx>
                <c:rich>
                  <a:bodyPr/>
                  <a:lstStyle/>
                  <a:p>
                    <a:r>
                      <a:rPr lang="en-US"/>
                      <a:t>4; </a:t>
                    </a:r>
                    <a:fld id="{E9680694-588B-4CB3-8668-83015E15E63D}"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3-D307-4D26-8407-9D790BCE6AFE}"/>
                </c:ext>
              </c:extLst>
            </c:dLbl>
            <c:dLbl>
              <c:idx val="2"/>
              <c:tx>
                <c:rich>
                  <a:bodyPr/>
                  <a:lstStyle/>
                  <a:p>
                    <a:r>
                      <a:rPr lang="en-US"/>
                      <a:t>4; </a:t>
                    </a:r>
                    <a:fld id="{723771B4-67D3-4931-99BD-8D7E05313043}" type="PERCENTAGE">
                      <a:rPr lang="en-US"/>
                      <a:pPr/>
                      <a:t>[PERCENTAGE]</a:t>
                    </a:fld>
                    <a:endParaRPr lang="en-US"/>
                  </a:p>
                </c:rich>
              </c:tx>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2-D307-4D26-8407-9D790BCE6A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t-LT"/>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Planas!$W$626:$W$628</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Planas!$X$626:$X$628</c:f>
              <c:numCache>
                <c:formatCode>General</c:formatCode>
                <c:ptCount val="3"/>
                <c:pt idx="0">
                  <c:v>29</c:v>
                </c:pt>
                <c:pt idx="1">
                  <c:v>4</c:v>
                </c:pt>
                <c:pt idx="2">
                  <c:v>4</c:v>
                </c:pt>
              </c:numCache>
            </c:numRef>
          </c:val>
          <c:extLst xmlns:c16r2="http://schemas.microsoft.com/office/drawing/2015/06/chart">
            <c:ext xmlns:c16="http://schemas.microsoft.com/office/drawing/2014/chart" uri="{C3380CC4-5D6E-409C-BE32-E72D297353CC}">
              <c16:uniqueId val="{00000000-D307-4D26-8407-9D790BCE6AFE}"/>
            </c:ext>
          </c:extLst>
        </c:ser>
        <c:dLbls>
          <c:dLblPos val="inEnd"/>
          <c:showLegendKey val="0"/>
          <c:showVal val="0"/>
          <c:showCatName val="0"/>
          <c:showSerName val="0"/>
          <c:showPercent val="1"/>
          <c:showBubbleSize val="0"/>
          <c:showLeaderLines val="1"/>
        </c:dLbls>
      </c:pie3DChart>
      <c:spPr>
        <a:solidFill>
          <a:schemeClr val="bg1">
            <a:lumMod val="95000"/>
          </a:schemeClr>
        </a:solidFill>
        <a:ln>
          <a:noFill/>
        </a:ln>
        <a:effectLst/>
      </c:spPr>
    </c:plotArea>
    <c:legend>
      <c:legendPos val="r"/>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t-LT"/>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lumMod val="85000"/>
      </a:schemeClr>
    </a:solidFill>
    <a:ln w="9525" cap="flat" cmpd="sng" algn="ctr">
      <a:solidFill>
        <a:schemeClr val="dk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7">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7">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7">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7">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7">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7">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67">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67">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20</xdr:col>
      <xdr:colOff>582083</xdr:colOff>
      <xdr:row>21</xdr:row>
      <xdr:rowOff>372380</xdr:rowOff>
    </xdr:from>
    <xdr:to>
      <xdr:col>23</xdr:col>
      <xdr:colOff>2047875</xdr:colOff>
      <xdr:row>24</xdr:row>
      <xdr:rowOff>111125</xdr:rowOff>
    </xdr:to>
    <xdr:graphicFrame macro="">
      <xdr:nvGraphicFramePr>
        <xdr:cNvPr id="3" name="Chart 2">
          <a:extLst>
            <a:ext uri="{FF2B5EF4-FFF2-40B4-BE49-F238E27FC236}">
              <a16:creationId xmlns:a16="http://schemas.microsoft.com/office/drawing/2014/main" xmlns="" id="{67234C30-5A87-4F33-92E3-A52BC884BD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15874</xdr:colOff>
      <xdr:row>118</xdr:row>
      <xdr:rowOff>4233</xdr:rowOff>
    </xdr:from>
    <xdr:to>
      <xdr:col>24</xdr:col>
      <xdr:colOff>0</xdr:colOff>
      <xdr:row>124</xdr:row>
      <xdr:rowOff>31750</xdr:rowOff>
    </xdr:to>
    <xdr:graphicFrame macro="">
      <xdr:nvGraphicFramePr>
        <xdr:cNvPr id="6" name="Chart 5">
          <a:extLst>
            <a:ext uri="{FF2B5EF4-FFF2-40B4-BE49-F238E27FC236}">
              <a16:creationId xmlns:a16="http://schemas.microsoft.com/office/drawing/2014/main" xmlns="" id="{24C384EF-12E2-4D25-A9CD-B0C9E00A21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566207</xdr:colOff>
      <xdr:row>192</xdr:row>
      <xdr:rowOff>422274</xdr:rowOff>
    </xdr:from>
    <xdr:to>
      <xdr:col>23</xdr:col>
      <xdr:colOff>2063750</xdr:colOff>
      <xdr:row>200</xdr:row>
      <xdr:rowOff>63500</xdr:rowOff>
    </xdr:to>
    <xdr:graphicFrame macro="">
      <xdr:nvGraphicFramePr>
        <xdr:cNvPr id="7" name="Chart 6">
          <a:extLst>
            <a:ext uri="{FF2B5EF4-FFF2-40B4-BE49-F238E27FC236}">
              <a16:creationId xmlns:a16="http://schemas.microsoft.com/office/drawing/2014/main" xmlns="" id="{6AD86E94-F49C-4BA8-AD74-2568D5BC75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582081</xdr:colOff>
      <xdr:row>304</xdr:row>
      <xdr:rowOff>332316</xdr:rowOff>
    </xdr:from>
    <xdr:to>
      <xdr:col>23</xdr:col>
      <xdr:colOff>2058457</xdr:colOff>
      <xdr:row>309</xdr:row>
      <xdr:rowOff>254000</xdr:rowOff>
    </xdr:to>
    <xdr:graphicFrame macro="">
      <xdr:nvGraphicFramePr>
        <xdr:cNvPr id="8" name="Chart 7">
          <a:extLst>
            <a:ext uri="{FF2B5EF4-FFF2-40B4-BE49-F238E27FC236}">
              <a16:creationId xmlns:a16="http://schemas.microsoft.com/office/drawing/2014/main" xmlns="" id="{8375727B-3298-43A6-8CB2-8CAC2B077B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15874</xdr:colOff>
      <xdr:row>345</xdr:row>
      <xdr:rowOff>25399</xdr:rowOff>
    </xdr:from>
    <xdr:to>
      <xdr:col>23</xdr:col>
      <xdr:colOff>1926167</xdr:colOff>
      <xdr:row>348</xdr:row>
      <xdr:rowOff>423332</xdr:rowOff>
    </xdr:to>
    <xdr:graphicFrame macro="">
      <xdr:nvGraphicFramePr>
        <xdr:cNvPr id="10" name="Chart 9">
          <a:extLst>
            <a:ext uri="{FF2B5EF4-FFF2-40B4-BE49-F238E27FC236}">
              <a16:creationId xmlns:a16="http://schemas.microsoft.com/office/drawing/2014/main" xmlns="" id="{48997A8E-D527-482B-8D30-9B4FE3DE7B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15875</xdr:colOff>
      <xdr:row>358</xdr:row>
      <xdr:rowOff>395059</xdr:rowOff>
    </xdr:from>
    <xdr:to>
      <xdr:col>24</xdr:col>
      <xdr:colOff>20411</xdr:colOff>
      <xdr:row>362</xdr:row>
      <xdr:rowOff>512534</xdr:rowOff>
    </xdr:to>
    <xdr:graphicFrame macro="">
      <xdr:nvGraphicFramePr>
        <xdr:cNvPr id="2" name="Chart 1">
          <a:extLst>
            <a:ext uri="{FF2B5EF4-FFF2-40B4-BE49-F238E27FC236}">
              <a16:creationId xmlns:a16="http://schemas.microsoft.com/office/drawing/2014/main" xmlns="" id="{63F011F7-2161-4E4F-853C-2E0A5E3814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578302</xdr:colOff>
      <xdr:row>423</xdr:row>
      <xdr:rowOff>440417</xdr:rowOff>
    </xdr:from>
    <xdr:to>
      <xdr:col>23</xdr:col>
      <xdr:colOff>2063750</xdr:colOff>
      <xdr:row>427</xdr:row>
      <xdr:rowOff>312964</xdr:rowOff>
    </xdr:to>
    <xdr:graphicFrame macro="">
      <xdr:nvGraphicFramePr>
        <xdr:cNvPr id="4" name="Chart 3">
          <a:extLst>
            <a:ext uri="{FF2B5EF4-FFF2-40B4-BE49-F238E27FC236}">
              <a16:creationId xmlns:a16="http://schemas.microsoft.com/office/drawing/2014/main" xmlns="" id="{1CA7AC2D-17A0-4B0F-8C86-BFDBF2156E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20410</xdr:colOff>
      <xdr:row>549</xdr:row>
      <xdr:rowOff>388255</xdr:rowOff>
    </xdr:from>
    <xdr:to>
      <xdr:col>23</xdr:col>
      <xdr:colOff>2054679</xdr:colOff>
      <xdr:row>554</xdr:row>
      <xdr:rowOff>147410</xdr:rowOff>
    </xdr:to>
    <xdr:graphicFrame macro="">
      <xdr:nvGraphicFramePr>
        <xdr:cNvPr id="9" name="Chart 8">
          <a:extLst>
            <a:ext uri="{FF2B5EF4-FFF2-40B4-BE49-F238E27FC236}">
              <a16:creationId xmlns:a16="http://schemas.microsoft.com/office/drawing/2014/main" xmlns="" id="{E9D8CBB9-4860-4D75-BF97-1FE0508DF2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6802</xdr:colOff>
      <xdr:row>630</xdr:row>
      <xdr:rowOff>390525</xdr:rowOff>
    </xdr:from>
    <xdr:to>
      <xdr:col>23</xdr:col>
      <xdr:colOff>2081892</xdr:colOff>
      <xdr:row>636</xdr:row>
      <xdr:rowOff>136071</xdr:rowOff>
    </xdr:to>
    <xdr:graphicFrame macro="">
      <xdr:nvGraphicFramePr>
        <xdr:cNvPr id="11" name="Chart 10">
          <a:extLst>
            <a:ext uri="{FF2B5EF4-FFF2-40B4-BE49-F238E27FC236}">
              <a16:creationId xmlns:a16="http://schemas.microsoft.com/office/drawing/2014/main" xmlns="" id="{A0E3820A-6179-48FF-BFC1-CE3DA54F90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xdr:col>
      <xdr:colOff>6802</xdr:colOff>
      <xdr:row>766</xdr:row>
      <xdr:rowOff>512988</xdr:rowOff>
    </xdr:from>
    <xdr:to>
      <xdr:col>23</xdr:col>
      <xdr:colOff>2081892</xdr:colOff>
      <xdr:row>768</xdr:row>
      <xdr:rowOff>2462892</xdr:rowOff>
    </xdr:to>
    <xdr:graphicFrame macro="">
      <xdr:nvGraphicFramePr>
        <xdr:cNvPr id="12" name="Chart 11">
          <a:extLst>
            <a:ext uri="{FF2B5EF4-FFF2-40B4-BE49-F238E27FC236}">
              <a16:creationId xmlns:a16="http://schemas.microsoft.com/office/drawing/2014/main" xmlns="" id="{F505FEC2-F846-4DF9-B903-B6DE8D4A85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xdr:col>
      <xdr:colOff>577849</xdr:colOff>
      <xdr:row>55</xdr:row>
      <xdr:rowOff>202670</xdr:rowOff>
    </xdr:from>
    <xdr:to>
      <xdr:col>23</xdr:col>
      <xdr:colOff>2047875</xdr:colOff>
      <xdr:row>57</xdr:row>
      <xdr:rowOff>2344209</xdr:rowOff>
    </xdr:to>
    <xdr:graphicFrame macro="">
      <xdr:nvGraphicFramePr>
        <xdr:cNvPr id="13" name="Chart 12">
          <a:extLst>
            <a:ext uri="{FF2B5EF4-FFF2-40B4-BE49-F238E27FC236}">
              <a16:creationId xmlns:a16="http://schemas.microsoft.com/office/drawing/2014/main" xmlns="" id="{AF6187FD-2277-4E8E-9D10-76BEE680C2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864"/>
  <sheetViews>
    <sheetView tabSelected="1" zoomScale="80" zoomScaleNormal="80" workbookViewId="0">
      <selection activeCell="T8" sqref="T8"/>
    </sheetView>
  </sheetViews>
  <sheetFormatPr defaultColWidth="8.7109375" defaultRowHeight="15" x14ac:dyDescent="0.25"/>
  <cols>
    <col min="1" max="1" width="8.28515625" style="1" customWidth="1"/>
    <col min="2" max="2" width="17" style="1" customWidth="1"/>
    <col min="3" max="3" width="9.85546875" style="1" customWidth="1"/>
    <col min="4" max="4" width="9.5703125" style="1" customWidth="1"/>
    <col min="5" max="5" width="9.42578125" style="1" customWidth="1"/>
    <col min="6" max="6" width="8.85546875" style="1" customWidth="1"/>
    <col min="7" max="7" width="9.85546875" style="1" customWidth="1"/>
    <col min="8" max="8" width="20.85546875" style="1" customWidth="1"/>
    <col min="9" max="9" width="5.7109375" style="1" customWidth="1"/>
    <col min="10" max="10" width="8.5703125" style="1" customWidth="1"/>
    <col min="11" max="11" width="7.5703125" style="1" customWidth="1"/>
    <col min="12" max="12" width="0.140625" style="1" hidden="1" customWidth="1"/>
    <col min="13" max="13" width="6.85546875" style="1" hidden="1" customWidth="1"/>
    <col min="14" max="14" width="9.42578125" style="1" hidden="1" customWidth="1"/>
    <col min="15" max="15" width="6.85546875" style="1" hidden="1" customWidth="1"/>
    <col min="16" max="16" width="7.7109375" style="1" hidden="1" customWidth="1"/>
    <col min="17" max="17" width="6.85546875" style="1" hidden="1" customWidth="1"/>
    <col min="18" max="18" width="49.28515625" style="1" customWidth="1"/>
    <col min="19" max="19" width="35" style="1" customWidth="1"/>
    <col min="22" max="22" width="9.28515625" customWidth="1"/>
    <col min="23" max="23" width="45.140625" customWidth="1"/>
    <col min="24" max="24" width="31.140625" customWidth="1"/>
  </cols>
  <sheetData>
    <row r="1" spans="1:236" ht="15.75" x14ac:dyDescent="0.25">
      <c r="A1" s="148"/>
      <c r="B1" s="148"/>
      <c r="C1" s="148"/>
      <c r="D1" s="148"/>
      <c r="E1" s="149"/>
      <c r="F1" s="150"/>
      <c r="G1" s="150"/>
      <c r="H1" s="151"/>
      <c r="I1" s="151"/>
      <c r="J1" s="152"/>
      <c r="K1" s="155" t="s">
        <v>1820</v>
      </c>
      <c r="L1" s="155"/>
      <c r="M1" s="155"/>
      <c r="N1" s="155"/>
      <c r="O1" s="155"/>
      <c r="P1" s="155"/>
      <c r="Q1" s="155"/>
      <c r="R1" s="155"/>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154"/>
      <c r="BS1" s="154"/>
      <c r="BT1" s="154"/>
      <c r="BU1" s="154"/>
      <c r="BV1" s="154"/>
      <c r="BW1" s="154"/>
      <c r="BX1" s="154"/>
      <c r="BY1" s="154"/>
      <c r="BZ1" s="154"/>
      <c r="CA1" s="154"/>
      <c r="CB1" s="154"/>
      <c r="CC1" s="154"/>
      <c r="CD1" s="154"/>
      <c r="CE1" s="154"/>
      <c r="CF1" s="154"/>
      <c r="CG1" s="154"/>
      <c r="CH1" s="154"/>
      <c r="CI1" s="154"/>
      <c r="CJ1" s="154"/>
      <c r="CK1" s="154"/>
      <c r="CL1" s="154"/>
      <c r="CM1" s="154"/>
      <c r="CN1" s="154"/>
      <c r="CO1" s="154"/>
      <c r="CP1" s="154"/>
      <c r="CQ1" s="154"/>
      <c r="CR1" s="154"/>
      <c r="CS1" s="154"/>
      <c r="CT1" s="154"/>
      <c r="CU1" s="154"/>
      <c r="CV1" s="154"/>
      <c r="CW1" s="154"/>
      <c r="CX1" s="154"/>
      <c r="CY1" s="154"/>
      <c r="CZ1" s="154"/>
      <c r="DA1" s="154"/>
      <c r="DB1" s="154"/>
      <c r="DC1" s="154"/>
      <c r="DD1" s="154"/>
      <c r="DE1" s="154"/>
      <c r="DF1" s="154"/>
      <c r="DG1" s="154"/>
      <c r="DH1" s="154"/>
      <c r="DI1" s="154"/>
      <c r="DJ1" s="154"/>
      <c r="DK1" s="154"/>
      <c r="DL1" s="154"/>
      <c r="DM1" s="154"/>
      <c r="DN1" s="154"/>
      <c r="DO1" s="154"/>
      <c r="DP1" s="154"/>
      <c r="DQ1" s="154"/>
      <c r="DR1" s="154"/>
      <c r="DS1" s="154"/>
      <c r="DT1" s="154"/>
      <c r="DU1" s="154"/>
      <c r="DV1" s="154"/>
      <c r="DW1" s="154"/>
      <c r="DX1" s="154"/>
      <c r="DY1" s="154"/>
      <c r="DZ1" s="154"/>
      <c r="EA1" s="154"/>
      <c r="EB1" s="154"/>
      <c r="EC1" s="154"/>
      <c r="ED1" s="154"/>
      <c r="EE1" s="154"/>
      <c r="EF1" s="154"/>
      <c r="EG1" s="154"/>
      <c r="EH1" s="154"/>
      <c r="EI1" s="154"/>
      <c r="EJ1" s="154"/>
      <c r="EK1" s="154"/>
      <c r="EL1" s="154"/>
      <c r="EM1" s="154"/>
      <c r="EN1" s="154"/>
      <c r="EO1" s="154"/>
      <c r="EP1" s="154"/>
      <c r="EQ1" s="154"/>
      <c r="ER1" s="154"/>
      <c r="ES1" s="154"/>
      <c r="ET1" s="154"/>
      <c r="EU1" s="154"/>
      <c r="EV1" s="154"/>
      <c r="EW1" s="154"/>
      <c r="EX1" s="154"/>
      <c r="EY1" s="154"/>
      <c r="EZ1" s="154"/>
      <c r="FA1" s="154"/>
      <c r="FB1" s="154"/>
      <c r="FC1" s="154"/>
      <c r="FD1" s="154"/>
      <c r="FE1" s="154"/>
      <c r="FF1" s="154"/>
      <c r="FG1" s="154"/>
      <c r="FH1" s="154"/>
      <c r="FI1" s="154"/>
      <c r="FJ1" s="154"/>
      <c r="FK1" s="154"/>
      <c r="FL1" s="154"/>
      <c r="FM1" s="154"/>
      <c r="FN1" s="154"/>
      <c r="FO1" s="154"/>
      <c r="FP1" s="154"/>
      <c r="FQ1" s="154"/>
      <c r="FR1" s="154"/>
      <c r="FS1" s="154"/>
      <c r="FT1" s="154"/>
      <c r="FU1" s="154"/>
      <c r="FV1" s="154"/>
      <c r="FW1" s="154"/>
      <c r="FX1" s="154"/>
      <c r="FY1" s="154"/>
      <c r="FZ1" s="154"/>
      <c r="GA1" s="154"/>
      <c r="GB1" s="154"/>
      <c r="GC1" s="154"/>
      <c r="GD1" s="154"/>
      <c r="GE1" s="154"/>
      <c r="GF1" s="154"/>
      <c r="GG1" s="154"/>
      <c r="GH1" s="154"/>
      <c r="GI1" s="154"/>
      <c r="GJ1" s="154"/>
      <c r="GK1" s="154"/>
      <c r="GL1" s="154"/>
      <c r="GM1" s="154"/>
      <c r="GN1" s="154"/>
      <c r="GO1" s="154"/>
      <c r="GP1" s="154"/>
      <c r="GQ1" s="154"/>
      <c r="GR1" s="154"/>
      <c r="GS1" s="154"/>
      <c r="GT1" s="154"/>
      <c r="GU1" s="154"/>
      <c r="GV1" s="154"/>
      <c r="GW1" s="154"/>
      <c r="GX1" s="154"/>
      <c r="GY1" s="154"/>
      <c r="GZ1" s="154"/>
      <c r="HA1" s="154"/>
      <c r="HB1" s="154"/>
      <c r="HC1" s="154"/>
      <c r="HD1" s="154"/>
      <c r="HE1" s="154"/>
      <c r="HF1" s="154"/>
      <c r="HG1" s="154"/>
      <c r="HH1" s="154"/>
      <c r="HI1" s="154"/>
      <c r="HJ1" s="154"/>
      <c r="HK1" s="154"/>
      <c r="HL1" s="154"/>
      <c r="HM1" s="154"/>
      <c r="HN1" s="154"/>
      <c r="HO1" s="154"/>
      <c r="HP1" s="154"/>
      <c r="HQ1" s="154"/>
      <c r="HR1" s="154"/>
      <c r="HS1" s="154"/>
      <c r="HT1" s="154"/>
      <c r="HU1" s="154"/>
      <c r="HV1" s="154"/>
      <c r="HW1" s="154"/>
      <c r="HX1" s="154"/>
      <c r="HY1" s="154"/>
      <c r="HZ1" s="154"/>
      <c r="IA1" s="154"/>
      <c r="IB1" s="154"/>
    </row>
    <row r="2" spans="1:236" ht="15.75" x14ac:dyDescent="0.25">
      <c r="A2" s="148"/>
      <c r="B2" s="148"/>
      <c r="C2" s="148"/>
      <c r="D2" s="148"/>
      <c r="E2" s="149"/>
      <c r="F2" s="150"/>
      <c r="G2" s="150"/>
      <c r="H2" s="151"/>
      <c r="I2" s="151"/>
      <c r="J2" s="152"/>
      <c r="K2" s="155" t="s">
        <v>1821</v>
      </c>
      <c r="L2" s="155"/>
      <c r="M2" s="155"/>
      <c r="N2" s="155"/>
      <c r="O2" s="155"/>
      <c r="P2" s="155"/>
      <c r="Q2" s="155"/>
      <c r="R2" s="155"/>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row>
    <row r="3" spans="1:236" ht="15.75" x14ac:dyDescent="0.25">
      <c r="A3" s="148"/>
      <c r="B3" s="148"/>
      <c r="C3" s="148"/>
      <c r="D3" s="148"/>
      <c r="E3" s="149"/>
      <c r="F3" s="150"/>
      <c r="G3" s="150"/>
      <c r="H3" s="151"/>
      <c r="I3" s="151"/>
      <c r="J3" s="152"/>
      <c r="K3" s="155" t="s">
        <v>1822</v>
      </c>
      <c r="L3" s="155"/>
      <c r="M3" s="155"/>
      <c r="N3" s="155"/>
      <c r="O3" s="155"/>
      <c r="P3" s="155"/>
      <c r="Q3" s="155"/>
      <c r="R3" s="155"/>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row>
    <row r="4" spans="1:236" ht="15.75" x14ac:dyDescent="0.25">
      <c r="A4" s="148"/>
      <c r="B4" s="148"/>
      <c r="C4" s="148"/>
      <c r="D4" s="148"/>
      <c r="E4" s="149"/>
      <c r="F4" s="150"/>
      <c r="G4" s="150"/>
      <c r="H4" s="151"/>
      <c r="I4" s="151"/>
      <c r="J4" s="152"/>
      <c r="K4" s="153"/>
      <c r="L4" s="153"/>
      <c r="M4" s="153"/>
      <c r="N4" s="153"/>
      <c r="O4" s="153"/>
      <c r="P4" s="153"/>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row>
    <row r="5" spans="1:236" s="91" customFormat="1" ht="15" customHeight="1" x14ac:dyDescent="0.25">
      <c r="K5" s="310" t="s">
        <v>1766</v>
      </c>
      <c r="L5" s="310"/>
      <c r="M5" s="310"/>
      <c r="N5" s="310"/>
      <c r="O5" s="310"/>
      <c r="P5" s="310"/>
      <c r="Q5" s="310"/>
      <c r="R5" s="310"/>
      <c r="S5" s="310"/>
    </row>
    <row r="6" spans="1:236" s="91" customFormat="1" ht="15" customHeight="1" x14ac:dyDescent="0.25">
      <c r="K6" s="310" t="s">
        <v>1767</v>
      </c>
      <c r="L6" s="310"/>
      <c r="M6" s="310"/>
      <c r="N6" s="310"/>
      <c r="O6" s="310"/>
      <c r="P6" s="310"/>
      <c r="Q6" s="310"/>
      <c r="R6" s="310"/>
      <c r="S6" s="310"/>
    </row>
    <row r="7" spans="1:236" s="91" customFormat="1" ht="15" customHeight="1" x14ac:dyDescent="0.25">
      <c r="K7" s="310" t="s">
        <v>1768</v>
      </c>
      <c r="L7" s="310"/>
      <c r="M7" s="310"/>
      <c r="N7" s="310"/>
      <c r="O7" s="310"/>
      <c r="P7" s="310"/>
      <c r="Q7" s="310"/>
      <c r="R7" s="310"/>
      <c r="S7" s="310"/>
    </row>
    <row r="8" spans="1:236" x14ac:dyDescent="0.25">
      <c r="A8" s="3"/>
      <c r="B8" s="3"/>
      <c r="C8" s="3"/>
      <c r="D8" s="3"/>
      <c r="E8" s="3"/>
      <c r="F8" s="3"/>
      <c r="G8" s="3"/>
      <c r="H8" s="3"/>
      <c r="I8" s="3"/>
      <c r="J8" s="3"/>
      <c r="K8" s="3"/>
      <c r="L8" s="3"/>
      <c r="M8" s="3"/>
      <c r="N8" s="3"/>
      <c r="O8" s="3"/>
      <c r="P8" s="3"/>
      <c r="Q8" s="3"/>
      <c r="R8" s="3"/>
      <c r="S8" s="3"/>
    </row>
    <row r="9" spans="1:236" ht="22.9" customHeight="1" x14ac:dyDescent="0.25">
      <c r="A9" s="54"/>
      <c r="B9" s="54"/>
      <c r="C9" s="54"/>
      <c r="D9" s="286" t="s">
        <v>1582</v>
      </c>
      <c r="E9" s="286"/>
      <c r="F9" s="286"/>
      <c r="G9" s="286"/>
      <c r="H9" s="286"/>
      <c r="I9" s="286"/>
      <c r="J9" s="286"/>
      <c r="K9" s="286"/>
      <c r="L9" s="286"/>
      <c r="M9" s="286"/>
      <c r="N9" s="286"/>
      <c r="O9" s="286"/>
      <c r="P9" s="286"/>
      <c r="Q9" s="286"/>
      <c r="R9" s="286"/>
      <c r="S9" s="55"/>
    </row>
    <row r="10" spans="1:236" ht="17.25" customHeight="1" x14ac:dyDescent="0.25">
      <c r="A10" s="54"/>
      <c r="B10" s="54"/>
      <c r="C10" s="54"/>
      <c r="D10" s="286" t="s">
        <v>1583</v>
      </c>
      <c r="E10" s="286"/>
      <c r="F10" s="286"/>
      <c r="G10" s="286"/>
      <c r="H10" s="286"/>
      <c r="I10" s="286"/>
      <c r="J10" s="286"/>
      <c r="K10" s="286"/>
      <c r="L10" s="286"/>
      <c r="M10" s="286"/>
      <c r="N10" s="286"/>
      <c r="O10" s="286"/>
      <c r="P10" s="286"/>
      <c r="Q10" s="286"/>
      <c r="R10" s="286"/>
      <c r="S10" s="55"/>
    </row>
    <row r="11" spans="1:236" x14ac:dyDescent="0.25">
      <c r="A11" s="3"/>
      <c r="B11" s="3"/>
      <c r="C11" s="3"/>
      <c r="D11" s="3"/>
      <c r="E11" s="3"/>
      <c r="F11" s="3"/>
      <c r="G11" s="3"/>
      <c r="H11" s="3"/>
      <c r="I11" s="3"/>
      <c r="J11" s="3"/>
      <c r="K11" s="3"/>
      <c r="L11" s="3"/>
      <c r="M11" s="3"/>
      <c r="N11" s="3"/>
      <c r="O11" s="3"/>
      <c r="P11" s="3"/>
      <c r="Q11" s="3"/>
      <c r="R11" s="3"/>
      <c r="S11" s="3"/>
    </row>
    <row r="12" spans="1:236" x14ac:dyDescent="0.25">
      <c r="A12" s="3"/>
      <c r="B12" s="3"/>
      <c r="C12" s="3"/>
      <c r="D12" s="3"/>
      <c r="E12" s="3"/>
      <c r="F12" s="3"/>
      <c r="G12" s="3"/>
      <c r="H12" s="3"/>
      <c r="I12" s="3"/>
      <c r="J12" s="3"/>
      <c r="K12" s="3"/>
      <c r="L12" s="3"/>
      <c r="M12" s="3"/>
      <c r="N12" s="3"/>
      <c r="O12" s="3"/>
      <c r="P12" s="3"/>
      <c r="Q12" s="3"/>
      <c r="R12" s="3"/>
      <c r="S12" s="3"/>
    </row>
    <row r="13" spans="1:236" ht="15.75" customHeight="1" x14ac:dyDescent="0.25">
      <c r="A13" s="291" t="s">
        <v>1586</v>
      </c>
      <c r="B13" s="287" t="s">
        <v>1584</v>
      </c>
      <c r="C13" s="287" t="s">
        <v>1585</v>
      </c>
      <c r="D13" s="292" t="s">
        <v>1587</v>
      </c>
      <c r="E13" s="287" t="s">
        <v>1591</v>
      </c>
      <c r="F13" s="287"/>
      <c r="G13" s="287"/>
      <c r="H13" s="287" t="s">
        <v>1592</v>
      </c>
      <c r="I13" s="287"/>
      <c r="J13" s="287"/>
      <c r="K13" s="287"/>
      <c r="L13" s="56"/>
      <c r="M13" s="56"/>
      <c r="N13" s="56"/>
      <c r="O13" s="56"/>
      <c r="P13" s="56"/>
      <c r="Q13" s="56"/>
      <c r="R13" s="287" t="s">
        <v>1595</v>
      </c>
      <c r="S13" s="287" t="s">
        <v>1596</v>
      </c>
    </row>
    <row r="14" spans="1:236" x14ac:dyDescent="0.25">
      <c r="A14" s="291"/>
      <c r="B14" s="287"/>
      <c r="C14" s="287"/>
      <c r="D14" s="293"/>
      <c r="E14" s="287"/>
      <c r="F14" s="287"/>
      <c r="G14" s="287"/>
      <c r="H14" s="287" t="s">
        <v>1</v>
      </c>
      <c r="I14" s="287" t="s">
        <v>5</v>
      </c>
      <c r="J14" s="287" t="s">
        <v>1593</v>
      </c>
      <c r="K14" s="287" t="s">
        <v>1594</v>
      </c>
      <c r="L14" s="287" t="s">
        <v>6</v>
      </c>
      <c r="M14" s="287"/>
      <c r="N14" s="287" t="s">
        <v>7</v>
      </c>
      <c r="O14" s="287"/>
      <c r="P14" s="287" t="s">
        <v>8</v>
      </c>
      <c r="Q14" s="287"/>
      <c r="R14" s="287"/>
      <c r="S14" s="287"/>
    </row>
    <row r="15" spans="1:236" ht="92.25" customHeight="1" x14ac:dyDescent="0.25">
      <c r="A15" s="291"/>
      <c r="B15" s="287"/>
      <c r="C15" s="287"/>
      <c r="D15" s="294"/>
      <c r="E15" s="56" t="s">
        <v>1588</v>
      </c>
      <c r="F15" s="56" t="s">
        <v>1589</v>
      </c>
      <c r="G15" s="56" t="s">
        <v>1590</v>
      </c>
      <c r="H15" s="287"/>
      <c r="I15" s="287"/>
      <c r="J15" s="287"/>
      <c r="K15" s="287"/>
      <c r="L15" s="44" t="s">
        <v>9</v>
      </c>
      <c r="M15" s="44" t="s">
        <v>10</v>
      </c>
      <c r="N15" s="44" t="s">
        <v>9</v>
      </c>
      <c r="O15" s="44" t="s">
        <v>10</v>
      </c>
      <c r="P15" s="44" t="s">
        <v>9</v>
      </c>
      <c r="Q15" s="44" t="s">
        <v>10</v>
      </c>
      <c r="R15" s="287"/>
      <c r="S15" s="287"/>
    </row>
    <row r="16" spans="1:236" ht="55.5" customHeight="1" thickBot="1" x14ac:dyDescent="0.3">
      <c r="A16" s="57" t="s">
        <v>11</v>
      </c>
      <c r="B16" s="283" t="s">
        <v>12</v>
      </c>
      <c r="C16" s="284"/>
      <c r="D16" s="285"/>
      <c r="E16" s="58">
        <f>E17+E28+E35+E40+E45</f>
        <v>601.29999999999995</v>
      </c>
      <c r="F16" s="58">
        <f>F17+F28+F35+F40+F45</f>
        <v>601.29999999999995</v>
      </c>
      <c r="G16" s="58">
        <f>G17+G28+G35+G40+G45</f>
        <v>471.6</v>
      </c>
      <c r="H16" s="288"/>
      <c r="I16" s="289"/>
      <c r="J16" s="289"/>
      <c r="K16" s="289"/>
      <c r="L16" s="289"/>
      <c r="M16" s="289"/>
      <c r="N16" s="289"/>
      <c r="O16" s="289"/>
      <c r="P16" s="289"/>
      <c r="Q16" s="289"/>
      <c r="R16" s="289"/>
      <c r="S16" s="290"/>
    </row>
    <row r="17" spans="1:24" ht="45.75" customHeight="1" thickBot="1" x14ac:dyDescent="0.3">
      <c r="A17" s="8" t="s">
        <v>14</v>
      </c>
      <c r="B17" s="174" t="s">
        <v>15</v>
      </c>
      <c r="C17" s="175"/>
      <c r="D17" s="176"/>
      <c r="E17" s="11">
        <f>SUM(E18:E18)</f>
        <v>119.1</v>
      </c>
      <c r="F17" s="11">
        <f>SUM(F18:F18)</f>
        <v>138.69999999999999</v>
      </c>
      <c r="G17" s="11">
        <f>SUM(G18:G18)</f>
        <v>48.6</v>
      </c>
      <c r="H17" s="177"/>
      <c r="I17" s="178"/>
      <c r="J17" s="178"/>
      <c r="K17" s="178"/>
      <c r="L17" s="178"/>
      <c r="M17" s="178"/>
      <c r="N17" s="178"/>
      <c r="O17" s="178"/>
      <c r="P17" s="178"/>
      <c r="Q17" s="178"/>
      <c r="R17" s="178"/>
      <c r="S17" s="179"/>
      <c r="V17" s="110"/>
      <c r="W17" s="111" t="s">
        <v>1</v>
      </c>
      <c r="X17" s="111" t="s">
        <v>1813</v>
      </c>
    </row>
    <row r="18" spans="1:24" ht="60.75" customHeight="1" thickBot="1" x14ac:dyDescent="0.3">
      <c r="A18" s="12" t="s">
        <v>16</v>
      </c>
      <c r="B18" s="168" t="s">
        <v>17</v>
      </c>
      <c r="C18" s="169"/>
      <c r="D18" s="170"/>
      <c r="E18" s="15">
        <f>E19+E21+E24+E25</f>
        <v>119.1</v>
      </c>
      <c r="F18" s="15">
        <f>F19+F21+F24+F25</f>
        <v>138.69999999999999</v>
      </c>
      <c r="G18" s="15">
        <f>G19+G21+G24+G25</f>
        <v>48.6</v>
      </c>
      <c r="H18" s="171"/>
      <c r="I18" s="172"/>
      <c r="J18" s="172"/>
      <c r="K18" s="172"/>
      <c r="L18" s="172"/>
      <c r="M18" s="172"/>
      <c r="N18" s="172"/>
      <c r="O18" s="172"/>
      <c r="P18" s="172"/>
      <c r="Q18" s="172"/>
      <c r="R18" s="172"/>
      <c r="S18" s="173"/>
      <c r="V18" s="117"/>
      <c r="W18" s="112" t="s">
        <v>1814</v>
      </c>
      <c r="X18" s="113">
        <v>5</v>
      </c>
    </row>
    <row r="19" spans="1:24" ht="31.5" customHeight="1" x14ac:dyDescent="0.25">
      <c r="A19" s="200" t="s">
        <v>18</v>
      </c>
      <c r="B19" s="187" t="s">
        <v>19</v>
      </c>
      <c r="C19" s="183" t="s">
        <v>1580</v>
      </c>
      <c r="D19" s="51"/>
      <c r="E19" s="52">
        <f>SUM(E20:E20)</f>
        <v>7</v>
      </c>
      <c r="F19" s="52"/>
      <c r="G19" s="52"/>
      <c r="H19" s="187" t="s">
        <v>20</v>
      </c>
      <c r="I19" s="181" t="s">
        <v>21</v>
      </c>
      <c r="J19" s="183">
        <v>1</v>
      </c>
      <c r="K19" s="198">
        <v>0</v>
      </c>
      <c r="L19" s="24"/>
      <c r="M19" s="24"/>
      <c r="N19" s="24"/>
      <c r="O19" s="24"/>
      <c r="P19" s="24"/>
      <c r="Q19" s="24"/>
      <c r="R19" s="181"/>
      <c r="S19" s="189" t="s">
        <v>24</v>
      </c>
      <c r="V19" s="118"/>
      <c r="W19" s="112" t="s">
        <v>1815</v>
      </c>
      <c r="X19" s="113">
        <v>3</v>
      </c>
    </row>
    <row r="20" spans="1:24" ht="49.5" customHeight="1" thickBot="1" x14ac:dyDescent="0.3">
      <c r="A20" s="202"/>
      <c r="B20" s="188"/>
      <c r="C20" s="184"/>
      <c r="D20" s="28" t="s">
        <v>25</v>
      </c>
      <c r="E20" s="29">
        <v>7</v>
      </c>
      <c r="F20" s="29"/>
      <c r="G20" s="29"/>
      <c r="H20" s="188"/>
      <c r="I20" s="182"/>
      <c r="J20" s="184"/>
      <c r="K20" s="199"/>
      <c r="L20" s="31" t="s">
        <v>22</v>
      </c>
      <c r="M20" s="31" t="s">
        <v>22</v>
      </c>
      <c r="N20" s="31" t="s">
        <v>22</v>
      </c>
      <c r="O20" s="31" t="s">
        <v>23</v>
      </c>
      <c r="P20" s="31"/>
      <c r="Q20" s="31"/>
      <c r="R20" s="182"/>
      <c r="S20" s="190"/>
      <c r="V20" s="116"/>
      <c r="W20" s="112" t="s">
        <v>1816</v>
      </c>
      <c r="X20" s="113">
        <v>3</v>
      </c>
    </row>
    <row r="21" spans="1:24" ht="75" x14ac:dyDescent="0.25">
      <c r="A21" s="200" t="s">
        <v>26</v>
      </c>
      <c r="B21" s="187" t="s">
        <v>27</v>
      </c>
      <c r="C21" s="183" t="s">
        <v>1580</v>
      </c>
      <c r="D21" s="51"/>
      <c r="E21" s="52">
        <f>SUM(E22:E23)</f>
        <v>49</v>
      </c>
      <c r="F21" s="52">
        <f>SUM(F22:F23)</f>
        <v>49</v>
      </c>
      <c r="G21" s="52">
        <f>SUM(G22:G23)</f>
        <v>3.2</v>
      </c>
      <c r="H21" s="21" t="s">
        <v>28</v>
      </c>
      <c r="I21" s="23" t="s">
        <v>21</v>
      </c>
      <c r="J21" s="50">
        <v>1</v>
      </c>
      <c r="K21" s="63">
        <v>0</v>
      </c>
      <c r="L21" s="24"/>
      <c r="M21" s="24"/>
      <c r="N21" s="24"/>
      <c r="O21" s="24"/>
      <c r="P21" s="24"/>
      <c r="Q21" s="24"/>
      <c r="R21" s="21" t="s">
        <v>29</v>
      </c>
      <c r="S21" s="25" t="s">
        <v>1598</v>
      </c>
      <c r="V21" s="114"/>
      <c r="W21" s="119" t="s">
        <v>1817</v>
      </c>
      <c r="X21" s="115">
        <v>11</v>
      </c>
    </row>
    <row r="22" spans="1:24" ht="60" x14ac:dyDescent="0.25">
      <c r="A22" s="201"/>
      <c r="B22" s="203"/>
      <c r="C22" s="205"/>
      <c r="D22" s="214" t="s">
        <v>30</v>
      </c>
      <c r="E22" s="270">
        <v>49</v>
      </c>
      <c r="F22" s="270">
        <v>49</v>
      </c>
      <c r="G22" s="270">
        <v>3.2</v>
      </c>
      <c r="H22" s="28" t="s">
        <v>31</v>
      </c>
      <c r="I22" s="30" t="s">
        <v>21</v>
      </c>
      <c r="J22" s="62">
        <v>1</v>
      </c>
      <c r="K22" s="64">
        <v>0</v>
      </c>
      <c r="L22" s="31"/>
      <c r="M22" s="31"/>
      <c r="N22" s="31"/>
      <c r="O22" s="31"/>
      <c r="P22" s="31"/>
      <c r="Q22" s="31"/>
      <c r="R22" s="28" t="s">
        <v>1597</v>
      </c>
      <c r="S22" s="32"/>
    </row>
    <row r="23" spans="1:24" ht="91.5" customHeight="1" thickBot="1" x14ac:dyDescent="0.3">
      <c r="A23" s="201"/>
      <c r="B23" s="203"/>
      <c r="C23" s="205"/>
      <c r="D23" s="204"/>
      <c r="E23" s="271"/>
      <c r="F23" s="271"/>
      <c r="G23" s="271"/>
      <c r="H23" s="28" t="s">
        <v>32</v>
      </c>
      <c r="I23" s="30" t="s">
        <v>21</v>
      </c>
      <c r="J23" s="62">
        <v>1</v>
      </c>
      <c r="K23" s="64">
        <v>0</v>
      </c>
      <c r="L23" s="31"/>
      <c r="M23" s="31"/>
      <c r="N23" s="31"/>
      <c r="O23" s="31"/>
      <c r="P23" s="31"/>
      <c r="Q23" s="31"/>
      <c r="R23" s="28" t="s">
        <v>33</v>
      </c>
      <c r="S23" s="32" t="s">
        <v>1599</v>
      </c>
    </row>
    <row r="24" spans="1:24" ht="258" customHeight="1" thickBot="1" x14ac:dyDescent="0.3">
      <c r="A24" s="19" t="s">
        <v>35</v>
      </c>
      <c r="B24" s="20" t="s">
        <v>36</v>
      </c>
      <c r="C24" s="50" t="s">
        <v>1580</v>
      </c>
      <c r="D24" s="23" t="s">
        <v>25</v>
      </c>
      <c r="E24" s="33"/>
      <c r="F24" s="33">
        <v>26.6</v>
      </c>
      <c r="G24" s="33"/>
      <c r="H24" s="21" t="s">
        <v>37</v>
      </c>
      <c r="I24" s="23" t="s">
        <v>21</v>
      </c>
      <c r="J24" s="50">
        <v>1</v>
      </c>
      <c r="K24" s="63" t="s">
        <v>1797</v>
      </c>
      <c r="L24" s="24"/>
      <c r="M24" s="24"/>
      <c r="N24" s="24"/>
      <c r="O24" s="24"/>
      <c r="P24" s="24"/>
      <c r="Q24" s="24"/>
      <c r="R24" s="21" t="s">
        <v>1600</v>
      </c>
      <c r="S24" s="25" t="s">
        <v>1601</v>
      </c>
    </row>
    <row r="25" spans="1:24" ht="27" customHeight="1" x14ac:dyDescent="0.25">
      <c r="A25" s="200" t="s">
        <v>38</v>
      </c>
      <c r="B25" s="187" t="s">
        <v>39</v>
      </c>
      <c r="C25" s="50" t="s">
        <v>1580</v>
      </c>
      <c r="D25" s="51"/>
      <c r="E25" s="52">
        <f>SUM(E26:E27)</f>
        <v>63.1</v>
      </c>
      <c r="F25" s="52">
        <f>SUM(F26:F27)</f>
        <v>63.1</v>
      </c>
      <c r="G25" s="52">
        <f>SUM(G26:G27)-0.1</f>
        <v>45.4</v>
      </c>
      <c r="H25" s="187" t="s">
        <v>40</v>
      </c>
      <c r="I25" s="181" t="s">
        <v>21</v>
      </c>
      <c r="J25" s="183">
        <v>130</v>
      </c>
      <c r="K25" s="164">
        <v>170</v>
      </c>
      <c r="L25" s="24" t="s">
        <v>42</v>
      </c>
      <c r="M25" s="24" t="s">
        <v>23</v>
      </c>
      <c r="N25" s="24" t="s">
        <v>43</v>
      </c>
      <c r="O25" s="24" t="s">
        <v>23</v>
      </c>
      <c r="P25" s="24"/>
      <c r="Q25" s="24"/>
      <c r="R25" s="187" t="s">
        <v>44</v>
      </c>
      <c r="S25" s="189" t="s">
        <v>1602</v>
      </c>
    </row>
    <row r="26" spans="1:24" ht="40.5" customHeight="1" x14ac:dyDescent="0.25">
      <c r="A26" s="201"/>
      <c r="B26" s="203"/>
      <c r="C26" s="28"/>
      <c r="D26" s="28" t="s">
        <v>25</v>
      </c>
      <c r="E26" s="29">
        <v>7</v>
      </c>
      <c r="F26" s="29">
        <v>7</v>
      </c>
      <c r="G26" s="29">
        <v>3.9</v>
      </c>
      <c r="H26" s="203"/>
      <c r="I26" s="204"/>
      <c r="J26" s="205"/>
      <c r="K26" s="206"/>
      <c r="L26" s="31"/>
      <c r="M26" s="31"/>
      <c r="N26" s="31"/>
      <c r="O26" s="31"/>
      <c r="P26" s="31"/>
      <c r="Q26" s="31"/>
      <c r="R26" s="203"/>
      <c r="S26" s="191"/>
    </row>
    <row r="27" spans="1:24" ht="51" customHeight="1" thickBot="1" x14ac:dyDescent="0.3">
      <c r="A27" s="202"/>
      <c r="B27" s="188"/>
      <c r="C27" s="28"/>
      <c r="D27" s="28" t="s">
        <v>30</v>
      </c>
      <c r="E27" s="29">
        <v>56.1</v>
      </c>
      <c r="F27" s="29">
        <v>56.1</v>
      </c>
      <c r="G27" s="29">
        <v>41.6</v>
      </c>
      <c r="H27" s="188"/>
      <c r="I27" s="182"/>
      <c r="J27" s="184"/>
      <c r="K27" s="165"/>
      <c r="L27" s="31"/>
      <c r="M27" s="31"/>
      <c r="N27" s="31"/>
      <c r="O27" s="31"/>
      <c r="P27" s="31"/>
      <c r="Q27" s="31"/>
      <c r="R27" s="188"/>
      <c r="S27" s="190"/>
    </row>
    <row r="28" spans="1:24" ht="44.25" customHeight="1" thickBot="1" x14ac:dyDescent="0.3">
      <c r="A28" s="8" t="s">
        <v>45</v>
      </c>
      <c r="B28" s="174" t="s">
        <v>46</v>
      </c>
      <c r="C28" s="175"/>
      <c r="D28" s="176"/>
      <c r="E28" s="11">
        <f>SUM(E29:E29)</f>
        <v>116.8</v>
      </c>
      <c r="F28" s="11">
        <f>SUM(F29:F29)</f>
        <v>61.4</v>
      </c>
      <c r="G28" s="11">
        <f>SUM(G29:G29)</f>
        <v>58.4</v>
      </c>
      <c r="H28" s="177"/>
      <c r="I28" s="178"/>
      <c r="J28" s="178"/>
      <c r="K28" s="178"/>
      <c r="L28" s="178"/>
      <c r="M28" s="178"/>
      <c r="N28" s="178"/>
      <c r="O28" s="178"/>
      <c r="P28" s="178"/>
      <c r="Q28" s="178"/>
      <c r="R28" s="178"/>
      <c r="S28" s="179"/>
    </row>
    <row r="29" spans="1:24" ht="45" customHeight="1" thickBot="1" x14ac:dyDescent="0.3">
      <c r="A29" s="12" t="s">
        <v>47</v>
      </c>
      <c r="B29" s="168" t="s">
        <v>48</v>
      </c>
      <c r="C29" s="169"/>
      <c r="D29" s="170"/>
      <c r="E29" s="15">
        <f>E30+E34</f>
        <v>116.8</v>
      </c>
      <c r="F29" s="15">
        <f>F30+F34</f>
        <v>61.4</v>
      </c>
      <c r="G29" s="15">
        <f>G30+G34</f>
        <v>58.4</v>
      </c>
      <c r="H29" s="171"/>
      <c r="I29" s="172"/>
      <c r="J29" s="172"/>
      <c r="K29" s="172"/>
      <c r="L29" s="172"/>
      <c r="M29" s="172"/>
      <c r="N29" s="172"/>
      <c r="O29" s="172"/>
      <c r="P29" s="172"/>
      <c r="Q29" s="172"/>
      <c r="R29" s="172"/>
      <c r="S29" s="173"/>
    </row>
    <row r="30" spans="1:24" ht="105" x14ac:dyDescent="0.25">
      <c r="A30" s="200" t="s">
        <v>49</v>
      </c>
      <c r="B30" s="187" t="s">
        <v>50</v>
      </c>
      <c r="C30" s="183" t="s">
        <v>1580</v>
      </c>
      <c r="D30" s="51"/>
      <c r="E30" s="52">
        <f>SUM(E31:E33)</f>
        <v>70</v>
      </c>
      <c r="F30" s="52">
        <f>SUM(F31:F33)</f>
        <v>59.4</v>
      </c>
      <c r="G30" s="52">
        <f>SUM(G31:G33)-0.1</f>
        <v>56.4</v>
      </c>
      <c r="H30" s="21" t="s">
        <v>51</v>
      </c>
      <c r="I30" s="23" t="s">
        <v>21</v>
      </c>
      <c r="J30" s="50">
        <v>0</v>
      </c>
      <c r="K30" s="66">
        <v>2</v>
      </c>
      <c r="L30" s="24" t="s">
        <v>34</v>
      </c>
      <c r="M30" s="24" t="s">
        <v>23</v>
      </c>
      <c r="N30" s="24" t="s">
        <v>34</v>
      </c>
      <c r="O30" s="24" t="s">
        <v>23</v>
      </c>
      <c r="P30" s="24"/>
      <c r="Q30" s="24"/>
      <c r="R30" s="21" t="s">
        <v>1603</v>
      </c>
      <c r="S30" s="25"/>
    </row>
    <row r="31" spans="1:24" ht="77.25" customHeight="1" x14ac:dyDescent="0.25">
      <c r="A31" s="201"/>
      <c r="B31" s="203"/>
      <c r="C31" s="205"/>
      <c r="D31" s="28" t="s">
        <v>25</v>
      </c>
      <c r="E31" s="29">
        <v>3</v>
      </c>
      <c r="F31" s="29">
        <v>3.8</v>
      </c>
      <c r="G31" s="29">
        <v>3</v>
      </c>
      <c r="H31" s="28" t="s">
        <v>53</v>
      </c>
      <c r="I31" s="30" t="s">
        <v>21</v>
      </c>
      <c r="J31" s="62">
        <v>1</v>
      </c>
      <c r="K31" s="65">
        <v>1</v>
      </c>
      <c r="L31" s="31"/>
      <c r="M31" s="31"/>
      <c r="N31" s="31"/>
      <c r="O31" s="31"/>
      <c r="P31" s="31"/>
      <c r="Q31" s="31"/>
      <c r="R31" s="28" t="s">
        <v>54</v>
      </c>
      <c r="S31" s="32"/>
    </row>
    <row r="32" spans="1:24" ht="82.5" customHeight="1" x14ac:dyDescent="0.25">
      <c r="A32" s="201"/>
      <c r="B32" s="203"/>
      <c r="C32" s="205"/>
      <c r="D32" s="214" t="s">
        <v>30</v>
      </c>
      <c r="E32" s="270">
        <v>67</v>
      </c>
      <c r="F32" s="270">
        <v>55.6</v>
      </c>
      <c r="G32" s="270">
        <v>53.5</v>
      </c>
      <c r="H32" s="28" t="s">
        <v>55</v>
      </c>
      <c r="I32" s="30" t="s">
        <v>21</v>
      </c>
      <c r="J32" s="62">
        <v>1</v>
      </c>
      <c r="K32" s="64">
        <v>0</v>
      </c>
      <c r="L32" s="31"/>
      <c r="M32" s="31"/>
      <c r="N32" s="31"/>
      <c r="O32" s="31"/>
      <c r="P32" s="31"/>
      <c r="Q32" s="31"/>
      <c r="R32" s="28" t="s">
        <v>56</v>
      </c>
      <c r="S32" s="32" t="s">
        <v>1604</v>
      </c>
    </row>
    <row r="33" spans="1:19" ht="77.25" customHeight="1" thickBot="1" x14ac:dyDescent="0.3">
      <c r="A33" s="202"/>
      <c r="B33" s="188"/>
      <c r="C33" s="184"/>
      <c r="D33" s="182"/>
      <c r="E33" s="274"/>
      <c r="F33" s="274"/>
      <c r="G33" s="274"/>
      <c r="H33" s="28" t="s">
        <v>57</v>
      </c>
      <c r="I33" s="30" t="s">
        <v>21</v>
      </c>
      <c r="J33" s="62">
        <v>1</v>
      </c>
      <c r="K33" s="65">
        <v>1</v>
      </c>
      <c r="L33" s="31"/>
      <c r="M33" s="31"/>
      <c r="N33" s="31"/>
      <c r="O33" s="31"/>
      <c r="P33" s="31"/>
      <c r="Q33" s="31"/>
      <c r="R33" s="28" t="s">
        <v>58</v>
      </c>
      <c r="S33" s="32"/>
    </row>
    <row r="34" spans="1:19" ht="171" customHeight="1" thickBot="1" x14ac:dyDescent="0.3">
      <c r="A34" s="19" t="s">
        <v>59</v>
      </c>
      <c r="B34" s="20" t="s">
        <v>60</v>
      </c>
      <c r="C34" s="50" t="s">
        <v>1580</v>
      </c>
      <c r="D34" s="21" t="s">
        <v>25</v>
      </c>
      <c r="E34" s="33">
        <v>46.8</v>
      </c>
      <c r="F34" s="33">
        <v>2</v>
      </c>
      <c r="G34" s="33">
        <v>2</v>
      </c>
      <c r="H34" s="21" t="s">
        <v>61</v>
      </c>
      <c r="I34" s="23" t="s">
        <v>21</v>
      </c>
      <c r="J34" s="50">
        <v>1</v>
      </c>
      <c r="K34" s="66">
        <v>1</v>
      </c>
      <c r="L34" s="24" t="s">
        <v>22</v>
      </c>
      <c r="M34" s="24" t="s">
        <v>23</v>
      </c>
      <c r="N34" s="24" t="s">
        <v>22</v>
      </c>
      <c r="O34" s="24" t="s">
        <v>23</v>
      </c>
      <c r="P34" s="24"/>
      <c r="Q34" s="24"/>
      <c r="R34" s="21" t="s">
        <v>62</v>
      </c>
      <c r="S34" s="25"/>
    </row>
    <row r="35" spans="1:19" ht="30.75" customHeight="1" thickBot="1" x14ac:dyDescent="0.3">
      <c r="A35" s="8" t="s">
        <v>63</v>
      </c>
      <c r="B35" s="174" t="s">
        <v>64</v>
      </c>
      <c r="C35" s="175"/>
      <c r="D35" s="176"/>
      <c r="E35" s="11">
        <f>SUM(E36:E36)</f>
        <v>6.5</v>
      </c>
      <c r="F35" s="11">
        <f>SUM(F36:F36)</f>
        <v>4</v>
      </c>
      <c r="G35" s="11">
        <f>SUM(G36:G36)</f>
        <v>2.1</v>
      </c>
      <c r="H35" s="177"/>
      <c r="I35" s="178"/>
      <c r="J35" s="178"/>
      <c r="K35" s="178"/>
      <c r="L35" s="178"/>
      <c r="M35" s="178"/>
      <c r="N35" s="178"/>
      <c r="O35" s="178"/>
      <c r="P35" s="178"/>
      <c r="Q35" s="178"/>
      <c r="R35" s="178"/>
      <c r="S35" s="179"/>
    </row>
    <row r="36" spans="1:19" ht="27.75" customHeight="1" thickBot="1" x14ac:dyDescent="0.3">
      <c r="A36" s="12" t="s">
        <v>65</v>
      </c>
      <c r="B36" s="168" t="s">
        <v>66</v>
      </c>
      <c r="C36" s="169"/>
      <c r="D36" s="170"/>
      <c r="E36" s="15">
        <f>SUM(E37:E39)</f>
        <v>6.5</v>
      </c>
      <c r="F36" s="15">
        <f>SUM(F37:F39)</f>
        <v>4</v>
      </c>
      <c r="G36" s="15">
        <f>SUM(G37:G39)</f>
        <v>2.1</v>
      </c>
      <c r="H36" s="171"/>
      <c r="I36" s="172"/>
      <c r="J36" s="172"/>
      <c r="K36" s="172"/>
      <c r="L36" s="172"/>
      <c r="M36" s="172"/>
      <c r="N36" s="172"/>
      <c r="O36" s="172"/>
      <c r="P36" s="172"/>
      <c r="Q36" s="172"/>
      <c r="R36" s="172"/>
      <c r="S36" s="173"/>
    </row>
    <row r="37" spans="1:19" ht="60.75" hidden="1" thickBot="1" x14ac:dyDescent="0.3">
      <c r="A37" s="19"/>
      <c r="B37" s="20"/>
      <c r="C37" s="50"/>
      <c r="D37" s="21"/>
      <c r="E37" s="33"/>
      <c r="F37" s="33"/>
      <c r="G37" s="33"/>
      <c r="H37" s="21"/>
      <c r="I37" s="23"/>
      <c r="J37" s="46"/>
      <c r="K37" s="46"/>
      <c r="L37" s="24" t="s">
        <v>22</v>
      </c>
      <c r="M37" s="24" t="s">
        <v>23</v>
      </c>
      <c r="N37" s="24" t="s">
        <v>22</v>
      </c>
      <c r="O37" s="24" t="s">
        <v>23</v>
      </c>
      <c r="P37" s="24"/>
      <c r="Q37" s="24"/>
      <c r="R37" s="21"/>
      <c r="S37" s="25"/>
    </row>
    <row r="38" spans="1:19" ht="93" customHeight="1" thickBot="1" x14ac:dyDescent="0.3">
      <c r="A38" s="19" t="s">
        <v>67</v>
      </c>
      <c r="B38" s="20" t="s">
        <v>68</v>
      </c>
      <c r="C38" s="50" t="s">
        <v>1580</v>
      </c>
      <c r="D38" s="21" t="s">
        <v>25</v>
      </c>
      <c r="E38" s="33">
        <v>1.5</v>
      </c>
      <c r="F38" s="33">
        <v>1.5</v>
      </c>
      <c r="G38" s="33">
        <v>1.5</v>
      </c>
      <c r="H38" s="21" t="s">
        <v>69</v>
      </c>
      <c r="I38" s="23" t="s">
        <v>21</v>
      </c>
      <c r="J38" s="50">
        <v>1</v>
      </c>
      <c r="K38" s="66">
        <v>1</v>
      </c>
      <c r="L38" s="24" t="s">
        <v>22</v>
      </c>
      <c r="M38" s="24" t="s">
        <v>23</v>
      </c>
      <c r="N38" s="24" t="s">
        <v>22</v>
      </c>
      <c r="O38" s="24" t="s">
        <v>23</v>
      </c>
      <c r="P38" s="24"/>
      <c r="Q38" s="24"/>
      <c r="R38" s="21" t="s">
        <v>70</v>
      </c>
      <c r="S38" s="25"/>
    </row>
    <row r="39" spans="1:19" ht="84.75" customHeight="1" thickBot="1" x14ac:dyDescent="0.3">
      <c r="A39" s="19" t="s">
        <v>71</v>
      </c>
      <c r="B39" s="20" t="s">
        <v>72</v>
      </c>
      <c r="C39" s="50" t="s">
        <v>1580</v>
      </c>
      <c r="D39" s="21" t="s">
        <v>25</v>
      </c>
      <c r="E39" s="33">
        <v>5</v>
      </c>
      <c r="F39" s="33">
        <v>2.5</v>
      </c>
      <c r="G39" s="33">
        <v>0.6</v>
      </c>
      <c r="H39" s="21" t="s">
        <v>73</v>
      </c>
      <c r="I39" s="23" t="s">
        <v>21</v>
      </c>
      <c r="J39" s="50">
        <v>1</v>
      </c>
      <c r="K39" s="66">
        <v>1</v>
      </c>
      <c r="L39" s="24" t="s">
        <v>22</v>
      </c>
      <c r="M39" s="24" t="s">
        <v>23</v>
      </c>
      <c r="N39" s="24" t="s">
        <v>22</v>
      </c>
      <c r="O39" s="24" t="s">
        <v>23</v>
      </c>
      <c r="P39" s="24"/>
      <c r="Q39" s="24"/>
      <c r="R39" s="21" t="s">
        <v>74</v>
      </c>
      <c r="S39" s="25"/>
    </row>
    <row r="40" spans="1:19" ht="45.75" customHeight="1" thickBot="1" x14ac:dyDescent="0.3">
      <c r="A40" s="8" t="s">
        <v>75</v>
      </c>
      <c r="B40" s="174" t="s">
        <v>76</v>
      </c>
      <c r="C40" s="175"/>
      <c r="D40" s="176"/>
      <c r="E40" s="11">
        <f>E41+E43</f>
        <v>24.4</v>
      </c>
      <c r="F40" s="11">
        <f>F41+F43</f>
        <v>24.4</v>
      </c>
      <c r="G40" s="11">
        <f>G41+G43</f>
        <v>23</v>
      </c>
      <c r="H40" s="177"/>
      <c r="I40" s="178"/>
      <c r="J40" s="178"/>
      <c r="K40" s="178"/>
      <c r="L40" s="178"/>
      <c r="M40" s="178"/>
      <c r="N40" s="178"/>
      <c r="O40" s="178"/>
      <c r="P40" s="178"/>
      <c r="Q40" s="178"/>
      <c r="R40" s="178"/>
      <c r="S40" s="179"/>
    </row>
    <row r="41" spans="1:19" ht="45.75" customHeight="1" thickBot="1" x14ac:dyDescent="0.3">
      <c r="A41" s="12" t="s">
        <v>77</v>
      </c>
      <c r="B41" s="168" t="s">
        <v>78</v>
      </c>
      <c r="C41" s="169"/>
      <c r="D41" s="170"/>
      <c r="E41" s="15">
        <f>SUM(E42:E42)</f>
        <v>12.1</v>
      </c>
      <c r="F41" s="15">
        <f>SUM(F42:F42)</f>
        <v>12.1</v>
      </c>
      <c r="G41" s="15">
        <f>SUM(G42:G42)</f>
        <v>11.8</v>
      </c>
      <c r="H41" s="171"/>
      <c r="I41" s="172"/>
      <c r="J41" s="172"/>
      <c r="K41" s="172"/>
      <c r="L41" s="172"/>
      <c r="M41" s="172"/>
      <c r="N41" s="172"/>
      <c r="O41" s="172"/>
      <c r="P41" s="172"/>
      <c r="Q41" s="172"/>
      <c r="R41" s="172"/>
      <c r="S41" s="173"/>
    </row>
    <row r="42" spans="1:19" ht="165.75" customHeight="1" thickBot="1" x14ac:dyDescent="0.3">
      <c r="A42" s="19" t="s">
        <v>79</v>
      </c>
      <c r="B42" s="20" t="s">
        <v>80</v>
      </c>
      <c r="C42" s="49"/>
      <c r="D42" s="21" t="s">
        <v>25</v>
      </c>
      <c r="E42" s="33">
        <v>12.1</v>
      </c>
      <c r="F42" s="33">
        <v>12.1</v>
      </c>
      <c r="G42" s="33">
        <v>11.8</v>
      </c>
      <c r="H42" s="21" t="s">
        <v>81</v>
      </c>
      <c r="I42" s="23" t="s">
        <v>21</v>
      </c>
      <c r="J42" s="50">
        <v>3</v>
      </c>
      <c r="K42" s="66">
        <v>5</v>
      </c>
      <c r="L42" s="24" t="s">
        <v>34</v>
      </c>
      <c r="M42" s="24" t="s">
        <v>23</v>
      </c>
      <c r="N42" s="24" t="s">
        <v>34</v>
      </c>
      <c r="O42" s="24" t="s">
        <v>23</v>
      </c>
      <c r="P42" s="24"/>
      <c r="Q42" s="24"/>
      <c r="R42" s="21" t="s">
        <v>83</v>
      </c>
      <c r="S42" s="25"/>
    </row>
    <row r="43" spans="1:19" ht="39" customHeight="1" thickBot="1" x14ac:dyDescent="0.3">
      <c r="A43" s="12" t="s">
        <v>84</v>
      </c>
      <c r="B43" s="168" t="s">
        <v>85</v>
      </c>
      <c r="C43" s="169"/>
      <c r="D43" s="170"/>
      <c r="E43" s="15">
        <f>SUM(E44:E44)</f>
        <v>12.3</v>
      </c>
      <c r="F43" s="15">
        <f>SUM(F44:F44)</f>
        <v>12.3</v>
      </c>
      <c r="G43" s="15">
        <f>SUM(G44:G44)</f>
        <v>11.2</v>
      </c>
      <c r="H43" s="59"/>
      <c r="I43" s="61"/>
      <c r="J43" s="61"/>
      <c r="K43" s="61"/>
      <c r="L43" s="61"/>
      <c r="M43" s="61"/>
      <c r="N43" s="61"/>
      <c r="O43" s="61"/>
      <c r="P43" s="61"/>
      <c r="Q43" s="61"/>
      <c r="R43" s="61"/>
      <c r="S43" s="60"/>
    </row>
    <row r="44" spans="1:19" ht="88.5" customHeight="1" thickBot="1" x14ac:dyDescent="0.3">
      <c r="A44" s="19" t="s">
        <v>86</v>
      </c>
      <c r="B44" s="20" t="s">
        <v>87</v>
      </c>
      <c r="C44" s="49" t="s">
        <v>1580</v>
      </c>
      <c r="D44" s="21" t="s">
        <v>25</v>
      </c>
      <c r="E44" s="33">
        <v>12.3</v>
      </c>
      <c r="F44" s="33">
        <v>12.3</v>
      </c>
      <c r="G44" s="33">
        <v>11.2</v>
      </c>
      <c r="H44" s="21" t="s">
        <v>88</v>
      </c>
      <c r="I44" s="23" t="s">
        <v>21</v>
      </c>
      <c r="J44" s="50">
        <v>10</v>
      </c>
      <c r="K44" s="67">
        <v>6</v>
      </c>
      <c r="L44" s="24" t="s">
        <v>89</v>
      </c>
      <c r="M44" s="24" t="s">
        <v>23</v>
      </c>
      <c r="N44" s="24" t="s">
        <v>89</v>
      </c>
      <c r="O44" s="24" t="s">
        <v>23</v>
      </c>
      <c r="P44" s="24"/>
      <c r="Q44" s="24"/>
      <c r="R44" s="21" t="s">
        <v>91</v>
      </c>
      <c r="S44" s="25"/>
    </row>
    <row r="45" spans="1:19" ht="36.75" customHeight="1" thickBot="1" x14ac:dyDescent="0.3">
      <c r="A45" s="8" t="s">
        <v>92</v>
      </c>
      <c r="B45" s="174" t="s">
        <v>93</v>
      </c>
      <c r="C45" s="175"/>
      <c r="D45" s="176"/>
      <c r="E45" s="11">
        <f t="shared" ref="E45:G46" si="0">SUM(E46:E46)</f>
        <v>334.5</v>
      </c>
      <c r="F45" s="11">
        <f t="shared" si="0"/>
        <v>372.79999999999995</v>
      </c>
      <c r="G45" s="11">
        <f t="shared" si="0"/>
        <v>339.5</v>
      </c>
      <c r="H45" s="177"/>
      <c r="I45" s="178"/>
      <c r="J45" s="178"/>
      <c r="K45" s="178"/>
      <c r="L45" s="178"/>
      <c r="M45" s="178"/>
      <c r="N45" s="178"/>
      <c r="O45" s="178"/>
      <c r="P45" s="178"/>
      <c r="Q45" s="178"/>
      <c r="R45" s="178"/>
      <c r="S45" s="179"/>
    </row>
    <row r="46" spans="1:19" ht="69" customHeight="1" thickBot="1" x14ac:dyDescent="0.3">
      <c r="A46" s="12" t="s">
        <v>94</v>
      </c>
      <c r="B46" s="168" t="s">
        <v>95</v>
      </c>
      <c r="C46" s="169"/>
      <c r="D46" s="170"/>
      <c r="E46" s="15">
        <f t="shared" si="0"/>
        <v>334.5</v>
      </c>
      <c r="F46" s="15">
        <f t="shared" si="0"/>
        <v>372.79999999999995</v>
      </c>
      <c r="G46" s="15">
        <f t="shared" si="0"/>
        <v>339.5</v>
      </c>
      <c r="H46" s="171"/>
      <c r="I46" s="172"/>
      <c r="J46" s="172"/>
      <c r="K46" s="172"/>
      <c r="L46" s="172"/>
      <c r="M46" s="172"/>
      <c r="N46" s="172"/>
      <c r="O46" s="172"/>
      <c r="P46" s="172"/>
      <c r="Q46" s="172"/>
      <c r="R46" s="172"/>
      <c r="S46" s="173"/>
    </row>
    <row r="47" spans="1:19" ht="302.25" customHeight="1" x14ac:dyDescent="0.25">
      <c r="A47" s="210" t="s">
        <v>96</v>
      </c>
      <c r="B47" s="187" t="s">
        <v>97</v>
      </c>
      <c r="C47" s="183" t="s">
        <v>1580</v>
      </c>
      <c r="D47" s="51"/>
      <c r="E47" s="52">
        <f>SUM(E48:E49)</f>
        <v>334.5</v>
      </c>
      <c r="F47" s="52">
        <f>SUM(F48:F49)</f>
        <v>372.79999999999995</v>
      </c>
      <c r="G47" s="52">
        <f>SUM(G48:G49)</f>
        <v>339.5</v>
      </c>
      <c r="H47" s="21" t="s">
        <v>98</v>
      </c>
      <c r="I47" s="23" t="s">
        <v>21</v>
      </c>
      <c r="J47" s="50">
        <v>11</v>
      </c>
      <c r="K47" s="66">
        <v>11</v>
      </c>
      <c r="L47" s="24"/>
      <c r="M47" s="24"/>
      <c r="N47" s="24"/>
      <c r="O47" s="24"/>
      <c r="P47" s="24"/>
      <c r="Q47" s="24"/>
      <c r="R47" s="21" t="s">
        <v>100</v>
      </c>
      <c r="S47" s="25"/>
    </row>
    <row r="48" spans="1:19" ht="88.5" customHeight="1" x14ac:dyDescent="0.25">
      <c r="A48" s="211"/>
      <c r="B48" s="203"/>
      <c r="C48" s="205"/>
      <c r="D48" s="28" t="s">
        <v>25</v>
      </c>
      <c r="E48" s="29"/>
      <c r="F48" s="29">
        <v>26.9</v>
      </c>
      <c r="G48" s="29">
        <v>26.9</v>
      </c>
      <c r="H48" s="28" t="s">
        <v>101</v>
      </c>
      <c r="I48" s="30" t="s">
        <v>21</v>
      </c>
      <c r="J48" s="62">
        <v>2</v>
      </c>
      <c r="K48" s="68">
        <v>1</v>
      </c>
      <c r="L48" s="31"/>
      <c r="M48" s="31"/>
      <c r="N48" s="31"/>
      <c r="O48" s="31"/>
      <c r="P48" s="31"/>
      <c r="Q48" s="31"/>
      <c r="R48" s="28" t="s">
        <v>102</v>
      </c>
      <c r="S48" s="32" t="s">
        <v>1605</v>
      </c>
    </row>
    <row r="49" spans="1:24" ht="408.75" customHeight="1" thickBot="1" x14ac:dyDescent="0.3">
      <c r="A49" s="212"/>
      <c r="B49" s="188"/>
      <c r="C49" s="184"/>
      <c r="D49" s="28" t="s">
        <v>30</v>
      </c>
      <c r="E49" s="29">
        <v>334.5</v>
      </c>
      <c r="F49" s="29">
        <v>345.9</v>
      </c>
      <c r="G49" s="29">
        <v>312.60000000000002</v>
      </c>
      <c r="H49" s="28" t="s">
        <v>103</v>
      </c>
      <c r="I49" s="30" t="s">
        <v>21</v>
      </c>
      <c r="J49" s="62">
        <v>15</v>
      </c>
      <c r="K49" s="65">
        <v>15</v>
      </c>
      <c r="L49" s="31" t="s">
        <v>89</v>
      </c>
      <c r="M49" s="31" t="s">
        <v>23</v>
      </c>
      <c r="N49" s="31" t="s">
        <v>89</v>
      </c>
      <c r="O49" s="31" t="s">
        <v>23</v>
      </c>
      <c r="P49" s="31"/>
      <c r="Q49" s="31"/>
      <c r="R49" s="28" t="s">
        <v>1606</v>
      </c>
      <c r="S49" s="32"/>
    </row>
    <row r="50" spans="1:24" ht="30.75" thickBot="1" x14ac:dyDescent="0.3">
      <c r="A50" s="4" t="s">
        <v>105</v>
      </c>
      <c r="B50" s="5" t="s">
        <v>106</v>
      </c>
      <c r="C50" s="6"/>
      <c r="D50" s="6"/>
      <c r="E50" s="7">
        <f>E51+E80+E95</f>
        <v>8039.7</v>
      </c>
      <c r="F50" s="7">
        <f>F51+F80+F95</f>
        <v>8527.7999999999993</v>
      </c>
      <c r="G50" s="7">
        <f>G51+G80+G95</f>
        <v>6052.7999999999993</v>
      </c>
      <c r="H50" s="192"/>
      <c r="I50" s="193"/>
      <c r="J50" s="193"/>
      <c r="K50" s="193"/>
      <c r="L50" s="193"/>
      <c r="M50" s="193"/>
      <c r="N50" s="193"/>
      <c r="O50" s="193"/>
      <c r="P50" s="193"/>
      <c r="Q50" s="193"/>
      <c r="R50" s="193"/>
      <c r="S50" s="194"/>
      <c r="V50" s="110"/>
      <c r="W50" s="111" t="s">
        <v>1</v>
      </c>
      <c r="X50" s="111" t="s">
        <v>1813</v>
      </c>
    </row>
    <row r="51" spans="1:24" ht="77.25" customHeight="1" thickBot="1" x14ac:dyDescent="0.3">
      <c r="A51" s="8" t="s">
        <v>108</v>
      </c>
      <c r="B51" s="174" t="s">
        <v>109</v>
      </c>
      <c r="C51" s="175"/>
      <c r="D51" s="176"/>
      <c r="E51" s="11">
        <f>E52+E70</f>
        <v>4735.8</v>
      </c>
      <c r="F51" s="11">
        <f>F52+F70</f>
        <v>4676.8999999999996</v>
      </c>
      <c r="G51" s="11">
        <f>G52+G70</f>
        <v>4344.7999999999993</v>
      </c>
      <c r="H51" s="177"/>
      <c r="I51" s="178"/>
      <c r="J51" s="178"/>
      <c r="K51" s="178"/>
      <c r="L51" s="178"/>
      <c r="M51" s="178"/>
      <c r="N51" s="178"/>
      <c r="O51" s="178"/>
      <c r="P51" s="178"/>
      <c r="Q51" s="178"/>
      <c r="R51" s="178"/>
      <c r="S51" s="179"/>
      <c r="V51" s="117"/>
      <c r="W51" s="112" t="s">
        <v>1814</v>
      </c>
      <c r="X51" s="113">
        <v>4</v>
      </c>
    </row>
    <row r="52" spans="1:24" ht="80.25" customHeight="1" thickBot="1" x14ac:dyDescent="0.3">
      <c r="A52" s="12" t="s">
        <v>110</v>
      </c>
      <c r="B52" s="168" t="s">
        <v>111</v>
      </c>
      <c r="C52" s="169"/>
      <c r="D52" s="170"/>
      <c r="E52" s="15">
        <f>E53+E54+E55+E56+E58</f>
        <v>749.8</v>
      </c>
      <c r="F52" s="15">
        <f>F53+F54+F55+F56+F58</f>
        <v>720.90000000000009</v>
      </c>
      <c r="G52" s="15">
        <f>G53+G54+G55+G56+G58</f>
        <v>671.8</v>
      </c>
      <c r="H52" s="171"/>
      <c r="I52" s="172"/>
      <c r="J52" s="172"/>
      <c r="K52" s="172"/>
      <c r="L52" s="172"/>
      <c r="M52" s="172"/>
      <c r="N52" s="172"/>
      <c r="O52" s="172"/>
      <c r="P52" s="172"/>
      <c r="Q52" s="172"/>
      <c r="R52" s="172"/>
      <c r="S52" s="173"/>
      <c r="V52" s="118"/>
      <c r="W52" s="112" t="s">
        <v>1815</v>
      </c>
      <c r="X52" s="113">
        <v>6</v>
      </c>
    </row>
    <row r="53" spans="1:24" ht="181.5" customHeight="1" thickBot="1" x14ac:dyDescent="0.3">
      <c r="A53" s="19" t="s">
        <v>112</v>
      </c>
      <c r="B53" s="20" t="s">
        <v>113</v>
      </c>
      <c r="C53" s="21" t="s">
        <v>107</v>
      </c>
      <c r="D53" s="21" t="s">
        <v>25</v>
      </c>
      <c r="E53" s="33">
        <v>60</v>
      </c>
      <c r="F53" s="33">
        <v>57.1</v>
      </c>
      <c r="G53" s="33">
        <v>42.2</v>
      </c>
      <c r="H53" s="21" t="s">
        <v>114</v>
      </c>
      <c r="I53" s="23" t="s">
        <v>21</v>
      </c>
      <c r="J53" s="50">
        <v>34</v>
      </c>
      <c r="K53" s="67">
        <v>24</v>
      </c>
      <c r="L53" s="24" t="s">
        <v>115</v>
      </c>
      <c r="M53" s="24" t="s">
        <v>23</v>
      </c>
      <c r="N53" s="24" t="s">
        <v>115</v>
      </c>
      <c r="O53" s="24" t="s">
        <v>23</v>
      </c>
      <c r="P53" s="24"/>
      <c r="Q53" s="24"/>
      <c r="R53" s="21" t="s">
        <v>117</v>
      </c>
      <c r="S53" s="25" t="s">
        <v>1607</v>
      </c>
      <c r="V53" s="116"/>
      <c r="W53" s="112" t="s">
        <v>1816</v>
      </c>
      <c r="X53" s="113">
        <v>4</v>
      </c>
    </row>
    <row r="54" spans="1:24" ht="409.5" customHeight="1" thickBot="1" x14ac:dyDescent="0.3">
      <c r="A54" s="19" t="s">
        <v>118</v>
      </c>
      <c r="B54" s="20" t="s">
        <v>119</v>
      </c>
      <c r="C54" s="21" t="s">
        <v>107</v>
      </c>
      <c r="D54" s="21" t="s">
        <v>25</v>
      </c>
      <c r="E54" s="33">
        <v>26.2</v>
      </c>
      <c r="F54" s="33">
        <v>26.2</v>
      </c>
      <c r="G54" s="33">
        <v>26.2</v>
      </c>
      <c r="H54" s="21" t="s">
        <v>120</v>
      </c>
      <c r="I54" s="23" t="s">
        <v>21</v>
      </c>
      <c r="J54" s="50">
        <v>11</v>
      </c>
      <c r="K54" s="66">
        <v>11</v>
      </c>
      <c r="L54" s="24" t="s">
        <v>99</v>
      </c>
      <c r="M54" s="24" t="s">
        <v>23</v>
      </c>
      <c r="N54" s="24" t="s">
        <v>99</v>
      </c>
      <c r="O54" s="24" t="s">
        <v>23</v>
      </c>
      <c r="P54" s="24"/>
      <c r="Q54" s="24"/>
      <c r="R54" s="21" t="s">
        <v>1608</v>
      </c>
      <c r="S54" s="25"/>
      <c r="V54" s="114"/>
      <c r="W54" s="119" t="s">
        <v>1817</v>
      </c>
      <c r="X54" s="115">
        <v>14</v>
      </c>
    </row>
    <row r="55" spans="1:24" ht="105.75" hidden="1" thickBot="1" x14ac:dyDescent="0.3">
      <c r="A55" s="19" t="s">
        <v>121</v>
      </c>
      <c r="B55" s="20" t="s">
        <v>122</v>
      </c>
      <c r="C55" s="21" t="s">
        <v>123</v>
      </c>
      <c r="D55" s="21" t="s">
        <v>25</v>
      </c>
      <c r="E55" s="33">
        <v>0</v>
      </c>
      <c r="F55" s="33">
        <v>0</v>
      </c>
      <c r="G55" s="33">
        <v>0</v>
      </c>
      <c r="H55" s="21"/>
      <c r="I55" s="23"/>
      <c r="J55" s="46"/>
      <c r="K55" s="46"/>
      <c r="L55" s="24"/>
      <c r="M55" s="24"/>
      <c r="N55" s="24"/>
      <c r="O55" s="24"/>
      <c r="P55" s="24"/>
      <c r="Q55" s="24"/>
      <c r="R55" s="21"/>
      <c r="S55" s="25"/>
    </row>
    <row r="56" spans="1:24" ht="99" customHeight="1" thickBot="1" x14ac:dyDescent="0.3">
      <c r="A56" s="19" t="s">
        <v>124</v>
      </c>
      <c r="B56" s="20" t="s">
        <v>125</v>
      </c>
      <c r="C56" s="21" t="s">
        <v>107</v>
      </c>
      <c r="D56" s="21" t="s">
        <v>25</v>
      </c>
      <c r="E56" s="22">
        <f>SUM(E57:E57)+250</f>
        <v>250</v>
      </c>
      <c r="F56" s="22">
        <f>SUM(F57:F57)+224</f>
        <v>224</v>
      </c>
      <c r="G56" s="22">
        <f>SUM(G57:G57)+199.7</f>
        <v>199.7</v>
      </c>
      <c r="H56" s="21" t="s">
        <v>126</v>
      </c>
      <c r="I56" s="23" t="s">
        <v>21</v>
      </c>
      <c r="J56" s="50">
        <v>7</v>
      </c>
      <c r="K56" s="67">
        <v>6</v>
      </c>
      <c r="L56" s="24" t="s">
        <v>128</v>
      </c>
      <c r="M56" s="24" t="s">
        <v>23</v>
      </c>
      <c r="N56" s="24" t="s">
        <v>129</v>
      </c>
      <c r="O56" s="24" t="s">
        <v>23</v>
      </c>
      <c r="P56" s="24"/>
      <c r="Q56" s="24"/>
      <c r="R56" s="21" t="s">
        <v>1609</v>
      </c>
      <c r="S56" s="25" t="s">
        <v>1610</v>
      </c>
    </row>
    <row r="57" spans="1:24" ht="4.5" hidden="1" customHeight="1" thickBot="1" x14ac:dyDescent="0.3">
      <c r="A57" s="26"/>
      <c r="B57" s="27"/>
      <c r="C57" s="28"/>
      <c r="D57" s="28"/>
      <c r="E57" s="29"/>
      <c r="F57" s="29"/>
      <c r="G57" s="29"/>
      <c r="H57" s="28" t="s">
        <v>130</v>
      </c>
      <c r="I57" s="30" t="s">
        <v>21</v>
      </c>
      <c r="J57" s="62">
        <v>3</v>
      </c>
      <c r="K57" s="62">
        <v>3</v>
      </c>
      <c r="L57" s="31"/>
      <c r="M57" s="31"/>
      <c r="N57" s="31"/>
      <c r="O57" s="31"/>
      <c r="P57" s="31"/>
      <c r="Q57" s="31"/>
      <c r="R57" s="28" t="s">
        <v>131</v>
      </c>
      <c r="S57" s="32"/>
    </row>
    <row r="58" spans="1:24" ht="309" customHeight="1" x14ac:dyDescent="0.25">
      <c r="A58" s="210" t="s">
        <v>132</v>
      </c>
      <c r="B58" s="187" t="s">
        <v>133</v>
      </c>
      <c r="C58" s="183" t="s">
        <v>1580</v>
      </c>
      <c r="D58" s="51"/>
      <c r="E58" s="52">
        <f>SUM(E59:E69)</f>
        <v>413.6</v>
      </c>
      <c r="F58" s="52">
        <f>SUM(F59:F69)</f>
        <v>413.6</v>
      </c>
      <c r="G58" s="52">
        <f>SUM(G59:G69)</f>
        <v>403.7</v>
      </c>
      <c r="H58" s="83" t="s">
        <v>134</v>
      </c>
      <c r="I58" s="23" t="s">
        <v>21</v>
      </c>
      <c r="J58" s="50">
        <v>14</v>
      </c>
      <c r="K58" s="67">
        <v>9</v>
      </c>
      <c r="L58" s="24" t="s">
        <v>135</v>
      </c>
      <c r="M58" s="24" t="s">
        <v>23</v>
      </c>
      <c r="N58" s="24" t="s">
        <v>135</v>
      </c>
      <c r="O58" s="24" t="s">
        <v>23</v>
      </c>
      <c r="P58" s="24"/>
      <c r="Q58" s="24"/>
      <c r="R58" s="21" t="s">
        <v>136</v>
      </c>
      <c r="S58" s="25" t="s">
        <v>1793</v>
      </c>
    </row>
    <row r="59" spans="1:24" ht="82.5" customHeight="1" x14ac:dyDescent="0.25">
      <c r="A59" s="211"/>
      <c r="B59" s="203"/>
      <c r="C59" s="205"/>
      <c r="D59" s="214" t="s">
        <v>25</v>
      </c>
      <c r="E59" s="270">
        <v>413.6</v>
      </c>
      <c r="F59" s="270">
        <v>413.6</v>
      </c>
      <c r="G59" s="270">
        <v>403.7</v>
      </c>
      <c r="H59" s="28" t="s">
        <v>137</v>
      </c>
      <c r="I59" s="30" t="s">
        <v>21</v>
      </c>
      <c r="J59" s="62">
        <v>1</v>
      </c>
      <c r="K59" s="65">
        <v>1</v>
      </c>
      <c r="L59" s="31" t="s">
        <v>34</v>
      </c>
      <c r="M59" s="31" t="s">
        <v>23</v>
      </c>
      <c r="N59" s="31" t="s">
        <v>82</v>
      </c>
      <c r="O59" s="31" t="s">
        <v>23</v>
      </c>
      <c r="P59" s="31"/>
      <c r="Q59" s="31"/>
      <c r="R59" s="28" t="s">
        <v>138</v>
      </c>
      <c r="S59" s="32"/>
    </row>
    <row r="60" spans="1:24" ht="192.75" customHeight="1" x14ac:dyDescent="0.25">
      <c r="A60" s="211"/>
      <c r="B60" s="203"/>
      <c r="C60" s="205"/>
      <c r="D60" s="204"/>
      <c r="E60" s="271"/>
      <c r="F60" s="271"/>
      <c r="G60" s="271"/>
      <c r="H60" s="28" t="s">
        <v>139</v>
      </c>
      <c r="I60" s="30" t="s">
        <v>21</v>
      </c>
      <c r="J60" s="62">
        <v>3</v>
      </c>
      <c r="K60" s="65">
        <v>3</v>
      </c>
      <c r="L60" s="31" t="s">
        <v>82</v>
      </c>
      <c r="M60" s="31" t="s">
        <v>23</v>
      </c>
      <c r="N60" s="31" t="s">
        <v>127</v>
      </c>
      <c r="O60" s="31" t="s">
        <v>23</v>
      </c>
      <c r="P60" s="31"/>
      <c r="Q60" s="31"/>
      <c r="R60" s="28" t="s">
        <v>140</v>
      </c>
      <c r="S60" s="32"/>
    </row>
    <row r="61" spans="1:24" ht="95.25" customHeight="1" x14ac:dyDescent="0.25">
      <c r="A61" s="211"/>
      <c r="B61" s="203"/>
      <c r="C61" s="205"/>
      <c r="D61" s="204"/>
      <c r="E61" s="271"/>
      <c r="F61" s="271"/>
      <c r="G61" s="271"/>
      <c r="H61" s="28" t="s">
        <v>141</v>
      </c>
      <c r="I61" s="30" t="s">
        <v>21</v>
      </c>
      <c r="J61" s="62">
        <v>5</v>
      </c>
      <c r="K61" s="65">
        <v>9</v>
      </c>
      <c r="L61" s="31" t="s">
        <v>127</v>
      </c>
      <c r="M61" s="31" t="s">
        <v>23</v>
      </c>
      <c r="N61" s="31" t="s">
        <v>129</v>
      </c>
      <c r="O61" s="31" t="s">
        <v>23</v>
      </c>
      <c r="P61" s="31"/>
      <c r="Q61" s="31"/>
      <c r="R61" s="28" t="s">
        <v>142</v>
      </c>
      <c r="S61" s="32"/>
    </row>
    <row r="62" spans="1:24" ht="409.5" x14ac:dyDescent="0.25">
      <c r="A62" s="211"/>
      <c r="B62" s="203"/>
      <c r="C62" s="205"/>
      <c r="D62" s="204"/>
      <c r="E62" s="271"/>
      <c r="F62" s="271"/>
      <c r="G62" s="271"/>
      <c r="H62" s="28" t="s">
        <v>143</v>
      </c>
      <c r="I62" s="30" t="s">
        <v>21</v>
      </c>
      <c r="J62" s="62">
        <v>3</v>
      </c>
      <c r="K62" s="68">
        <v>2</v>
      </c>
      <c r="L62" s="31" t="s">
        <v>34</v>
      </c>
      <c r="M62" s="31" t="s">
        <v>23</v>
      </c>
      <c r="N62" s="31" t="s">
        <v>82</v>
      </c>
      <c r="O62" s="31" t="s">
        <v>23</v>
      </c>
      <c r="P62" s="31"/>
      <c r="Q62" s="31"/>
      <c r="R62" s="28" t="s">
        <v>1794</v>
      </c>
      <c r="S62" s="32" t="s">
        <v>144</v>
      </c>
    </row>
    <row r="63" spans="1:24" ht="201.75" customHeight="1" x14ac:dyDescent="0.25">
      <c r="A63" s="211"/>
      <c r="B63" s="203"/>
      <c r="C63" s="205"/>
      <c r="D63" s="204"/>
      <c r="E63" s="271"/>
      <c r="F63" s="271"/>
      <c r="G63" s="271"/>
      <c r="H63" s="28" t="s">
        <v>145</v>
      </c>
      <c r="I63" s="30" t="s">
        <v>21</v>
      </c>
      <c r="J63" s="62">
        <v>1</v>
      </c>
      <c r="K63" s="68">
        <v>2</v>
      </c>
      <c r="L63" s="31" t="s">
        <v>52</v>
      </c>
      <c r="M63" s="31" t="s">
        <v>23</v>
      </c>
      <c r="N63" s="31" t="s">
        <v>34</v>
      </c>
      <c r="O63" s="31" t="s">
        <v>23</v>
      </c>
      <c r="P63" s="31"/>
      <c r="Q63" s="31"/>
      <c r="R63" s="28" t="s">
        <v>146</v>
      </c>
      <c r="S63" s="32"/>
    </row>
    <row r="64" spans="1:24" ht="133.5" customHeight="1" x14ac:dyDescent="0.25">
      <c r="A64" s="211"/>
      <c r="B64" s="203"/>
      <c r="C64" s="205"/>
      <c r="D64" s="204"/>
      <c r="E64" s="271"/>
      <c r="F64" s="271"/>
      <c r="G64" s="271"/>
      <c r="H64" s="28" t="s">
        <v>147</v>
      </c>
      <c r="I64" s="30" t="s">
        <v>21</v>
      </c>
      <c r="J64" s="62">
        <v>53</v>
      </c>
      <c r="K64" s="68">
        <v>43</v>
      </c>
      <c r="L64" s="31" t="s">
        <v>149</v>
      </c>
      <c r="M64" s="31" t="s">
        <v>23</v>
      </c>
      <c r="N64" s="31" t="s">
        <v>150</v>
      </c>
      <c r="O64" s="31" t="s">
        <v>23</v>
      </c>
      <c r="P64" s="31"/>
      <c r="Q64" s="31"/>
      <c r="R64" s="28" t="s">
        <v>151</v>
      </c>
      <c r="S64" s="32" t="s">
        <v>1795</v>
      </c>
    </row>
    <row r="65" spans="1:24" ht="75" x14ac:dyDescent="0.25">
      <c r="A65" s="211"/>
      <c r="B65" s="203"/>
      <c r="C65" s="205"/>
      <c r="D65" s="204"/>
      <c r="E65" s="271"/>
      <c r="F65" s="271"/>
      <c r="G65" s="271"/>
      <c r="H65" s="28" t="s">
        <v>152</v>
      </c>
      <c r="I65" s="30" t="s">
        <v>21</v>
      </c>
      <c r="J65" s="62">
        <v>18</v>
      </c>
      <c r="K65" s="65">
        <v>19</v>
      </c>
      <c r="L65" s="31" t="s">
        <v>155</v>
      </c>
      <c r="M65" s="31" t="s">
        <v>23</v>
      </c>
      <c r="N65" s="31" t="s">
        <v>156</v>
      </c>
      <c r="O65" s="31" t="s">
        <v>23</v>
      </c>
      <c r="P65" s="31"/>
      <c r="Q65" s="31"/>
      <c r="R65" s="28" t="s">
        <v>157</v>
      </c>
      <c r="S65" s="32"/>
    </row>
    <row r="66" spans="1:24" ht="90" x14ac:dyDescent="0.25">
      <c r="A66" s="211"/>
      <c r="B66" s="203"/>
      <c r="C66" s="205"/>
      <c r="D66" s="204"/>
      <c r="E66" s="271"/>
      <c r="F66" s="271"/>
      <c r="G66" s="271"/>
      <c r="H66" s="28" t="s">
        <v>158</v>
      </c>
      <c r="I66" s="30" t="s">
        <v>21</v>
      </c>
      <c r="J66" s="62">
        <v>3</v>
      </c>
      <c r="K66" s="65">
        <v>3</v>
      </c>
      <c r="L66" s="31" t="s">
        <v>34</v>
      </c>
      <c r="M66" s="31" t="s">
        <v>23</v>
      </c>
      <c r="N66" s="31" t="s">
        <v>82</v>
      </c>
      <c r="O66" s="31" t="s">
        <v>23</v>
      </c>
      <c r="P66" s="31"/>
      <c r="Q66" s="31"/>
      <c r="R66" s="28" t="s">
        <v>159</v>
      </c>
      <c r="S66" s="32"/>
    </row>
    <row r="67" spans="1:24" ht="74.25" customHeight="1" x14ac:dyDescent="0.25">
      <c r="A67" s="211"/>
      <c r="B67" s="203"/>
      <c r="C67" s="205"/>
      <c r="D67" s="204"/>
      <c r="E67" s="271"/>
      <c r="F67" s="271"/>
      <c r="G67" s="271"/>
      <c r="H67" s="28" t="s">
        <v>160</v>
      </c>
      <c r="I67" s="30" t="s">
        <v>21</v>
      </c>
      <c r="J67" s="62">
        <v>4</v>
      </c>
      <c r="K67" s="65">
        <v>4</v>
      </c>
      <c r="L67" s="31" t="s">
        <v>90</v>
      </c>
      <c r="M67" s="31" t="s">
        <v>23</v>
      </c>
      <c r="N67" s="31" t="s">
        <v>128</v>
      </c>
      <c r="O67" s="31" t="s">
        <v>23</v>
      </c>
      <c r="P67" s="31"/>
      <c r="Q67" s="31"/>
      <c r="R67" s="28" t="s">
        <v>162</v>
      </c>
      <c r="S67" s="32"/>
    </row>
    <row r="68" spans="1:24" ht="209.25" customHeight="1" x14ac:dyDescent="0.25">
      <c r="A68" s="211"/>
      <c r="B68" s="203"/>
      <c r="C68" s="205"/>
      <c r="D68" s="204"/>
      <c r="E68" s="271"/>
      <c r="F68" s="271"/>
      <c r="G68" s="271"/>
      <c r="H68" s="28" t="s">
        <v>163</v>
      </c>
      <c r="I68" s="30" t="s">
        <v>21</v>
      </c>
      <c r="J68" s="62">
        <v>3</v>
      </c>
      <c r="K68" s="65">
        <v>3</v>
      </c>
      <c r="L68" s="31" t="s">
        <v>161</v>
      </c>
      <c r="M68" s="31" t="s">
        <v>23</v>
      </c>
      <c r="N68" s="31" t="s">
        <v>82</v>
      </c>
      <c r="O68" s="31" t="s">
        <v>23</v>
      </c>
      <c r="P68" s="31"/>
      <c r="Q68" s="31"/>
      <c r="R68" s="28" t="s">
        <v>164</v>
      </c>
      <c r="S68" s="32"/>
    </row>
    <row r="69" spans="1:24" ht="148.5" customHeight="1" thickBot="1" x14ac:dyDescent="0.3">
      <c r="A69" s="212"/>
      <c r="B69" s="188"/>
      <c r="C69" s="184"/>
      <c r="D69" s="182"/>
      <c r="E69" s="274"/>
      <c r="F69" s="274"/>
      <c r="G69" s="274"/>
      <c r="H69" s="28" t="s">
        <v>165</v>
      </c>
      <c r="I69" s="30" t="s">
        <v>21</v>
      </c>
      <c r="J69" s="62">
        <v>4</v>
      </c>
      <c r="K69" s="65">
        <v>4</v>
      </c>
      <c r="L69" s="31" t="s">
        <v>90</v>
      </c>
      <c r="M69" s="31" t="s">
        <v>23</v>
      </c>
      <c r="N69" s="31" t="s">
        <v>128</v>
      </c>
      <c r="O69" s="31" t="s">
        <v>23</v>
      </c>
      <c r="P69" s="31"/>
      <c r="Q69" s="31"/>
      <c r="R69" s="28" t="s">
        <v>166</v>
      </c>
      <c r="S69" s="32" t="s">
        <v>1796</v>
      </c>
    </row>
    <row r="70" spans="1:24" ht="60.75" customHeight="1" thickBot="1" x14ac:dyDescent="0.3">
      <c r="A70" s="12" t="s">
        <v>167</v>
      </c>
      <c r="B70" s="168" t="s">
        <v>168</v>
      </c>
      <c r="C70" s="169"/>
      <c r="D70" s="170"/>
      <c r="E70" s="15">
        <f>E71+E79</f>
        <v>3986</v>
      </c>
      <c r="F70" s="15">
        <f>F71+F79</f>
        <v>3956</v>
      </c>
      <c r="G70" s="15">
        <f>G71+G79</f>
        <v>3672.9999999999995</v>
      </c>
      <c r="H70" s="171"/>
      <c r="I70" s="172"/>
      <c r="J70" s="172"/>
      <c r="K70" s="172"/>
      <c r="L70" s="172"/>
      <c r="M70" s="172"/>
      <c r="N70" s="172"/>
      <c r="O70" s="172"/>
      <c r="P70" s="172"/>
      <c r="Q70" s="172"/>
      <c r="R70" s="172"/>
      <c r="S70" s="173"/>
    </row>
    <row r="71" spans="1:24" ht="129.75" customHeight="1" x14ac:dyDescent="0.25">
      <c r="A71" s="200" t="s">
        <v>169</v>
      </c>
      <c r="B71" s="187" t="s">
        <v>170</v>
      </c>
      <c r="C71" s="181" t="s">
        <v>207</v>
      </c>
      <c r="D71" s="51"/>
      <c r="E71" s="52">
        <f>SUM(E72:E78)</f>
        <v>3986</v>
      </c>
      <c r="F71" s="52">
        <f>SUM(F72:F78)</f>
        <v>3956</v>
      </c>
      <c r="G71" s="52">
        <f>SUM(G72:G78)</f>
        <v>3672.9999999999995</v>
      </c>
      <c r="H71" s="21" t="s">
        <v>171</v>
      </c>
      <c r="I71" s="23" t="s">
        <v>21</v>
      </c>
      <c r="J71" s="71">
        <v>1296</v>
      </c>
      <c r="K71" s="72">
        <v>1220</v>
      </c>
      <c r="L71" s="24" t="s">
        <v>172</v>
      </c>
      <c r="M71" s="24" t="s">
        <v>23</v>
      </c>
      <c r="N71" s="24" t="s">
        <v>173</v>
      </c>
      <c r="O71" s="24" t="s">
        <v>23</v>
      </c>
      <c r="P71" s="24"/>
      <c r="Q71" s="24"/>
      <c r="R71" s="21" t="s">
        <v>174</v>
      </c>
      <c r="S71" s="25"/>
      <c r="V71" s="126"/>
      <c r="W71" s="127"/>
      <c r="X71" s="127"/>
    </row>
    <row r="72" spans="1:24" ht="76.5" customHeight="1" x14ac:dyDescent="0.25">
      <c r="A72" s="201"/>
      <c r="B72" s="203"/>
      <c r="C72" s="204"/>
      <c r="D72" s="28" t="s">
        <v>175</v>
      </c>
      <c r="E72" s="29">
        <v>143.4</v>
      </c>
      <c r="F72" s="29">
        <v>144</v>
      </c>
      <c r="G72" s="29">
        <v>47</v>
      </c>
      <c r="H72" s="28" t="s">
        <v>176</v>
      </c>
      <c r="I72" s="30" t="s">
        <v>21</v>
      </c>
      <c r="J72" s="62">
        <v>209</v>
      </c>
      <c r="K72" s="68">
        <v>121</v>
      </c>
      <c r="L72" s="31" t="s">
        <v>177</v>
      </c>
      <c r="M72" s="31" t="s">
        <v>23</v>
      </c>
      <c r="N72" s="31" t="s">
        <v>178</v>
      </c>
      <c r="O72" s="31" t="s">
        <v>23</v>
      </c>
      <c r="P72" s="31"/>
      <c r="Q72" s="31"/>
      <c r="R72" s="28" t="s">
        <v>179</v>
      </c>
      <c r="S72" s="32"/>
      <c r="V72" s="126"/>
      <c r="W72" s="128"/>
      <c r="X72" s="129"/>
    </row>
    <row r="73" spans="1:24" ht="69" customHeight="1" x14ac:dyDescent="0.25">
      <c r="A73" s="201"/>
      <c r="B73" s="203"/>
      <c r="C73" s="204"/>
      <c r="D73" s="28" t="s">
        <v>180</v>
      </c>
      <c r="E73" s="29">
        <v>81.099999999999994</v>
      </c>
      <c r="F73" s="29">
        <v>114.5</v>
      </c>
      <c r="G73" s="29">
        <v>94.4</v>
      </c>
      <c r="H73" s="28" t="s">
        <v>181</v>
      </c>
      <c r="I73" s="30" t="s">
        <v>21</v>
      </c>
      <c r="J73" s="47">
        <v>14000</v>
      </c>
      <c r="K73" s="70">
        <v>10439</v>
      </c>
      <c r="L73" s="31" t="s">
        <v>183</v>
      </c>
      <c r="M73" s="31" t="s">
        <v>23</v>
      </c>
      <c r="N73" s="31" t="s">
        <v>183</v>
      </c>
      <c r="O73" s="31" t="s">
        <v>23</v>
      </c>
      <c r="P73" s="31"/>
      <c r="Q73" s="31"/>
      <c r="R73" s="28" t="s">
        <v>184</v>
      </c>
      <c r="S73" s="32"/>
      <c r="V73" s="126"/>
      <c r="W73" s="128"/>
      <c r="X73" s="129"/>
    </row>
    <row r="74" spans="1:24" ht="101.25" customHeight="1" x14ac:dyDescent="0.25">
      <c r="A74" s="201"/>
      <c r="B74" s="203"/>
      <c r="C74" s="204"/>
      <c r="D74" s="28" t="s">
        <v>30</v>
      </c>
      <c r="E74" s="29">
        <v>122.8</v>
      </c>
      <c r="F74" s="29">
        <v>122.8</v>
      </c>
      <c r="G74" s="29">
        <v>106.8</v>
      </c>
      <c r="H74" s="28" t="s">
        <v>185</v>
      </c>
      <c r="I74" s="30" t="s">
        <v>21</v>
      </c>
      <c r="J74" s="47">
        <v>344100</v>
      </c>
      <c r="K74" s="69">
        <v>187348</v>
      </c>
      <c r="L74" s="31" t="s">
        <v>186</v>
      </c>
      <c r="M74" s="31" t="s">
        <v>23</v>
      </c>
      <c r="N74" s="31" t="s">
        <v>187</v>
      </c>
      <c r="O74" s="31" t="s">
        <v>23</v>
      </c>
      <c r="P74" s="31"/>
      <c r="Q74" s="31"/>
      <c r="R74" s="28" t="s">
        <v>188</v>
      </c>
      <c r="S74" s="32" t="s">
        <v>1611</v>
      </c>
      <c r="V74" s="126"/>
      <c r="W74" s="128"/>
      <c r="X74" s="129"/>
    </row>
    <row r="75" spans="1:24" ht="75" x14ac:dyDescent="0.25">
      <c r="A75" s="201"/>
      <c r="B75" s="203"/>
      <c r="C75" s="204"/>
      <c r="D75" s="28" t="s">
        <v>25</v>
      </c>
      <c r="E75" s="29">
        <v>3291</v>
      </c>
      <c r="F75" s="29">
        <v>3299.2</v>
      </c>
      <c r="G75" s="29">
        <v>3291.7</v>
      </c>
      <c r="H75" s="28" t="s">
        <v>189</v>
      </c>
      <c r="I75" s="30" t="s">
        <v>21</v>
      </c>
      <c r="J75" s="62">
        <v>79</v>
      </c>
      <c r="K75" s="68">
        <v>76</v>
      </c>
      <c r="L75" s="31" t="s">
        <v>190</v>
      </c>
      <c r="M75" s="31" t="s">
        <v>23</v>
      </c>
      <c r="N75" s="31" t="s">
        <v>190</v>
      </c>
      <c r="O75" s="31" t="s">
        <v>23</v>
      </c>
      <c r="P75" s="31"/>
      <c r="Q75" s="31"/>
      <c r="R75" s="28" t="s">
        <v>191</v>
      </c>
      <c r="S75" s="32"/>
      <c r="V75" s="130"/>
      <c r="W75" s="131"/>
      <c r="X75" s="132"/>
    </row>
    <row r="76" spans="1:24" ht="213.75" customHeight="1" x14ac:dyDescent="0.25">
      <c r="A76" s="201"/>
      <c r="B76" s="203"/>
      <c r="C76" s="204"/>
      <c r="D76" s="28" t="s">
        <v>192</v>
      </c>
      <c r="E76" s="29">
        <v>346.7</v>
      </c>
      <c r="F76" s="29">
        <v>245</v>
      </c>
      <c r="G76" s="29">
        <v>128.6</v>
      </c>
      <c r="H76" s="28" t="s">
        <v>193</v>
      </c>
      <c r="I76" s="30" t="s">
        <v>21</v>
      </c>
      <c r="J76" s="62">
        <v>24</v>
      </c>
      <c r="K76" s="68">
        <v>23</v>
      </c>
      <c r="L76" s="31" t="s">
        <v>194</v>
      </c>
      <c r="M76" s="31" t="s">
        <v>23</v>
      </c>
      <c r="N76" s="31" t="s">
        <v>194</v>
      </c>
      <c r="O76" s="31" t="s">
        <v>23</v>
      </c>
      <c r="P76" s="31"/>
      <c r="Q76" s="31"/>
      <c r="R76" s="28" t="s">
        <v>195</v>
      </c>
      <c r="S76" s="32"/>
    </row>
    <row r="77" spans="1:24" ht="135" x14ac:dyDescent="0.25">
      <c r="A77" s="201"/>
      <c r="B77" s="203"/>
      <c r="C77" s="204"/>
      <c r="D77" s="28" t="s">
        <v>196</v>
      </c>
      <c r="E77" s="29">
        <v>1</v>
      </c>
      <c r="F77" s="29">
        <v>25.9</v>
      </c>
      <c r="G77" s="29">
        <v>0</v>
      </c>
      <c r="H77" s="28" t="s">
        <v>197</v>
      </c>
      <c r="I77" s="30" t="s">
        <v>21</v>
      </c>
      <c r="J77" s="47">
        <v>334200</v>
      </c>
      <c r="K77" s="69">
        <v>147583</v>
      </c>
      <c r="L77" s="31" t="s">
        <v>198</v>
      </c>
      <c r="M77" s="31" t="s">
        <v>23</v>
      </c>
      <c r="N77" s="31" t="s">
        <v>199</v>
      </c>
      <c r="O77" s="31" t="s">
        <v>23</v>
      </c>
      <c r="P77" s="31"/>
      <c r="Q77" s="31"/>
      <c r="R77" s="28" t="s">
        <v>200</v>
      </c>
      <c r="S77" s="32"/>
    </row>
    <row r="78" spans="1:24" ht="98.25" customHeight="1" thickBot="1" x14ac:dyDescent="0.3">
      <c r="A78" s="202"/>
      <c r="B78" s="188"/>
      <c r="C78" s="204"/>
      <c r="D78" s="28" t="s">
        <v>201</v>
      </c>
      <c r="E78" s="29">
        <v>0</v>
      </c>
      <c r="F78" s="29">
        <v>4.5999999999999996</v>
      </c>
      <c r="G78" s="29">
        <v>4.5</v>
      </c>
      <c r="H78" s="28" t="s">
        <v>202</v>
      </c>
      <c r="I78" s="30" t="s">
        <v>21</v>
      </c>
      <c r="J78" s="47">
        <v>32950</v>
      </c>
      <c r="K78" s="134">
        <v>113719</v>
      </c>
      <c r="L78" s="31" t="s">
        <v>182</v>
      </c>
      <c r="M78" s="31" t="s">
        <v>23</v>
      </c>
      <c r="N78" s="31" t="s">
        <v>203</v>
      </c>
      <c r="O78" s="31" t="s">
        <v>23</v>
      </c>
      <c r="P78" s="31"/>
      <c r="Q78" s="31"/>
      <c r="R78" s="28" t="s">
        <v>204</v>
      </c>
      <c r="S78" s="32"/>
    </row>
    <row r="79" spans="1:24" ht="75.75" hidden="1" thickBot="1" x14ac:dyDescent="0.3">
      <c r="A79" s="19" t="s">
        <v>205</v>
      </c>
      <c r="B79" s="20" t="s">
        <v>206</v>
      </c>
      <c r="C79" s="182"/>
      <c r="D79" s="21" t="s">
        <v>25</v>
      </c>
      <c r="E79" s="33">
        <v>0</v>
      </c>
      <c r="F79" s="33">
        <v>0</v>
      </c>
      <c r="G79" s="33">
        <v>0</v>
      </c>
      <c r="H79" s="21"/>
      <c r="I79" s="23"/>
      <c r="J79" s="46"/>
      <c r="K79" s="46"/>
      <c r="L79" s="24"/>
      <c r="M79" s="24"/>
      <c r="N79" s="24"/>
      <c r="O79" s="24"/>
      <c r="P79" s="24"/>
      <c r="Q79" s="24"/>
      <c r="R79" s="21"/>
      <c r="S79" s="25"/>
    </row>
    <row r="80" spans="1:24" ht="30.75" customHeight="1" thickBot="1" x14ac:dyDescent="0.3">
      <c r="A80" s="8" t="s">
        <v>208</v>
      </c>
      <c r="B80" s="174" t="s">
        <v>209</v>
      </c>
      <c r="C80" s="175"/>
      <c r="D80" s="176"/>
      <c r="E80" s="11">
        <f>SUM(E81:E81)</f>
        <v>2996.2</v>
      </c>
      <c r="F80" s="11">
        <f>SUM(F81:F81)</f>
        <v>3456.1999999999994</v>
      </c>
      <c r="G80" s="11">
        <f>SUM(G81:G81)</f>
        <v>1493.3</v>
      </c>
      <c r="H80" s="87"/>
      <c r="I80" s="88"/>
      <c r="J80" s="88"/>
      <c r="K80" s="88"/>
      <c r="L80" s="88"/>
      <c r="M80" s="88"/>
      <c r="N80" s="88"/>
      <c r="O80" s="88"/>
      <c r="P80" s="88"/>
      <c r="Q80" s="88"/>
      <c r="R80" s="88"/>
      <c r="S80" s="89"/>
    </row>
    <row r="81" spans="1:20" ht="45.75" customHeight="1" thickBot="1" x14ac:dyDescent="0.3">
      <c r="A81" s="12" t="s">
        <v>210</v>
      </c>
      <c r="B81" s="168" t="s">
        <v>211</v>
      </c>
      <c r="C81" s="169"/>
      <c r="D81" s="170"/>
      <c r="E81" s="15">
        <f>E82+E85+E89+E92</f>
        <v>2996.2</v>
      </c>
      <c r="F81" s="15">
        <f t="shared" ref="F81:G81" si="1">F82+F85+F89+F92</f>
        <v>3456.1999999999994</v>
      </c>
      <c r="G81" s="15">
        <f t="shared" si="1"/>
        <v>1493.3</v>
      </c>
      <c r="H81" s="171"/>
      <c r="I81" s="172"/>
      <c r="J81" s="172"/>
      <c r="K81" s="172"/>
      <c r="L81" s="172"/>
      <c r="M81" s="172"/>
      <c r="N81" s="172"/>
      <c r="O81" s="172"/>
      <c r="P81" s="172"/>
      <c r="Q81" s="172"/>
      <c r="R81" s="172"/>
      <c r="S81" s="173"/>
      <c r="T81" s="122"/>
    </row>
    <row r="82" spans="1:20" ht="217.5" customHeight="1" x14ac:dyDescent="0.25">
      <c r="A82" s="200" t="s">
        <v>212</v>
      </c>
      <c r="B82" s="187" t="s">
        <v>213</v>
      </c>
      <c r="C82" s="183" t="s">
        <v>1581</v>
      </c>
      <c r="D82" s="51"/>
      <c r="E82" s="52">
        <f>SUM(E83:E84)</f>
        <v>962.8</v>
      </c>
      <c r="F82" s="52">
        <f>SUM(F83:F84)</f>
        <v>962.8</v>
      </c>
      <c r="G82" s="52">
        <f>SUM(G83:G84)</f>
        <v>753.5</v>
      </c>
      <c r="H82" s="21" t="s">
        <v>214</v>
      </c>
      <c r="I82" s="23" t="s">
        <v>215</v>
      </c>
      <c r="J82" s="50">
        <v>100</v>
      </c>
      <c r="K82" s="66">
        <v>100</v>
      </c>
      <c r="L82" s="24"/>
      <c r="M82" s="24"/>
      <c r="N82" s="24"/>
      <c r="O82" s="24"/>
      <c r="P82" s="24"/>
      <c r="Q82" s="24"/>
      <c r="R82" s="295" t="s">
        <v>1612</v>
      </c>
      <c r="S82" s="189"/>
    </row>
    <row r="83" spans="1:20" ht="51.75" customHeight="1" x14ac:dyDescent="0.25">
      <c r="A83" s="201"/>
      <c r="B83" s="203"/>
      <c r="C83" s="205"/>
      <c r="D83" s="28" t="s">
        <v>30</v>
      </c>
      <c r="E83" s="29">
        <v>591</v>
      </c>
      <c r="F83" s="29">
        <v>591</v>
      </c>
      <c r="G83" s="29">
        <v>591</v>
      </c>
      <c r="H83" s="214" t="s">
        <v>216</v>
      </c>
      <c r="I83" s="214" t="s">
        <v>215</v>
      </c>
      <c r="J83" s="215">
        <v>100</v>
      </c>
      <c r="K83" s="216">
        <v>100</v>
      </c>
      <c r="L83" s="31"/>
      <c r="M83" s="31"/>
      <c r="N83" s="31"/>
      <c r="O83" s="31"/>
      <c r="P83" s="31"/>
      <c r="Q83" s="31"/>
      <c r="R83" s="296"/>
      <c r="S83" s="191"/>
    </row>
    <row r="84" spans="1:20" ht="83.25" customHeight="1" thickBot="1" x14ac:dyDescent="0.3">
      <c r="A84" s="202"/>
      <c r="B84" s="188"/>
      <c r="C84" s="184"/>
      <c r="D84" s="28" t="s">
        <v>217</v>
      </c>
      <c r="E84" s="29">
        <v>371.8</v>
      </c>
      <c r="F84" s="29">
        <v>371.8</v>
      </c>
      <c r="G84" s="29">
        <v>162.5</v>
      </c>
      <c r="H84" s="182"/>
      <c r="I84" s="182"/>
      <c r="J84" s="184"/>
      <c r="K84" s="165"/>
      <c r="L84" s="31"/>
      <c r="M84" s="31"/>
      <c r="N84" s="31"/>
      <c r="O84" s="31"/>
      <c r="P84" s="31"/>
      <c r="Q84" s="31"/>
      <c r="R84" s="297"/>
      <c r="S84" s="190"/>
    </row>
    <row r="85" spans="1:20" ht="48.75" customHeight="1" x14ac:dyDescent="0.25">
      <c r="A85" s="200" t="s">
        <v>218</v>
      </c>
      <c r="B85" s="187" t="s">
        <v>219</v>
      </c>
      <c r="C85" s="183" t="s">
        <v>1581</v>
      </c>
      <c r="D85" s="51"/>
      <c r="E85" s="52">
        <f>SUM(E86:E88)</f>
        <v>1912.6</v>
      </c>
      <c r="F85" s="52">
        <f>SUM(F86:F88)</f>
        <v>1912.6</v>
      </c>
      <c r="G85" s="52">
        <f>SUM(G86:G88)-0.1</f>
        <v>320.79999999999995</v>
      </c>
      <c r="H85" s="187" t="s">
        <v>214</v>
      </c>
      <c r="I85" s="181" t="s">
        <v>215</v>
      </c>
      <c r="J85" s="183">
        <v>52</v>
      </c>
      <c r="K85" s="185">
        <v>16.8</v>
      </c>
      <c r="L85" s="24" t="s">
        <v>42</v>
      </c>
      <c r="M85" s="24" t="s">
        <v>23</v>
      </c>
      <c r="N85" s="24"/>
      <c r="O85" s="24"/>
      <c r="P85" s="24"/>
      <c r="Q85" s="24"/>
      <c r="R85" s="187" t="s">
        <v>1613</v>
      </c>
      <c r="S85" s="189" t="s">
        <v>1614</v>
      </c>
    </row>
    <row r="86" spans="1:20" ht="36" customHeight="1" x14ac:dyDescent="0.25">
      <c r="A86" s="201"/>
      <c r="B86" s="203"/>
      <c r="C86" s="205"/>
      <c r="D86" s="28" t="s">
        <v>25</v>
      </c>
      <c r="E86" s="29">
        <v>488.6</v>
      </c>
      <c r="F86" s="29">
        <v>488.6</v>
      </c>
      <c r="G86" s="29">
        <v>0</v>
      </c>
      <c r="H86" s="203"/>
      <c r="I86" s="204"/>
      <c r="J86" s="205"/>
      <c r="K86" s="243"/>
      <c r="L86" s="31"/>
      <c r="M86" s="31"/>
      <c r="N86" s="31"/>
      <c r="O86" s="31"/>
      <c r="P86" s="31"/>
      <c r="Q86" s="31"/>
      <c r="R86" s="203"/>
      <c r="S86" s="191"/>
    </row>
    <row r="87" spans="1:20" ht="59.25" customHeight="1" x14ac:dyDescent="0.25">
      <c r="A87" s="201"/>
      <c r="B87" s="203"/>
      <c r="C87" s="205"/>
      <c r="D87" s="28" t="s">
        <v>196</v>
      </c>
      <c r="E87" s="29">
        <v>850</v>
      </c>
      <c r="F87" s="29">
        <v>850</v>
      </c>
      <c r="G87" s="29">
        <v>113.7</v>
      </c>
      <c r="H87" s="203"/>
      <c r="I87" s="204"/>
      <c r="J87" s="205"/>
      <c r="K87" s="243"/>
      <c r="L87" s="31"/>
      <c r="M87" s="31"/>
      <c r="N87" s="31"/>
      <c r="O87" s="31"/>
      <c r="P87" s="31"/>
      <c r="Q87" s="31"/>
      <c r="R87" s="203"/>
      <c r="S87" s="191"/>
    </row>
    <row r="88" spans="1:20" ht="79.5" customHeight="1" thickBot="1" x14ac:dyDescent="0.3">
      <c r="A88" s="202"/>
      <c r="B88" s="188"/>
      <c r="C88" s="184"/>
      <c r="D88" s="28" t="s">
        <v>30</v>
      </c>
      <c r="E88" s="29">
        <v>574</v>
      </c>
      <c r="F88" s="29">
        <v>574</v>
      </c>
      <c r="G88" s="29">
        <v>207.2</v>
      </c>
      <c r="H88" s="188"/>
      <c r="I88" s="182"/>
      <c r="J88" s="184"/>
      <c r="K88" s="186"/>
      <c r="L88" s="31"/>
      <c r="M88" s="31"/>
      <c r="N88" s="31"/>
      <c r="O88" s="31"/>
      <c r="P88" s="31"/>
      <c r="Q88" s="31"/>
      <c r="R88" s="188"/>
      <c r="S88" s="190"/>
    </row>
    <row r="89" spans="1:20" ht="52.5" customHeight="1" x14ac:dyDescent="0.25">
      <c r="A89" s="200" t="s">
        <v>221</v>
      </c>
      <c r="B89" s="187" t="s">
        <v>222</v>
      </c>
      <c r="C89" s="181"/>
      <c r="D89" s="51"/>
      <c r="E89" s="52">
        <f>SUM(E90:E91)</f>
        <v>120.8</v>
      </c>
      <c r="F89" s="52">
        <f>SUM(F90:F91)</f>
        <v>123.7</v>
      </c>
      <c r="G89" s="52">
        <f>SUM(G90:G91)</f>
        <v>123.7</v>
      </c>
      <c r="H89" s="187" t="s">
        <v>223</v>
      </c>
      <c r="I89" s="181" t="s">
        <v>215</v>
      </c>
      <c r="J89" s="183">
        <v>100</v>
      </c>
      <c r="K89" s="298" t="s">
        <v>1819</v>
      </c>
      <c r="L89" s="24"/>
      <c r="M89" s="24"/>
      <c r="N89" s="24"/>
      <c r="O89" s="24"/>
      <c r="P89" s="24"/>
      <c r="Q89" s="24"/>
      <c r="R89" s="187" t="s">
        <v>224</v>
      </c>
      <c r="S89" s="301" t="s">
        <v>225</v>
      </c>
    </row>
    <row r="90" spans="1:20" ht="80.25" customHeight="1" x14ac:dyDescent="0.25">
      <c r="A90" s="201"/>
      <c r="B90" s="203"/>
      <c r="C90" s="204"/>
      <c r="D90" s="28" t="s">
        <v>30</v>
      </c>
      <c r="E90" s="29">
        <v>120.8</v>
      </c>
      <c r="F90" s="29">
        <v>120.8</v>
      </c>
      <c r="G90" s="29">
        <v>120.8</v>
      </c>
      <c r="H90" s="203"/>
      <c r="I90" s="204"/>
      <c r="J90" s="205"/>
      <c r="K90" s="299"/>
      <c r="L90" s="31"/>
      <c r="M90" s="31"/>
      <c r="N90" s="31"/>
      <c r="O90" s="31"/>
      <c r="P90" s="31"/>
      <c r="Q90" s="31"/>
      <c r="R90" s="203"/>
      <c r="S90" s="302"/>
    </row>
    <row r="91" spans="1:20" ht="133.5" customHeight="1" thickBot="1" x14ac:dyDescent="0.3">
      <c r="A91" s="202"/>
      <c r="B91" s="188"/>
      <c r="C91" s="182"/>
      <c r="D91" s="28" t="s">
        <v>25</v>
      </c>
      <c r="E91" s="29">
        <v>0</v>
      </c>
      <c r="F91" s="29">
        <v>2.9</v>
      </c>
      <c r="G91" s="29">
        <v>2.9</v>
      </c>
      <c r="H91" s="188"/>
      <c r="I91" s="182"/>
      <c r="J91" s="184"/>
      <c r="K91" s="300"/>
      <c r="L91" s="31"/>
      <c r="M91" s="31"/>
      <c r="N91" s="31"/>
      <c r="O91" s="31"/>
      <c r="P91" s="31"/>
      <c r="Q91" s="31"/>
      <c r="R91" s="188"/>
      <c r="S91" s="303"/>
    </row>
    <row r="92" spans="1:20" ht="67.5" customHeight="1" x14ac:dyDescent="0.25">
      <c r="A92" s="210" t="s">
        <v>226</v>
      </c>
      <c r="B92" s="187" t="s">
        <v>227</v>
      </c>
      <c r="C92" s="181"/>
      <c r="D92" s="51"/>
      <c r="E92" s="52">
        <f>SUM(E93:E94)</f>
        <v>0</v>
      </c>
      <c r="F92" s="52">
        <f>SUM(F93:F94)</f>
        <v>457.1</v>
      </c>
      <c r="G92" s="52">
        <f>SUM(G93:G94)</f>
        <v>295.3</v>
      </c>
      <c r="H92" s="187" t="s">
        <v>228</v>
      </c>
      <c r="I92" s="181" t="s">
        <v>215</v>
      </c>
      <c r="J92" s="183">
        <v>40</v>
      </c>
      <c r="K92" s="164">
        <v>86.4</v>
      </c>
      <c r="L92" s="24" t="s">
        <v>42</v>
      </c>
      <c r="M92" s="24" t="s">
        <v>23</v>
      </c>
      <c r="N92" s="24"/>
      <c r="O92" s="24"/>
      <c r="P92" s="24"/>
      <c r="Q92" s="24"/>
      <c r="R92" s="187" t="s">
        <v>1615</v>
      </c>
      <c r="S92" s="189"/>
    </row>
    <row r="93" spans="1:20" ht="38.25" customHeight="1" x14ac:dyDescent="0.25">
      <c r="A93" s="211"/>
      <c r="B93" s="203"/>
      <c r="C93" s="204"/>
      <c r="D93" s="28" t="s">
        <v>30</v>
      </c>
      <c r="E93" s="29">
        <v>0</v>
      </c>
      <c r="F93" s="29">
        <v>100</v>
      </c>
      <c r="G93" s="29">
        <v>100</v>
      </c>
      <c r="H93" s="203"/>
      <c r="I93" s="204"/>
      <c r="J93" s="205"/>
      <c r="K93" s="206"/>
      <c r="L93" s="31"/>
      <c r="M93" s="31"/>
      <c r="N93" s="31"/>
      <c r="O93" s="31"/>
      <c r="P93" s="31"/>
      <c r="Q93" s="31"/>
      <c r="R93" s="203"/>
      <c r="S93" s="191"/>
    </row>
    <row r="94" spans="1:20" ht="73.5" customHeight="1" thickBot="1" x14ac:dyDescent="0.3">
      <c r="A94" s="212"/>
      <c r="B94" s="188"/>
      <c r="C94" s="182"/>
      <c r="D94" s="28" t="s">
        <v>196</v>
      </c>
      <c r="E94" s="29">
        <v>0</v>
      </c>
      <c r="F94" s="29">
        <v>357.1</v>
      </c>
      <c r="G94" s="29">
        <v>195.3</v>
      </c>
      <c r="H94" s="188"/>
      <c r="I94" s="182"/>
      <c r="J94" s="184"/>
      <c r="K94" s="165"/>
      <c r="L94" s="31"/>
      <c r="M94" s="31"/>
      <c r="N94" s="31"/>
      <c r="O94" s="31"/>
      <c r="P94" s="31"/>
      <c r="Q94" s="31"/>
      <c r="R94" s="188"/>
      <c r="S94" s="190"/>
    </row>
    <row r="95" spans="1:20" ht="60.75" thickBot="1" x14ac:dyDescent="0.3">
      <c r="A95" s="8" t="s">
        <v>230</v>
      </c>
      <c r="B95" s="9" t="s">
        <v>231</v>
      </c>
      <c r="C95" s="10"/>
      <c r="D95" s="10"/>
      <c r="E95" s="11">
        <f>E96+E109</f>
        <v>307.69999999999993</v>
      </c>
      <c r="F95" s="11">
        <f>F96+F109</f>
        <v>394.7</v>
      </c>
      <c r="G95" s="11">
        <f>G96+G109</f>
        <v>214.70000000000002</v>
      </c>
      <c r="H95" s="177"/>
      <c r="I95" s="178"/>
      <c r="J95" s="178"/>
      <c r="K95" s="178"/>
      <c r="L95" s="178"/>
      <c r="M95" s="178"/>
      <c r="N95" s="178"/>
      <c r="O95" s="178"/>
      <c r="P95" s="178"/>
      <c r="Q95" s="178"/>
      <c r="R95" s="178"/>
      <c r="S95" s="179"/>
    </row>
    <row r="96" spans="1:20" ht="30.75" thickBot="1" x14ac:dyDescent="0.3">
      <c r="A96" s="12" t="s">
        <v>232</v>
      </c>
      <c r="B96" s="13" t="s">
        <v>233</v>
      </c>
      <c r="C96" s="14"/>
      <c r="D96" s="14"/>
      <c r="E96" s="15">
        <f>E97+E100+E103+E106</f>
        <v>284.69999999999993</v>
      </c>
      <c r="F96" s="15">
        <f>F97+F100+F103+F106</f>
        <v>371.7</v>
      </c>
      <c r="G96" s="15">
        <f>G97+G100+G103+G106</f>
        <v>191.70000000000002</v>
      </c>
      <c r="H96" s="171"/>
      <c r="I96" s="172"/>
      <c r="J96" s="172"/>
      <c r="K96" s="172"/>
      <c r="L96" s="172"/>
      <c r="M96" s="172"/>
      <c r="N96" s="172"/>
      <c r="O96" s="172"/>
      <c r="P96" s="172"/>
      <c r="Q96" s="172"/>
      <c r="R96" s="172"/>
      <c r="S96" s="173"/>
    </row>
    <row r="97" spans="1:19" ht="56.25" customHeight="1" x14ac:dyDescent="0.25">
      <c r="A97" s="200" t="s">
        <v>234</v>
      </c>
      <c r="B97" s="187" t="s">
        <v>235</v>
      </c>
      <c r="C97" s="187" t="s">
        <v>207</v>
      </c>
      <c r="D97" s="51"/>
      <c r="E97" s="52">
        <f>SUM(E98:E99)</f>
        <v>143.5</v>
      </c>
      <c r="F97" s="52">
        <f>SUM(F98:F99)</f>
        <v>143.5</v>
      </c>
      <c r="G97" s="52">
        <f>SUM(G98:G99)</f>
        <v>0.3</v>
      </c>
      <c r="H97" s="187" t="s">
        <v>236</v>
      </c>
      <c r="I97" s="181" t="s">
        <v>21</v>
      </c>
      <c r="J97" s="183">
        <v>50</v>
      </c>
      <c r="K97" s="198">
        <v>0</v>
      </c>
      <c r="L97" s="24" t="s">
        <v>42</v>
      </c>
      <c r="M97" s="24" t="s">
        <v>23</v>
      </c>
      <c r="N97" s="24"/>
      <c r="O97" s="24"/>
      <c r="P97" s="24"/>
      <c r="Q97" s="24"/>
      <c r="R97" s="187" t="s">
        <v>238</v>
      </c>
      <c r="S97" s="189" t="s">
        <v>1616</v>
      </c>
    </row>
    <row r="98" spans="1:19" x14ac:dyDescent="0.25">
      <c r="A98" s="201"/>
      <c r="B98" s="203"/>
      <c r="C98" s="203"/>
      <c r="D98" s="28" t="s">
        <v>217</v>
      </c>
      <c r="E98" s="29">
        <v>140</v>
      </c>
      <c r="F98" s="29">
        <v>140</v>
      </c>
      <c r="G98" s="29">
        <v>0</v>
      </c>
      <c r="H98" s="203"/>
      <c r="I98" s="204"/>
      <c r="J98" s="205"/>
      <c r="K98" s="221"/>
      <c r="L98" s="31"/>
      <c r="M98" s="31"/>
      <c r="N98" s="31"/>
      <c r="O98" s="31"/>
      <c r="P98" s="31"/>
      <c r="Q98" s="31"/>
      <c r="R98" s="203"/>
      <c r="S98" s="191"/>
    </row>
    <row r="99" spans="1:19" ht="15.75" thickBot="1" x14ac:dyDescent="0.3">
      <c r="A99" s="202"/>
      <c r="B99" s="188"/>
      <c r="C99" s="188"/>
      <c r="D99" s="28" t="s">
        <v>25</v>
      </c>
      <c r="E99" s="29">
        <v>3.5</v>
      </c>
      <c r="F99" s="29">
        <v>3.5</v>
      </c>
      <c r="G99" s="29">
        <v>0.3</v>
      </c>
      <c r="H99" s="188"/>
      <c r="I99" s="182"/>
      <c r="J99" s="184"/>
      <c r="K99" s="199"/>
      <c r="L99" s="31"/>
      <c r="M99" s="31"/>
      <c r="N99" s="31"/>
      <c r="O99" s="31"/>
      <c r="P99" s="31"/>
      <c r="Q99" s="31"/>
      <c r="R99" s="188"/>
      <c r="S99" s="190"/>
    </row>
    <row r="100" spans="1:19" ht="363.75" customHeight="1" x14ac:dyDescent="0.25">
      <c r="A100" s="200" t="s">
        <v>239</v>
      </c>
      <c r="B100" s="187" t="s">
        <v>240</v>
      </c>
      <c r="C100" s="187" t="s">
        <v>207</v>
      </c>
      <c r="D100" s="51"/>
      <c r="E100" s="52">
        <f>SUM(E101:E102)</f>
        <v>138.4</v>
      </c>
      <c r="F100" s="52">
        <f>SUM(F101:F102)</f>
        <v>180.9</v>
      </c>
      <c r="G100" s="52">
        <f>SUM(G101:G102)</f>
        <v>180.3</v>
      </c>
      <c r="H100" s="187" t="s">
        <v>241</v>
      </c>
      <c r="I100" s="181" t="s">
        <v>215</v>
      </c>
      <c r="J100" s="183">
        <v>100</v>
      </c>
      <c r="K100" s="164">
        <v>100</v>
      </c>
      <c r="L100" s="24"/>
      <c r="M100" s="24"/>
      <c r="N100" s="24"/>
      <c r="O100" s="24"/>
      <c r="P100" s="24"/>
      <c r="Q100" s="24"/>
      <c r="R100" s="187" t="s">
        <v>1617</v>
      </c>
      <c r="S100" s="189"/>
    </row>
    <row r="101" spans="1:19" ht="63.75" customHeight="1" x14ac:dyDescent="0.25">
      <c r="A101" s="201"/>
      <c r="B101" s="203"/>
      <c r="C101" s="203"/>
      <c r="D101" s="28" t="s">
        <v>30</v>
      </c>
      <c r="E101" s="29">
        <v>102.3</v>
      </c>
      <c r="F101" s="29">
        <v>144.80000000000001</v>
      </c>
      <c r="G101" s="29">
        <v>144.6</v>
      </c>
      <c r="H101" s="203"/>
      <c r="I101" s="204"/>
      <c r="J101" s="205"/>
      <c r="K101" s="206"/>
      <c r="L101" s="31"/>
      <c r="M101" s="31"/>
      <c r="N101" s="31"/>
      <c r="O101" s="31"/>
      <c r="P101" s="31"/>
      <c r="Q101" s="31"/>
      <c r="R101" s="203"/>
      <c r="S101" s="191"/>
    </row>
    <row r="102" spans="1:19" ht="74.25" customHeight="1" thickBot="1" x14ac:dyDescent="0.3">
      <c r="A102" s="202"/>
      <c r="B102" s="188"/>
      <c r="C102" s="188"/>
      <c r="D102" s="28" t="s">
        <v>25</v>
      </c>
      <c r="E102" s="29">
        <v>36.1</v>
      </c>
      <c r="F102" s="29">
        <v>36.1</v>
      </c>
      <c r="G102" s="29">
        <v>35.700000000000003</v>
      </c>
      <c r="H102" s="188"/>
      <c r="I102" s="182"/>
      <c r="J102" s="184"/>
      <c r="K102" s="165"/>
      <c r="L102" s="31"/>
      <c r="M102" s="31"/>
      <c r="N102" s="31"/>
      <c r="O102" s="31"/>
      <c r="P102" s="31"/>
      <c r="Q102" s="31"/>
      <c r="R102" s="188"/>
      <c r="S102" s="190"/>
    </row>
    <row r="103" spans="1:19" ht="45" customHeight="1" x14ac:dyDescent="0.25">
      <c r="A103" s="200" t="s">
        <v>242</v>
      </c>
      <c r="B103" s="187" t="s">
        <v>243</v>
      </c>
      <c r="C103" s="187" t="s">
        <v>107</v>
      </c>
      <c r="D103" s="51"/>
      <c r="E103" s="52">
        <f>SUM(E104:E105)</f>
        <v>1.4</v>
      </c>
      <c r="F103" s="52">
        <f>SUM(F104:F105)</f>
        <v>31.299999999999997</v>
      </c>
      <c r="G103" s="52">
        <f>SUM(G104:G105)</f>
        <v>11</v>
      </c>
      <c r="H103" s="187" t="s">
        <v>241</v>
      </c>
      <c r="I103" s="181" t="s">
        <v>215</v>
      </c>
      <c r="J103" s="183">
        <v>30</v>
      </c>
      <c r="K103" s="198">
        <v>10</v>
      </c>
      <c r="L103" s="24" t="s">
        <v>245</v>
      </c>
      <c r="M103" s="24" t="s">
        <v>23</v>
      </c>
      <c r="N103" s="24" t="s">
        <v>42</v>
      </c>
      <c r="O103" s="24" t="s">
        <v>23</v>
      </c>
      <c r="P103" s="24"/>
      <c r="Q103" s="24"/>
      <c r="R103" s="187" t="s">
        <v>1618</v>
      </c>
      <c r="S103" s="189" t="s">
        <v>1619</v>
      </c>
    </row>
    <row r="104" spans="1:19" ht="28.5" customHeight="1" x14ac:dyDescent="0.25">
      <c r="A104" s="201"/>
      <c r="B104" s="203"/>
      <c r="C104" s="203"/>
      <c r="D104" s="28" t="s">
        <v>25</v>
      </c>
      <c r="E104" s="29">
        <v>1.4</v>
      </c>
      <c r="F104" s="29">
        <v>1.4</v>
      </c>
      <c r="G104" s="29">
        <v>0.2</v>
      </c>
      <c r="H104" s="203"/>
      <c r="I104" s="204"/>
      <c r="J104" s="205"/>
      <c r="K104" s="221"/>
      <c r="L104" s="31"/>
      <c r="M104" s="31"/>
      <c r="N104" s="31"/>
      <c r="O104" s="31"/>
      <c r="P104" s="31"/>
      <c r="Q104" s="31"/>
      <c r="R104" s="203"/>
      <c r="S104" s="191"/>
    </row>
    <row r="105" spans="1:19" ht="59.25" customHeight="1" thickBot="1" x14ac:dyDescent="0.3">
      <c r="A105" s="202"/>
      <c r="B105" s="188"/>
      <c r="C105" s="188"/>
      <c r="D105" s="28" t="s">
        <v>30</v>
      </c>
      <c r="E105" s="29">
        <v>0</v>
      </c>
      <c r="F105" s="29">
        <v>29.9</v>
      </c>
      <c r="G105" s="29">
        <v>10.8</v>
      </c>
      <c r="H105" s="188"/>
      <c r="I105" s="182"/>
      <c r="J105" s="184"/>
      <c r="K105" s="199"/>
      <c r="L105" s="31"/>
      <c r="M105" s="31"/>
      <c r="N105" s="31"/>
      <c r="O105" s="31"/>
      <c r="P105" s="31"/>
      <c r="Q105" s="31"/>
      <c r="R105" s="188"/>
      <c r="S105" s="190"/>
    </row>
    <row r="106" spans="1:19" ht="108.75" customHeight="1" x14ac:dyDescent="0.25">
      <c r="A106" s="200" t="s">
        <v>246</v>
      </c>
      <c r="B106" s="187" t="s">
        <v>247</v>
      </c>
      <c r="C106" s="187" t="s">
        <v>107</v>
      </c>
      <c r="D106" s="51"/>
      <c r="E106" s="52">
        <f>SUM(E107:E108)</f>
        <v>1.4</v>
      </c>
      <c r="F106" s="52">
        <f>SUM(F107:F108)</f>
        <v>16</v>
      </c>
      <c r="G106" s="52">
        <f>SUM(G107:G108)</f>
        <v>0.1</v>
      </c>
      <c r="H106" s="187" t="s">
        <v>241</v>
      </c>
      <c r="I106" s="181" t="s">
        <v>215</v>
      </c>
      <c r="J106" s="183">
        <v>36</v>
      </c>
      <c r="K106" s="198">
        <v>1</v>
      </c>
      <c r="L106" s="24" t="s">
        <v>249</v>
      </c>
      <c r="M106" s="24" t="s">
        <v>23</v>
      </c>
      <c r="N106" s="24" t="s">
        <v>42</v>
      </c>
      <c r="O106" s="24" t="s">
        <v>23</v>
      </c>
      <c r="P106" s="24"/>
      <c r="Q106" s="24"/>
      <c r="R106" s="187" t="s">
        <v>1620</v>
      </c>
      <c r="S106" s="189" t="s">
        <v>1621</v>
      </c>
    </row>
    <row r="107" spans="1:19" ht="85.5" customHeight="1" x14ac:dyDescent="0.25">
      <c r="A107" s="201"/>
      <c r="B107" s="203"/>
      <c r="C107" s="203"/>
      <c r="D107" s="28" t="s">
        <v>25</v>
      </c>
      <c r="E107" s="29">
        <v>1.4</v>
      </c>
      <c r="F107" s="29">
        <v>1.4</v>
      </c>
      <c r="G107" s="29">
        <v>0</v>
      </c>
      <c r="H107" s="203"/>
      <c r="I107" s="204"/>
      <c r="J107" s="205"/>
      <c r="K107" s="221"/>
      <c r="L107" s="31"/>
      <c r="M107" s="31"/>
      <c r="N107" s="31"/>
      <c r="O107" s="31"/>
      <c r="P107" s="31"/>
      <c r="Q107" s="31"/>
      <c r="R107" s="203"/>
      <c r="S107" s="191"/>
    </row>
    <row r="108" spans="1:19" ht="102" customHeight="1" thickBot="1" x14ac:dyDescent="0.3">
      <c r="A108" s="202"/>
      <c r="B108" s="188"/>
      <c r="C108" s="188"/>
      <c r="D108" s="28" t="s">
        <v>30</v>
      </c>
      <c r="E108" s="29">
        <v>0</v>
      </c>
      <c r="F108" s="29">
        <v>14.6</v>
      </c>
      <c r="G108" s="29">
        <v>0.1</v>
      </c>
      <c r="H108" s="188"/>
      <c r="I108" s="182"/>
      <c r="J108" s="184"/>
      <c r="K108" s="199"/>
      <c r="L108" s="31"/>
      <c r="M108" s="31"/>
      <c r="N108" s="31"/>
      <c r="O108" s="31"/>
      <c r="P108" s="31"/>
      <c r="Q108" s="31"/>
      <c r="R108" s="188"/>
      <c r="S108" s="190"/>
    </row>
    <row r="109" spans="1:19" ht="75.75" thickBot="1" x14ac:dyDescent="0.3">
      <c r="A109" s="12" t="s">
        <v>250</v>
      </c>
      <c r="B109" s="13" t="s">
        <v>251</v>
      </c>
      <c r="C109" s="14"/>
      <c r="D109" s="14"/>
      <c r="E109" s="15">
        <f>SUM(E110:E110)</f>
        <v>23</v>
      </c>
      <c r="F109" s="15">
        <f>SUM(F110:F110)</f>
        <v>23</v>
      </c>
      <c r="G109" s="15">
        <f>SUM(G110:G110)</f>
        <v>23</v>
      </c>
      <c r="H109" s="171"/>
      <c r="I109" s="172"/>
      <c r="J109" s="172"/>
      <c r="K109" s="172"/>
      <c r="L109" s="172"/>
      <c r="M109" s="172"/>
      <c r="N109" s="172"/>
      <c r="O109" s="172"/>
      <c r="P109" s="172"/>
      <c r="Q109" s="172"/>
      <c r="R109" s="172"/>
      <c r="S109" s="173"/>
    </row>
    <row r="110" spans="1:19" ht="134.25" customHeight="1" x14ac:dyDescent="0.25">
      <c r="A110" s="200" t="s">
        <v>252</v>
      </c>
      <c r="B110" s="187" t="s">
        <v>253</v>
      </c>
      <c r="C110" s="187" t="s">
        <v>107</v>
      </c>
      <c r="D110" s="187" t="s">
        <v>25</v>
      </c>
      <c r="E110" s="261">
        <f>SUM(E111:E111)+23</f>
        <v>23</v>
      </c>
      <c r="F110" s="261">
        <f>SUM(F111:F111)+23</f>
        <v>23</v>
      </c>
      <c r="G110" s="261">
        <f>SUM(G111:G111)+23</f>
        <v>23</v>
      </c>
      <c r="H110" s="83" t="s">
        <v>254</v>
      </c>
      <c r="I110" s="23" t="s">
        <v>21</v>
      </c>
      <c r="J110" s="50">
        <v>1</v>
      </c>
      <c r="K110" s="63" t="s">
        <v>1797</v>
      </c>
      <c r="L110" s="24"/>
      <c r="M110" s="24"/>
      <c r="N110" s="24"/>
      <c r="O110" s="24"/>
      <c r="P110" s="24"/>
      <c r="Q110" s="24"/>
      <c r="R110" s="187" t="s">
        <v>1622</v>
      </c>
      <c r="S110" s="209"/>
    </row>
    <row r="111" spans="1:19" ht="141" customHeight="1" thickBot="1" x14ac:dyDescent="0.3">
      <c r="A111" s="201"/>
      <c r="B111" s="203"/>
      <c r="C111" s="203"/>
      <c r="D111" s="203"/>
      <c r="E111" s="276"/>
      <c r="F111" s="276"/>
      <c r="G111" s="276"/>
      <c r="H111" s="28" t="s">
        <v>1798</v>
      </c>
      <c r="I111" s="30" t="s">
        <v>21</v>
      </c>
      <c r="J111" s="62">
        <v>10</v>
      </c>
      <c r="K111" s="65">
        <v>10</v>
      </c>
      <c r="L111" s="31"/>
      <c r="M111" s="31"/>
      <c r="N111" s="31"/>
      <c r="O111" s="31"/>
      <c r="P111" s="31"/>
      <c r="Q111" s="31"/>
      <c r="R111" s="188"/>
      <c r="S111" s="157"/>
    </row>
    <row r="112" spans="1:19" ht="32.25" customHeight="1" thickBot="1" x14ac:dyDescent="0.3">
      <c r="A112" s="4" t="s">
        <v>255</v>
      </c>
      <c r="B112" s="195" t="s">
        <v>256</v>
      </c>
      <c r="C112" s="196"/>
      <c r="D112" s="197"/>
      <c r="E112" s="7">
        <f>E113+E182</f>
        <v>6382.2</v>
      </c>
      <c r="F112" s="7">
        <f>F113+F182</f>
        <v>6721.0999999999985</v>
      </c>
      <c r="G112" s="7">
        <f>G113+G182+0.1</f>
        <v>4825.2000000000007</v>
      </c>
      <c r="H112" s="192"/>
      <c r="I112" s="193"/>
      <c r="J112" s="193"/>
      <c r="K112" s="193"/>
      <c r="L112" s="193"/>
      <c r="M112" s="193"/>
      <c r="N112" s="193"/>
      <c r="O112" s="193"/>
      <c r="P112" s="193"/>
      <c r="Q112" s="193"/>
      <c r="R112" s="193"/>
      <c r="S112" s="194"/>
    </row>
    <row r="113" spans="1:24" ht="77.25" customHeight="1" thickBot="1" x14ac:dyDescent="0.3">
      <c r="A113" s="8" t="s">
        <v>258</v>
      </c>
      <c r="B113" s="174" t="s">
        <v>259</v>
      </c>
      <c r="C113" s="175"/>
      <c r="D113" s="176"/>
      <c r="E113" s="11">
        <f>E114+E124+E137+E142+E148+E164+E177+0.1</f>
        <v>6363.0999999999995</v>
      </c>
      <c r="F113" s="11">
        <f>F114+F124+F137+F142+F148+F164+F177+0.1</f>
        <v>6705.9999999999982</v>
      </c>
      <c r="G113" s="11">
        <f>G114+G124+G137+G142+G148+G164+G177-0.1</f>
        <v>4815.5</v>
      </c>
      <c r="H113" s="177"/>
      <c r="I113" s="178"/>
      <c r="J113" s="178"/>
      <c r="K113" s="178"/>
      <c r="L113" s="178"/>
      <c r="M113" s="178"/>
      <c r="N113" s="178"/>
      <c r="O113" s="178"/>
      <c r="P113" s="178"/>
      <c r="Q113" s="178"/>
      <c r="R113" s="178"/>
      <c r="S113" s="179"/>
      <c r="V113" s="110"/>
      <c r="W113" s="111" t="s">
        <v>1</v>
      </c>
      <c r="X113" s="111" t="s">
        <v>1813</v>
      </c>
    </row>
    <row r="114" spans="1:24" ht="45.75" customHeight="1" thickBot="1" x14ac:dyDescent="0.3">
      <c r="A114" s="12" t="s">
        <v>260</v>
      </c>
      <c r="B114" s="168" t="s">
        <v>261</v>
      </c>
      <c r="C114" s="169"/>
      <c r="D114" s="170"/>
      <c r="E114" s="15">
        <f>E115+E118+E121</f>
        <v>4154.5</v>
      </c>
      <c r="F114" s="15">
        <f>F115+F118+F121</f>
        <v>4385.3999999999996</v>
      </c>
      <c r="G114" s="15">
        <f>G115+G118+G121</f>
        <v>4063.8</v>
      </c>
      <c r="H114" s="171"/>
      <c r="I114" s="172"/>
      <c r="J114" s="172"/>
      <c r="K114" s="172"/>
      <c r="L114" s="172"/>
      <c r="M114" s="172"/>
      <c r="N114" s="172"/>
      <c r="O114" s="172"/>
      <c r="P114" s="172"/>
      <c r="Q114" s="172"/>
      <c r="R114" s="172"/>
      <c r="S114" s="173"/>
      <c r="V114" s="117"/>
      <c r="W114" s="112" t="s">
        <v>1814</v>
      </c>
      <c r="X114" s="113">
        <v>12</v>
      </c>
    </row>
    <row r="115" spans="1:24" ht="93.75" customHeight="1" x14ac:dyDescent="0.25">
      <c r="A115" s="200" t="s">
        <v>262</v>
      </c>
      <c r="B115" s="187" t="s">
        <v>263</v>
      </c>
      <c r="C115" s="181" t="s">
        <v>257</v>
      </c>
      <c r="D115" s="51"/>
      <c r="E115" s="52">
        <f>SUM(E116:E117)</f>
        <v>3660.6</v>
      </c>
      <c r="F115" s="52">
        <f>SUM(F116:F117)</f>
        <v>3886.5</v>
      </c>
      <c r="G115" s="52">
        <f>SUM(G116:G117)</f>
        <v>3886.5</v>
      </c>
      <c r="H115" s="21" t="s">
        <v>264</v>
      </c>
      <c r="I115" s="23" t="s">
        <v>265</v>
      </c>
      <c r="J115" s="46">
        <v>36000</v>
      </c>
      <c r="K115" s="74">
        <v>33359.43</v>
      </c>
      <c r="L115" s="24" t="s">
        <v>266</v>
      </c>
      <c r="M115" s="24" t="s">
        <v>23</v>
      </c>
      <c r="N115" s="24" t="s">
        <v>266</v>
      </c>
      <c r="O115" s="24" t="s">
        <v>23</v>
      </c>
      <c r="P115" s="24"/>
      <c r="Q115" s="24"/>
      <c r="R115" s="83" t="s">
        <v>267</v>
      </c>
      <c r="S115" s="25"/>
      <c r="V115" s="118"/>
      <c r="W115" s="112" t="s">
        <v>1815</v>
      </c>
      <c r="X115" s="113">
        <v>7</v>
      </c>
    </row>
    <row r="116" spans="1:24" ht="90" x14ac:dyDescent="0.25">
      <c r="A116" s="201"/>
      <c r="B116" s="203"/>
      <c r="C116" s="204"/>
      <c r="D116" s="28" t="s">
        <v>25</v>
      </c>
      <c r="E116" s="29">
        <v>3184.1</v>
      </c>
      <c r="F116" s="29">
        <v>3410</v>
      </c>
      <c r="G116" s="29">
        <v>3410</v>
      </c>
      <c r="H116" s="213" t="s">
        <v>268</v>
      </c>
      <c r="I116" s="214" t="s">
        <v>21</v>
      </c>
      <c r="J116" s="215">
        <v>200</v>
      </c>
      <c r="K116" s="267">
        <v>0</v>
      </c>
      <c r="L116" s="31" t="s">
        <v>269</v>
      </c>
      <c r="M116" s="31" t="s">
        <v>23</v>
      </c>
      <c r="N116" s="31" t="s">
        <v>269</v>
      </c>
      <c r="O116" s="31" t="s">
        <v>23</v>
      </c>
      <c r="P116" s="31"/>
      <c r="Q116" s="31"/>
      <c r="R116" s="242"/>
      <c r="S116" s="304" t="s">
        <v>1783</v>
      </c>
      <c r="V116" s="116"/>
      <c r="W116" s="112" t="s">
        <v>1816</v>
      </c>
      <c r="X116" s="113">
        <v>1</v>
      </c>
    </row>
    <row r="117" spans="1:24" ht="16.5" thickBot="1" x14ac:dyDescent="0.3">
      <c r="A117" s="202"/>
      <c r="B117" s="188"/>
      <c r="C117" s="182"/>
      <c r="D117" s="28" t="s">
        <v>30</v>
      </c>
      <c r="E117" s="29">
        <v>476.5</v>
      </c>
      <c r="F117" s="29">
        <v>476.5</v>
      </c>
      <c r="G117" s="29">
        <v>476.5</v>
      </c>
      <c r="H117" s="188"/>
      <c r="I117" s="182"/>
      <c r="J117" s="184"/>
      <c r="K117" s="199"/>
      <c r="L117" s="31"/>
      <c r="M117" s="31"/>
      <c r="N117" s="31"/>
      <c r="O117" s="31"/>
      <c r="P117" s="31"/>
      <c r="Q117" s="31"/>
      <c r="R117" s="159"/>
      <c r="S117" s="248"/>
      <c r="V117" s="114"/>
      <c r="W117" s="119" t="s">
        <v>1817</v>
      </c>
      <c r="X117" s="115">
        <v>20</v>
      </c>
    </row>
    <row r="118" spans="1:24" ht="48" customHeight="1" x14ac:dyDescent="0.25">
      <c r="A118" s="200" t="s">
        <v>270</v>
      </c>
      <c r="B118" s="187" t="s">
        <v>271</v>
      </c>
      <c r="C118" s="187" t="s">
        <v>257</v>
      </c>
      <c r="D118" s="21"/>
      <c r="E118" s="22">
        <f>SUM(E119:E120)</f>
        <v>5</v>
      </c>
      <c r="F118" s="22">
        <f>SUM(F119:F120)</f>
        <v>10</v>
      </c>
      <c r="G118" s="22">
        <f>SUM(G119:G120)</f>
        <v>10</v>
      </c>
      <c r="H118" s="21" t="s">
        <v>272</v>
      </c>
      <c r="I118" s="23" t="s">
        <v>215</v>
      </c>
      <c r="J118" s="50">
        <v>100</v>
      </c>
      <c r="K118" s="66">
        <v>100</v>
      </c>
      <c r="L118" s="24" t="s">
        <v>42</v>
      </c>
      <c r="M118" s="24" t="s">
        <v>23</v>
      </c>
      <c r="N118" s="24" t="s">
        <v>42</v>
      </c>
      <c r="O118" s="24" t="s">
        <v>23</v>
      </c>
      <c r="P118" s="24"/>
      <c r="Q118" s="24"/>
      <c r="R118" s="158" t="s">
        <v>273</v>
      </c>
      <c r="S118" s="166"/>
    </row>
    <row r="119" spans="1:24" ht="27.75" customHeight="1" x14ac:dyDescent="0.25">
      <c r="A119" s="201"/>
      <c r="B119" s="203"/>
      <c r="C119" s="203"/>
      <c r="D119" s="28" t="s">
        <v>274</v>
      </c>
      <c r="E119" s="29">
        <v>0</v>
      </c>
      <c r="F119" s="29">
        <v>0</v>
      </c>
      <c r="G119" s="29">
        <v>5</v>
      </c>
      <c r="H119" s="213" t="s">
        <v>275</v>
      </c>
      <c r="I119" s="214" t="s">
        <v>265</v>
      </c>
      <c r="J119" s="215">
        <v>170</v>
      </c>
      <c r="K119" s="267">
        <v>126.26</v>
      </c>
      <c r="L119" s="31" t="s">
        <v>41</v>
      </c>
      <c r="M119" s="31" t="s">
        <v>23</v>
      </c>
      <c r="N119" s="31" t="s">
        <v>41</v>
      </c>
      <c r="O119" s="31" t="s">
        <v>23</v>
      </c>
      <c r="P119" s="31"/>
      <c r="Q119" s="31"/>
      <c r="R119" s="220"/>
      <c r="S119" s="316"/>
    </row>
    <row r="120" spans="1:24" ht="30" customHeight="1" thickBot="1" x14ac:dyDescent="0.3">
      <c r="A120" s="202"/>
      <c r="B120" s="188"/>
      <c r="C120" s="188"/>
      <c r="D120" s="28" t="s">
        <v>25</v>
      </c>
      <c r="E120" s="29">
        <v>5</v>
      </c>
      <c r="F120" s="29">
        <v>10</v>
      </c>
      <c r="G120" s="29">
        <v>5</v>
      </c>
      <c r="H120" s="188"/>
      <c r="I120" s="182"/>
      <c r="J120" s="184"/>
      <c r="K120" s="199"/>
      <c r="L120" s="31"/>
      <c r="M120" s="31"/>
      <c r="N120" s="31"/>
      <c r="O120" s="31"/>
      <c r="P120" s="31"/>
      <c r="Q120" s="31"/>
      <c r="R120" s="159"/>
      <c r="S120" s="167"/>
    </row>
    <row r="121" spans="1:24" ht="85.5" customHeight="1" x14ac:dyDescent="0.25">
      <c r="A121" s="200" t="s">
        <v>276</v>
      </c>
      <c r="B121" s="187" t="s">
        <v>277</v>
      </c>
      <c r="C121" s="187" t="s">
        <v>207</v>
      </c>
      <c r="D121" s="51"/>
      <c r="E121" s="52">
        <f>SUM(E122:E123)</f>
        <v>488.9</v>
      </c>
      <c r="F121" s="52">
        <f>SUM(F122:F123)</f>
        <v>488.9</v>
      </c>
      <c r="G121" s="52">
        <f>SUM(G122:G123)</f>
        <v>167.3</v>
      </c>
      <c r="H121" s="21" t="s">
        <v>278</v>
      </c>
      <c r="I121" s="23" t="s">
        <v>21</v>
      </c>
      <c r="J121" s="50">
        <v>289</v>
      </c>
      <c r="K121" s="67">
        <v>100</v>
      </c>
      <c r="L121" s="24" t="s">
        <v>23</v>
      </c>
      <c r="M121" s="24" t="s">
        <v>23</v>
      </c>
      <c r="N121" s="24" t="s">
        <v>23</v>
      </c>
      <c r="O121" s="24" t="s">
        <v>23</v>
      </c>
      <c r="P121" s="24"/>
      <c r="Q121" s="24"/>
      <c r="R121" s="21" t="s">
        <v>279</v>
      </c>
      <c r="S121" s="25" t="s">
        <v>1625</v>
      </c>
    </row>
    <row r="122" spans="1:24" ht="80.25" customHeight="1" x14ac:dyDescent="0.25">
      <c r="A122" s="201"/>
      <c r="B122" s="203"/>
      <c r="C122" s="203"/>
      <c r="D122" s="28" t="s">
        <v>30</v>
      </c>
      <c r="E122" s="29">
        <v>218</v>
      </c>
      <c r="F122" s="29">
        <v>218</v>
      </c>
      <c r="G122" s="29">
        <v>167.3</v>
      </c>
      <c r="H122" s="213" t="s">
        <v>280</v>
      </c>
      <c r="I122" s="214" t="s">
        <v>21</v>
      </c>
      <c r="J122" s="215">
        <v>1</v>
      </c>
      <c r="K122" s="267">
        <v>0</v>
      </c>
      <c r="L122" s="31" t="s">
        <v>23</v>
      </c>
      <c r="M122" s="31" t="s">
        <v>23</v>
      </c>
      <c r="N122" s="31" t="s">
        <v>23</v>
      </c>
      <c r="O122" s="31" t="s">
        <v>23</v>
      </c>
      <c r="P122" s="31"/>
      <c r="Q122" s="31"/>
      <c r="R122" s="213" t="s">
        <v>1623</v>
      </c>
      <c r="S122" s="217" t="s">
        <v>1624</v>
      </c>
    </row>
    <row r="123" spans="1:24" ht="57" customHeight="1" thickBot="1" x14ac:dyDescent="0.3">
      <c r="A123" s="202"/>
      <c r="B123" s="188"/>
      <c r="C123" s="188"/>
      <c r="D123" s="28" t="s">
        <v>25</v>
      </c>
      <c r="E123" s="29">
        <v>270.89999999999998</v>
      </c>
      <c r="F123" s="29">
        <v>270.89999999999998</v>
      </c>
      <c r="G123" s="29"/>
      <c r="H123" s="188"/>
      <c r="I123" s="182"/>
      <c r="J123" s="184"/>
      <c r="K123" s="199"/>
      <c r="L123" s="31"/>
      <c r="M123" s="31"/>
      <c r="N123" s="31"/>
      <c r="O123" s="31"/>
      <c r="P123" s="31"/>
      <c r="Q123" s="31"/>
      <c r="R123" s="188"/>
      <c r="S123" s="190"/>
    </row>
    <row r="124" spans="1:24" ht="50.25" customHeight="1" thickBot="1" x14ac:dyDescent="0.3">
      <c r="A124" s="12" t="s">
        <v>281</v>
      </c>
      <c r="B124" s="168" t="s">
        <v>282</v>
      </c>
      <c r="C124" s="169"/>
      <c r="D124" s="170"/>
      <c r="E124" s="15">
        <f>E125+E128+E133+E136</f>
        <v>200.7</v>
      </c>
      <c r="F124" s="15">
        <f>F125+F128+F133+F136</f>
        <v>195.7</v>
      </c>
      <c r="G124" s="15">
        <f>G125+G128+G133+G136</f>
        <v>142.30000000000001</v>
      </c>
      <c r="H124" s="171"/>
      <c r="I124" s="172"/>
      <c r="J124" s="172"/>
      <c r="K124" s="172"/>
      <c r="L124" s="172"/>
      <c r="M124" s="172"/>
      <c r="N124" s="172"/>
      <c r="O124" s="172"/>
      <c r="P124" s="172"/>
      <c r="Q124" s="172"/>
      <c r="R124" s="172"/>
      <c r="S124" s="173"/>
    </row>
    <row r="125" spans="1:24" ht="110.25" customHeight="1" x14ac:dyDescent="0.25">
      <c r="A125" s="200" t="s">
        <v>283</v>
      </c>
      <c r="B125" s="187" t="s">
        <v>284</v>
      </c>
      <c r="C125" s="181" t="s">
        <v>257</v>
      </c>
      <c r="D125" s="51"/>
      <c r="E125" s="52">
        <f>SUM(E126:E127)</f>
        <v>20</v>
      </c>
      <c r="F125" s="52">
        <f>SUM(F126:F127)</f>
        <v>20</v>
      </c>
      <c r="G125" s="52">
        <f>SUM(G126:G127)</f>
        <v>9.5</v>
      </c>
      <c r="H125" s="187" t="s">
        <v>285</v>
      </c>
      <c r="I125" s="181" t="s">
        <v>21</v>
      </c>
      <c r="J125" s="183">
        <v>3</v>
      </c>
      <c r="K125" s="164" t="s">
        <v>1626</v>
      </c>
      <c r="L125" s="24" t="s">
        <v>34</v>
      </c>
      <c r="M125" s="24" t="s">
        <v>23</v>
      </c>
      <c r="N125" s="24" t="s">
        <v>34</v>
      </c>
      <c r="O125" s="24" t="s">
        <v>23</v>
      </c>
      <c r="P125" s="24"/>
      <c r="Q125" s="24"/>
      <c r="R125" s="187" t="s">
        <v>1627</v>
      </c>
      <c r="S125" s="189"/>
    </row>
    <row r="126" spans="1:24" x14ac:dyDescent="0.25">
      <c r="A126" s="201"/>
      <c r="B126" s="203"/>
      <c r="C126" s="204"/>
      <c r="D126" s="28" t="s">
        <v>274</v>
      </c>
      <c r="E126" s="29">
        <v>0</v>
      </c>
      <c r="F126" s="29">
        <v>0</v>
      </c>
      <c r="G126" s="29">
        <v>9.5</v>
      </c>
      <c r="H126" s="203"/>
      <c r="I126" s="204"/>
      <c r="J126" s="205"/>
      <c r="K126" s="206"/>
      <c r="L126" s="31"/>
      <c r="M126" s="31"/>
      <c r="N126" s="31"/>
      <c r="O126" s="31"/>
      <c r="P126" s="31"/>
      <c r="Q126" s="31"/>
      <c r="R126" s="203"/>
      <c r="S126" s="191"/>
    </row>
    <row r="127" spans="1:24" ht="34.5" customHeight="1" thickBot="1" x14ac:dyDescent="0.3">
      <c r="A127" s="202"/>
      <c r="B127" s="188"/>
      <c r="C127" s="182"/>
      <c r="D127" s="28" t="s">
        <v>25</v>
      </c>
      <c r="E127" s="29">
        <v>20</v>
      </c>
      <c r="F127" s="29">
        <v>20</v>
      </c>
      <c r="G127" s="29">
        <v>0</v>
      </c>
      <c r="H127" s="188"/>
      <c r="I127" s="182"/>
      <c r="J127" s="184"/>
      <c r="K127" s="165"/>
      <c r="L127" s="31"/>
      <c r="M127" s="31"/>
      <c r="N127" s="31"/>
      <c r="O127" s="31"/>
      <c r="P127" s="31"/>
      <c r="Q127" s="31"/>
      <c r="R127" s="188"/>
      <c r="S127" s="190"/>
    </row>
    <row r="128" spans="1:24" ht="33.75" customHeight="1" x14ac:dyDescent="0.25">
      <c r="A128" s="200" t="s">
        <v>286</v>
      </c>
      <c r="B128" s="187" t="s">
        <v>287</v>
      </c>
      <c r="C128" s="187" t="s">
        <v>257</v>
      </c>
      <c r="D128" s="51"/>
      <c r="E128" s="52">
        <f>SUM(E129:E132)</f>
        <v>115.7</v>
      </c>
      <c r="F128" s="52">
        <f>SUM(F129:F132)</f>
        <v>110.6</v>
      </c>
      <c r="G128" s="52">
        <f>SUM(G129:G132)</f>
        <v>90.8</v>
      </c>
      <c r="H128" s="187" t="s">
        <v>288</v>
      </c>
      <c r="I128" s="181" t="s">
        <v>215</v>
      </c>
      <c r="J128" s="183">
        <v>100</v>
      </c>
      <c r="K128" s="185">
        <v>82</v>
      </c>
      <c r="L128" s="24" t="s">
        <v>42</v>
      </c>
      <c r="M128" s="24" t="s">
        <v>23</v>
      </c>
      <c r="N128" s="24" t="s">
        <v>42</v>
      </c>
      <c r="O128" s="24" t="s">
        <v>23</v>
      </c>
      <c r="P128" s="24"/>
      <c r="Q128" s="24"/>
      <c r="R128" s="187" t="s">
        <v>1628</v>
      </c>
      <c r="S128" s="189" t="s">
        <v>1629</v>
      </c>
    </row>
    <row r="129" spans="1:19" x14ac:dyDescent="0.25">
      <c r="A129" s="201"/>
      <c r="B129" s="203"/>
      <c r="C129" s="203"/>
      <c r="D129" s="28" t="s">
        <v>274</v>
      </c>
      <c r="E129" s="29">
        <v>0</v>
      </c>
      <c r="F129" s="29">
        <v>0</v>
      </c>
      <c r="G129" s="29">
        <v>64.3</v>
      </c>
      <c r="H129" s="203"/>
      <c r="I129" s="204"/>
      <c r="J129" s="205"/>
      <c r="K129" s="243"/>
      <c r="L129" s="31"/>
      <c r="M129" s="31"/>
      <c r="N129" s="31"/>
      <c r="O129" s="31"/>
      <c r="P129" s="31"/>
      <c r="Q129" s="31"/>
      <c r="R129" s="203"/>
      <c r="S129" s="191"/>
    </row>
    <row r="130" spans="1:19" ht="24.75" customHeight="1" x14ac:dyDescent="0.25">
      <c r="A130" s="201"/>
      <c r="B130" s="203"/>
      <c r="C130" s="203"/>
      <c r="D130" s="28" t="s">
        <v>289</v>
      </c>
      <c r="E130" s="29">
        <v>0</v>
      </c>
      <c r="F130" s="29">
        <v>0</v>
      </c>
      <c r="G130" s="29">
        <v>26.5</v>
      </c>
      <c r="H130" s="203"/>
      <c r="I130" s="204"/>
      <c r="J130" s="205"/>
      <c r="K130" s="243"/>
      <c r="L130" s="31"/>
      <c r="M130" s="31"/>
      <c r="N130" s="31"/>
      <c r="O130" s="31"/>
      <c r="P130" s="31"/>
      <c r="Q130" s="31"/>
      <c r="R130" s="203"/>
      <c r="S130" s="191"/>
    </row>
    <row r="131" spans="1:19" ht="30" customHeight="1" x14ac:dyDescent="0.25">
      <c r="A131" s="201"/>
      <c r="B131" s="203"/>
      <c r="C131" s="203"/>
      <c r="D131" s="28" t="s">
        <v>30</v>
      </c>
      <c r="E131" s="29">
        <v>26.5</v>
      </c>
      <c r="F131" s="29">
        <v>26.5</v>
      </c>
      <c r="G131" s="29">
        <v>0</v>
      </c>
      <c r="H131" s="203"/>
      <c r="I131" s="204"/>
      <c r="J131" s="205"/>
      <c r="K131" s="243"/>
      <c r="L131" s="31"/>
      <c r="M131" s="31"/>
      <c r="N131" s="31"/>
      <c r="O131" s="31"/>
      <c r="P131" s="31"/>
      <c r="Q131" s="31"/>
      <c r="R131" s="203"/>
      <c r="S131" s="191"/>
    </row>
    <row r="132" spans="1:19" ht="30.75" customHeight="1" thickBot="1" x14ac:dyDescent="0.3">
      <c r="A132" s="202"/>
      <c r="B132" s="188"/>
      <c r="C132" s="188"/>
      <c r="D132" s="28" t="s">
        <v>25</v>
      </c>
      <c r="E132" s="29">
        <v>89.2</v>
      </c>
      <c r="F132" s="29">
        <v>84.1</v>
      </c>
      <c r="G132" s="29">
        <v>0</v>
      </c>
      <c r="H132" s="188"/>
      <c r="I132" s="182"/>
      <c r="J132" s="184"/>
      <c r="K132" s="186"/>
      <c r="L132" s="31"/>
      <c r="M132" s="31"/>
      <c r="N132" s="31"/>
      <c r="O132" s="31"/>
      <c r="P132" s="31"/>
      <c r="Q132" s="31"/>
      <c r="R132" s="188"/>
      <c r="S132" s="190"/>
    </row>
    <row r="133" spans="1:19" ht="45" customHeight="1" x14ac:dyDescent="0.25">
      <c r="A133" s="200" t="s">
        <v>290</v>
      </c>
      <c r="B133" s="187" t="s">
        <v>291</v>
      </c>
      <c r="C133" s="187" t="s">
        <v>257</v>
      </c>
      <c r="D133" s="51"/>
      <c r="E133" s="52">
        <f>SUM(E134:E135)</f>
        <v>15</v>
      </c>
      <c r="F133" s="52">
        <f>SUM(F134:F135)</f>
        <v>20.100000000000001</v>
      </c>
      <c r="G133" s="52">
        <f>SUM(G134:G135)</f>
        <v>20</v>
      </c>
      <c r="H133" s="187" t="s">
        <v>292</v>
      </c>
      <c r="I133" s="181" t="s">
        <v>21</v>
      </c>
      <c r="J133" s="183">
        <v>100</v>
      </c>
      <c r="K133" s="164" t="s">
        <v>1632</v>
      </c>
      <c r="L133" s="24" t="s">
        <v>42</v>
      </c>
      <c r="M133" s="24" t="s">
        <v>23</v>
      </c>
      <c r="N133" s="24" t="s">
        <v>42</v>
      </c>
      <c r="O133" s="24" t="s">
        <v>23</v>
      </c>
      <c r="P133" s="24"/>
      <c r="Q133" s="24"/>
      <c r="R133" s="187" t="s">
        <v>1630</v>
      </c>
      <c r="S133" s="189"/>
    </row>
    <row r="134" spans="1:19" x14ac:dyDescent="0.25">
      <c r="A134" s="201"/>
      <c r="B134" s="203"/>
      <c r="C134" s="203"/>
      <c r="D134" s="28" t="s">
        <v>274</v>
      </c>
      <c r="E134" s="29">
        <v>0</v>
      </c>
      <c r="F134" s="29">
        <v>0</v>
      </c>
      <c r="G134" s="29">
        <v>20</v>
      </c>
      <c r="H134" s="203"/>
      <c r="I134" s="204"/>
      <c r="J134" s="205"/>
      <c r="K134" s="206"/>
      <c r="L134" s="31"/>
      <c r="M134" s="31"/>
      <c r="N134" s="31"/>
      <c r="O134" s="31"/>
      <c r="P134" s="31"/>
      <c r="Q134" s="31"/>
      <c r="R134" s="203"/>
      <c r="S134" s="191"/>
    </row>
    <row r="135" spans="1:19" ht="15.75" thickBot="1" x14ac:dyDescent="0.3">
      <c r="A135" s="202"/>
      <c r="B135" s="188"/>
      <c r="C135" s="188"/>
      <c r="D135" s="28" t="s">
        <v>25</v>
      </c>
      <c r="E135" s="29">
        <v>15</v>
      </c>
      <c r="F135" s="29">
        <v>20.100000000000001</v>
      </c>
      <c r="G135" s="29">
        <v>0</v>
      </c>
      <c r="H135" s="188"/>
      <c r="I135" s="182"/>
      <c r="J135" s="184"/>
      <c r="K135" s="165"/>
      <c r="L135" s="31"/>
      <c r="M135" s="31"/>
      <c r="N135" s="31"/>
      <c r="O135" s="31"/>
      <c r="P135" s="31"/>
      <c r="Q135" s="31"/>
      <c r="R135" s="188"/>
      <c r="S135" s="190"/>
    </row>
    <row r="136" spans="1:19" ht="96.75" customHeight="1" thickBot="1" x14ac:dyDescent="0.3">
      <c r="A136" s="19" t="s">
        <v>293</v>
      </c>
      <c r="B136" s="20" t="s">
        <v>294</v>
      </c>
      <c r="C136" s="21" t="s">
        <v>257</v>
      </c>
      <c r="D136" s="21" t="s">
        <v>25</v>
      </c>
      <c r="E136" s="33">
        <v>50</v>
      </c>
      <c r="F136" s="33">
        <v>45</v>
      </c>
      <c r="G136" s="33">
        <v>22</v>
      </c>
      <c r="H136" s="21" t="s">
        <v>295</v>
      </c>
      <c r="I136" s="23" t="s">
        <v>21</v>
      </c>
      <c r="J136" s="50">
        <v>3</v>
      </c>
      <c r="K136" s="63">
        <v>1</v>
      </c>
      <c r="L136" s="24" t="s">
        <v>34</v>
      </c>
      <c r="M136" s="24" t="s">
        <v>23</v>
      </c>
      <c r="N136" s="24" t="s">
        <v>34</v>
      </c>
      <c r="O136" s="24" t="s">
        <v>23</v>
      </c>
      <c r="P136" s="24"/>
      <c r="Q136" s="24"/>
      <c r="R136" s="21" t="s">
        <v>1631</v>
      </c>
      <c r="S136" s="105"/>
    </row>
    <row r="137" spans="1:19" ht="35.25" customHeight="1" thickBot="1" x14ac:dyDescent="0.3">
      <c r="A137" s="12" t="s">
        <v>296</v>
      </c>
      <c r="B137" s="168" t="s">
        <v>297</v>
      </c>
      <c r="C137" s="169"/>
      <c r="D137" s="170"/>
      <c r="E137" s="15">
        <f>E138+E141</f>
        <v>193.9</v>
      </c>
      <c r="F137" s="15">
        <f>F138+F141</f>
        <v>193.9</v>
      </c>
      <c r="G137" s="15">
        <f>G138+G141+0.1</f>
        <v>147.4</v>
      </c>
      <c r="H137" s="171"/>
      <c r="I137" s="172"/>
      <c r="J137" s="172"/>
      <c r="K137" s="172"/>
      <c r="L137" s="172"/>
      <c r="M137" s="172"/>
      <c r="N137" s="172"/>
      <c r="O137" s="172"/>
      <c r="P137" s="172"/>
      <c r="Q137" s="172"/>
      <c r="R137" s="172"/>
      <c r="S137" s="173"/>
    </row>
    <row r="138" spans="1:19" ht="60" x14ac:dyDescent="0.25">
      <c r="A138" s="200" t="s">
        <v>298</v>
      </c>
      <c r="B138" s="187" t="s">
        <v>299</v>
      </c>
      <c r="C138" s="187" t="s">
        <v>257</v>
      </c>
      <c r="D138" s="21"/>
      <c r="E138" s="22">
        <f>SUM(E139:E140)</f>
        <v>20</v>
      </c>
      <c r="F138" s="22">
        <f>SUM(F139:F140)</f>
        <v>20</v>
      </c>
      <c r="G138" s="22">
        <f>SUM(G139:G140)</f>
        <v>17.8</v>
      </c>
      <c r="H138" s="187" t="s">
        <v>300</v>
      </c>
      <c r="I138" s="181" t="s">
        <v>21</v>
      </c>
      <c r="J138" s="183">
        <v>30</v>
      </c>
      <c r="K138" s="164">
        <v>30</v>
      </c>
      <c r="L138" s="24" t="s">
        <v>34</v>
      </c>
      <c r="M138" s="24" t="s">
        <v>23</v>
      </c>
      <c r="N138" s="24" t="s">
        <v>52</v>
      </c>
      <c r="O138" s="24" t="s">
        <v>23</v>
      </c>
      <c r="P138" s="24"/>
      <c r="Q138" s="24"/>
      <c r="R138" s="187" t="s">
        <v>1633</v>
      </c>
      <c r="S138" s="209"/>
    </row>
    <row r="139" spans="1:19" x14ac:dyDescent="0.25">
      <c r="A139" s="201"/>
      <c r="B139" s="203"/>
      <c r="C139" s="203"/>
      <c r="D139" s="28" t="s">
        <v>274</v>
      </c>
      <c r="E139" s="29">
        <v>0</v>
      </c>
      <c r="F139" s="29">
        <v>0</v>
      </c>
      <c r="G139" s="29">
        <v>17.8</v>
      </c>
      <c r="H139" s="203"/>
      <c r="I139" s="204"/>
      <c r="J139" s="205"/>
      <c r="K139" s="206"/>
      <c r="L139" s="31"/>
      <c r="M139" s="31"/>
      <c r="N139" s="31"/>
      <c r="O139" s="31"/>
      <c r="P139" s="31"/>
      <c r="Q139" s="31"/>
      <c r="R139" s="203"/>
      <c r="S139" s="219"/>
    </row>
    <row r="140" spans="1:19" ht="15.75" thickBot="1" x14ac:dyDescent="0.3">
      <c r="A140" s="202"/>
      <c r="B140" s="188"/>
      <c r="C140" s="188"/>
      <c r="D140" s="28" t="s">
        <v>25</v>
      </c>
      <c r="E140" s="29">
        <v>20</v>
      </c>
      <c r="F140" s="29">
        <v>20</v>
      </c>
      <c r="G140" s="29">
        <v>0</v>
      </c>
      <c r="H140" s="188"/>
      <c r="I140" s="182"/>
      <c r="J140" s="184"/>
      <c r="K140" s="165"/>
      <c r="L140" s="31"/>
      <c r="M140" s="31"/>
      <c r="N140" s="31"/>
      <c r="O140" s="31"/>
      <c r="P140" s="31"/>
      <c r="Q140" s="31"/>
      <c r="R140" s="188"/>
      <c r="S140" s="157"/>
    </row>
    <row r="141" spans="1:19" ht="203.25" customHeight="1" thickBot="1" x14ac:dyDescent="0.3">
      <c r="A141" s="19" t="s">
        <v>301</v>
      </c>
      <c r="B141" s="20" t="s">
        <v>302</v>
      </c>
      <c r="C141" s="21" t="s">
        <v>207</v>
      </c>
      <c r="D141" s="21" t="s">
        <v>25</v>
      </c>
      <c r="E141" s="33">
        <v>173.9</v>
      </c>
      <c r="F141" s="33">
        <v>173.9</v>
      </c>
      <c r="G141" s="33">
        <v>129.5</v>
      </c>
      <c r="H141" s="21" t="s">
        <v>303</v>
      </c>
      <c r="I141" s="23" t="s">
        <v>215</v>
      </c>
      <c r="J141" s="50">
        <v>1.5</v>
      </c>
      <c r="K141" s="66">
        <v>1.5</v>
      </c>
      <c r="L141" s="24" t="s">
        <v>23</v>
      </c>
      <c r="M141" s="24" t="s">
        <v>23</v>
      </c>
      <c r="N141" s="24" t="s">
        <v>23</v>
      </c>
      <c r="O141" s="24" t="s">
        <v>23</v>
      </c>
      <c r="P141" s="24"/>
      <c r="Q141" s="24"/>
      <c r="R141" s="21" t="s">
        <v>305</v>
      </c>
      <c r="S141" s="25"/>
    </row>
    <row r="142" spans="1:19" ht="50.25" customHeight="1" thickBot="1" x14ac:dyDescent="0.3">
      <c r="A142" s="12" t="s">
        <v>306</v>
      </c>
      <c r="B142" s="168" t="s">
        <v>307</v>
      </c>
      <c r="C142" s="170"/>
      <c r="D142" s="14"/>
      <c r="E142" s="15">
        <f>SUM(E143:E143)</f>
        <v>1623.1</v>
      </c>
      <c r="F142" s="15">
        <f>SUM(F143:F143)</f>
        <v>1607.1</v>
      </c>
      <c r="G142" s="15">
        <f>SUM(G143:G143)</f>
        <v>147.9</v>
      </c>
      <c r="H142" s="171"/>
      <c r="I142" s="172"/>
      <c r="J142" s="172"/>
      <c r="K142" s="172"/>
      <c r="L142" s="172"/>
      <c r="M142" s="172"/>
      <c r="N142" s="172"/>
      <c r="O142" s="172"/>
      <c r="P142" s="172"/>
      <c r="Q142" s="172"/>
      <c r="R142" s="172"/>
      <c r="S142" s="173"/>
    </row>
    <row r="143" spans="1:19" ht="40.5" customHeight="1" x14ac:dyDescent="0.25">
      <c r="A143" s="200" t="s">
        <v>308</v>
      </c>
      <c r="B143" s="187" t="s">
        <v>309</v>
      </c>
      <c r="C143" s="187" t="s">
        <v>207</v>
      </c>
      <c r="D143" s="51"/>
      <c r="E143" s="52">
        <f>SUM(E144:E147)</f>
        <v>1623.1</v>
      </c>
      <c r="F143" s="52">
        <f>SUM(F144:F147)</f>
        <v>1607.1</v>
      </c>
      <c r="G143" s="52">
        <f>SUM(G144:G147)+0.1</f>
        <v>147.9</v>
      </c>
      <c r="H143" s="181" t="s">
        <v>310</v>
      </c>
      <c r="I143" s="181" t="s">
        <v>311</v>
      </c>
      <c r="J143" s="183">
        <v>8</v>
      </c>
      <c r="K143" s="164">
        <v>8</v>
      </c>
      <c r="L143" s="24" t="s">
        <v>23</v>
      </c>
      <c r="M143" s="24" t="s">
        <v>23</v>
      </c>
      <c r="N143" s="24" t="s">
        <v>23</v>
      </c>
      <c r="O143" s="24" t="s">
        <v>23</v>
      </c>
      <c r="P143" s="24"/>
      <c r="Q143" s="24"/>
      <c r="R143" s="21" t="s">
        <v>312</v>
      </c>
      <c r="S143" s="209"/>
    </row>
    <row r="144" spans="1:19" ht="38.25" customHeight="1" x14ac:dyDescent="0.25">
      <c r="A144" s="201"/>
      <c r="B144" s="203"/>
      <c r="C144" s="203"/>
      <c r="D144" s="28" t="s">
        <v>30</v>
      </c>
      <c r="E144" s="29">
        <v>40.6</v>
      </c>
      <c r="F144" s="29">
        <v>40.6</v>
      </c>
      <c r="G144" s="29">
        <v>30</v>
      </c>
      <c r="H144" s="204"/>
      <c r="I144" s="204"/>
      <c r="J144" s="205"/>
      <c r="K144" s="206"/>
      <c r="L144" s="31" t="s">
        <v>23</v>
      </c>
      <c r="M144" s="31" t="s">
        <v>23</v>
      </c>
      <c r="N144" s="31" t="s">
        <v>23</v>
      </c>
      <c r="O144" s="31" t="s">
        <v>23</v>
      </c>
      <c r="P144" s="31"/>
      <c r="Q144" s="31"/>
      <c r="R144" s="213" t="s">
        <v>313</v>
      </c>
      <c r="S144" s="219"/>
    </row>
    <row r="145" spans="1:19" x14ac:dyDescent="0.25">
      <c r="A145" s="201"/>
      <c r="B145" s="203"/>
      <c r="C145" s="203"/>
      <c r="D145" s="28" t="s">
        <v>201</v>
      </c>
      <c r="E145" s="29">
        <v>16</v>
      </c>
      <c r="F145" s="29"/>
      <c r="G145" s="29"/>
      <c r="H145" s="204"/>
      <c r="I145" s="204"/>
      <c r="J145" s="205"/>
      <c r="K145" s="206"/>
      <c r="L145" s="31"/>
      <c r="M145" s="31"/>
      <c r="N145" s="31"/>
      <c r="O145" s="31"/>
      <c r="P145" s="31"/>
      <c r="Q145" s="31"/>
      <c r="R145" s="203"/>
      <c r="S145" s="219"/>
    </row>
    <row r="146" spans="1:19" x14ac:dyDescent="0.25">
      <c r="A146" s="201"/>
      <c r="B146" s="203"/>
      <c r="C146" s="203"/>
      <c r="D146" s="28" t="s">
        <v>217</v>
      </c>
      <c r="E146" s="29">
        <v>1565</v>
      </c>
      <c r="F146" s="29">
        <v>1565</v>
      </c>
      <c r="G146" s="29">
        <v>116.5</v>
      </c>
      <c r="H146" s="204"/>
      <c r="I146" s="204"/>
      <c r="J146" s="205"/>
      <c r="K146" s="206"/>
      <c r="L146" s="31"/>
      <c r="M146" s="31"/>
      <c r="N146" s="31"/>
      <c r="O146" s="31"/>
      <c r="P146" s="31"/>
      <c r="Q146" s="31"/>
      <c r="R146" s="203"/>
      <c r="S146" s="219"/>
    </row>
    <row r="147" spans="1:19" ht="15.75" thickBot="1" x14ac:dyDescent="0.3">
      <c r="A147" s="202"/>
      <c r="B147" s="188"/>
      <c r="C147" s="188"/>
      <c r="D147" s="28" t="s">
        <v>25</v>
      </c>
      <c r="E147" s="29">
        <v>1.5</v>
      </c>
      <c r="F147" s="29">
        <v>1.5</v>
      </c>
      <c r="G147" s="29">
        <v>1.3</v>
      </c>
      <c r="H147" s="182"/>
      <c r="I147" s="182"/>
      <c r="J147" s="184"/>
      <c r="K147" s="165"/>
      <c r="L147" s="31"/>
      <c r="M147" s="31"/>
      <c r="N147" s="31"/>
      <c r="O147" s="31"/>
      <c r="P147" s="31"/>
      <c r="Q147" s="31"/>
      <c r="R147" s="188"/>
      <c r="S147" s="157"/>
    </row>
    <row r="148" spans="1:19" ht="45.75" customHeight="1" thickBot="1" x14ac:dyDescent="0.3">
      <c r="A148" s="12" t="s">
        <v>314</v>
      </c>
      <c r="B148" s="168" t="s">
        <v>315</v>
      </c>
      <c r="C148" s="170"/>
      <c r="D148" s="14"/>
      <c r="E148" s="15">
        <f>E149+E154+E157+E160</f>
        <v>156.79999999999998</v>
      </c>
      <c r="F148" s="15">
        <f>F149+F154+F157+F160</f>
        <v>290.89999999999998</v>
      </c>
      <c r="G148" s="15">
        <f>G149+G154+G157+G160</f>
        <v>287.09999999999997</v>
      </c>
      <c r="H148" s="171"/>
      <c r="I148" s="172"/>
      <c r="J148" s="172"/>
      <c r="K148" s="172"/>
      <c r="L148" s="172"/>
      <c r="M148" s="172"/>
      <c r="N148" s="172"/>
      <c r="O148" s="172"/>
      <c r="P148" s="172"/>
      <c r="Q148" s="172"/>
      <c r="R148" s="172"/>
      <c r="S148" s="173"/>
    </row>
    <row r="149" spans="1:19" ht="82.5" customHeight="1" x14ac:dyDescent="0.25">
      <c r="A149" s="200" t="s">
        <v>316</v>
      </c>
      <c r="B149" s="187" t="s">
        <v>317</v>
      </c>
      <c r="C149" s="187" t="s">
        <v>318</v>
      </c>
      <c r="D149" s="51"/>
      <c r="E149" s="52">
        <f>SUM(E150:E153)</f>
        <v>73.699999999999989</v>
      </c>
      <c r="F149" s="52">
        <f>SUM(F150:F153)</f>
        <v>81.099999999999994</v>
      </c>
      <c r="G149" s="52">
        <f>SUM(G150:G153)</f>
        <v>80.899999999999991</v>
      </c>
      <c r="H149" s="21" t="s">
        <v>319</v>
      </c>
      <c r="I149" s="23" t="s">
        <v>21</v>
      </c>
      <c r="J149" s="50">
        <v>1</v>
      </c>
      <c r="K149" s="66">
        <v>1</v>
      </c>
      <c r="L149" s="24" t="s">
        <v>22</v>
      </c>
      <c r="M149" s="24" t="s">
        <v>23</v>
      </c>
      <c r="N149" s="24" t="s">
        <v>22</v>
      </c>
      <c r="O149" s="24" t="s">
        <v>23</v>
      </c>
      <c r="P149" s="24"/>
      <c r="Q149" s="24"/>
      <c r="R149" s="21" t="s">
        <v>1634</v>
      </c>
      <c r="S149" s="25"/>
    </row>
    <row r="150" spans="1:19" ht="39.75" customHeight="1" x14ac:dyDescent="0.25">
      <c r="A150" s="201"/>
      <c r="B150" s="203"/>
      <c r="C150" s="203"/>
      <c r="D150" s="28" t="s">
        <v>274</v>
      </c>
      <c r="E150" s="29">
        <v>0</v>
      </c>
      <c r="F150" s="29">
        <v>0</v>
      </c>
      <c r="G150" s="29">
        <v>13</v>
      </c>
      <c r="H150" s="213" t="s">
        <v>320</v>
      </c>
      <c r="I150" s="214" t="s">
        <v>21</v>
      </c>
      <c r="J150" s="215">
        <v>1</v>
      </c>
      <c r="K150" s="216">
        <v>1</v>
      </c>
      <c r="L150" s="31" t="s">
        <v>22</v>
      </c>
      <c r="M150" s="31" t="s">
        <v>23</v>
      </c>
      <c r="N150" s="31" t="s">
        <v>22</v>
      </c>
      <c r="O150" s="31" t="s">
        <v>23</v>
      </c>
      <c r="P150" s="31"/>
      <c r="Q150" s="31"/>
      <c r="R150" s="213" t="s">
        <v>1635</v>
      </c>
      <c r="S150" s="156"/>
    </row>
    <row r="151" spans="1:19" x14ac:dyDescent="0.25">
      <c r="A151" s="201"/>
      <c r="B151" s="203"/>
      <c r="C151" s="203"/>
      <c r="D151" s="28" t="s">
        <v>175</v>
      </c>
      <c r="E151" s="29">
        <v>3</v>
      </c>
      <c r="F151" s="29">
        <v>3</v>
      </c>
      <c r="G151" s="29">
        <v>2.9</v>
      </c>
      <c r="H151" s="203"/>
      <c r="I151" s="204"/>
      <c r="J151" s="205"/>
      <c r="K151" s="206"/>
      <c r="L151" s="31"/>
      <c r="M151" s="31"/>
      <c r="N151" s="31"/>
      <c r="O151" s="31"/>
      <c r="P151" s="31"/>
      <c r="Q151" s="31"/>
      <c r="R151" s="203"/>
      <c r="S151" s="219"/>
    </row>
    <row r="152" spans="1:19" x14ac:dyDescent="0.25">
      <c r="A152" s="201"/>
      <c r="B152" s="203"/>
      <c r="C152" s="203"/>
      <c r="D152" s="28" t="s">
        <v>25</v>
      </c>
      <c r="E152" s="29">
        <v>69.099999999999994</v>
      </c>
      <c r="F152" s="29">
        <v>76.5</v>
      </c>
      <c r="G152" s="29">
        <v>63.4</v>
      </c>
      <c r="H152" s="203"/>
      <c r="I152" s="204"/>
      <c r="J152" s="205"/>
      <c r="K152" s="206"/>
      <c r="L152" s="31"/>
      <c r="M152" s="31"/>
      <c r="N152" s="31"/>
      <c r="O152" s="31"/>
      <c r="P152" s="31"/>
      <c r="Q152" s="31"/>
      <c r="R152" s="203"/>
      <c r="S152" s="219"/>
    </row>
    <row r="153" spans="1:19" ht="15.75" thickBot="1" x14ac:dyDescent="0.3">
      <c r="A153" s="202"/>
      <c r="B153" s="188"/>
      <c r="C153" s="188"/>
      <c r="D153" s="28" t="s">
        <v>30</v>
      </c>
      <c r="E153" s="29">
        <v>1.6</v>
      </c>
      <c r="F153" s="29">
        <v>1.6</v>
      </c>
      <c r="G153" s="29">
        <v>1.6</v>
      </c>
      <c r="H153" s="188"/>
      <c r="I153" s="182"/>
      <c r="J153" s="184"/>
      <c r="K153" s="165"/>
      <c r="L153" s="31"/>
      <c r="M153" s="31"/>
      <c r="N153" s="31"/>
      <c r="O153" s="31"/>
      <c r="P153" s="31"/>
      <c r="Q153" s="31"/>
      <c r="R153" s="188"/>
      <c r="S153" s="157"/>
    </row>
    <row r="154" spans="1:19" ht="47.25" customHeight="1" x14ac:dyDescent="0.25">
      <c r="A154" s="200" t="s">
        <v>321</v>
      </c>
      <c r="B154" s="187" t="s">
        <v>322</v>
      </c>
      <c r="C154" s="187" t="s">
        <v>257</v>
      </c>
      <c r="D154" s="51"/>
      <c r="E154" s="52">
        <f>SUM(E155:E156)</f>
        <v>25</v>
      </c>
      <c r="F154" s="52">
        <f>SUM(F155:F156)</f>
        <v>25</v>
      </c>
      <c r="G154" s="52">
        <f>SUM(G155:G156)</f>
        <v>25</v>
      </c>
      <c r="H154" s="187" t="s">
        <v>323</v>
      </c>
      <c r="I154" s="181" t="s">
        <v>265</v>
      </c>
      <c r="J154" s="183">
        <v>420</v>
      </c>
      <c r="K154" s="185">
        <v>417</v>
      </c>
      <c r="L154" s="24" t="s">
        <v>324</v>
      </c>
      <c r="M154" s="24" t="s">
        <v>23</v>
      </c>
      <c r="N154" s="24" t="s">
        <v>325</v>
      </c>
      <c r="O154" s="24" t="s">
        <v>23</v>
      </c>
      <c r="P154" s="24"/>
      <c r="Q154" s="24"/>
      <c r="R154" s="187" t="s">
        <v>1636</v>
      </c>
      <c r="S154" s="247"/>
    </row>
    <row r="155" spans="1:19" ht="31.5" customHeight="1" x14ac:dyDescent="0.25">
      <c r="A155" s="201"/>
      <c r="B155" s="203"/>
      <c r="C155" s="203"/>
      <c r="D155" s="28" t="s">
        <v>274</v>
      </c>
      <c r="E155" s="29">
        <v>0</v>
      </c>
      <c r="F155" s="29">
        <v>0</v>
      </c>
      <c r="G155" s="29">
        <v>25</v>
      </c>
      <c r="H155" s="203"/>
      <c r="I155" s="204"/>
      <c r="J155" s="205"/>
      <c r="K155" s="243"/>
      <c r="L155" s="31"/>
      <c r="M155" s="31"/>
      <c r="N155" s="31"/>
      <c r="O155" s="31"/>
      <c r="P155" s="31"/>
      <c r="Q155" s="31"/>
      <c r="R155" s="203"/>
      <c r="S155" s="263"/>
    </row>
    <row r="156" spans="1:19" ht="24.75" customHeight="1" thickBot="1" x14ac:dyDescent="0.3">
      <c r="A156" s="202"/>
      <c r="B156" s="188"/>
      <c r="C156" s="188"/>
      <c r="D156" s="28" t="s">
        <v>25</v>
      </c>
      <c r="E156" s="29">
        <v>25</v>
      </c>
      <c r="F156" s="29">
        <v>25</v>
      </c>
      <c r="G156" s="29">
        <v>0</v>
      </c>
      <c r="H156" s="188"/>
      <c r="I156" s="182"/>
      <c r="J156" s="184"/>
      <c r="K156" s="186"/>
      <c r="L156" s="31"/>
      <c r="M156" s="31"/>
      <c r="N156" s="31"/>
      <c r="O156" s="31"/>
      <c r="P156" s="31"/>
      <c r="Q156" s="31"/>
      <c r="R156" s="188"/>
      <c r="S156" s="248"/>
    </row>
    <row r="157" spans="1:19" ht="28.5" customHeight="1" x14ac:dyDescent="0.25">
      <c r="A157" s="200" t="s">
        <v>326</v>
      </c>
      <c r="B157" s="187" t="s">
        <v>327</v>
      </c>
      <c r="C157" s="187" t="s">
        <v>257</v>
      </c>
      <c r="D157" s="51"/>
      <c r="E157" s="52">
        <f>SUM(E158:E159)</f>
        <v>5</v>
      </c>
      <c r="F157" s="52">
        <f>SUM(F158:F159)</f>
        <v>6.1</v>
      </c>
      <c r="G157" s="52">
        <f>SUM(G158:G159)</f>
        <v>6</v>
      </c>
      <c r="H157" s="187" t="s">
        <v>328</v>
      </c>
      <c r="I157" s="181" t="s">
        <v>21</v>
      </c>
      <c r="J157" s="183">
        <v>1</v>
      </c>
      <c r="K157" s="164">
        <v>1</v>
      </c>
      <c r="L157" s="24" t="s">
        <v>22</v>
      </c>
      <c r="M157" s="24" t="s">
        <v>23</v>
      </c>
      <c r="N157" s="24" t="s">
        <v>22</v>
      </c>
      <c r="O157" s="24" t="s">
        <v>23</v>
      </c>
      <c r="P157" s="24"/>
      <c r="Q157" s="24"/>
      <c r="R157" s="187" t="s">
        <v>1637</v>
      </c>
      <c r="S157" s="209"/>
    </row>
    <row r="158" spans="1:19" ht="25.5" customHeight="1" x14ac:dyDescent="0.25">
      <c r="A158" s="201"/>
      <c r="B158" s="203"/>
      <c r="C158" s="203"/>
      <c r="D158" s="28" t="s">
        <v>274</v>
      </c>
      <c r="E158" s="29">
        <v>0</v>
      </c>
      <c r="F158" s="29">
        <v>0</v>
      </c>
      <c r="G158" s="29">
        <v>6</v>
      </c>
      <c r="H158" s="203"/>
      <c r="I158" s="204"/>
      <c r="J158" s="205"/>
      <c r="K158" s="206"/>
      <c r="L158" s="31"/>
      <c r="M158" s="31"/>
      <c r="N158" s="31"/>
      <c r="O158" s="31"/>
      <c r="P158" s="31"/>
      <c r="Q158" s="31"/>
      <c r="R158" s="203"/>
      <c r="S158" s="219"/>
    </row>
    <row r="159" spans="1:19" ht="60" customHeight="1" thickBot="1" x14ac:dyDescent="0.3">
      <c r="A159" s="202"/>
      <c r="B159" s="188"/>
      <c r="C159" s="188"/>
      <c r="D159" s="28" t="s">
        <v>25</v>
      </c>
      <c r="E159" s="29">
        <v>5</v>
      </c>
      <c r="F159" s="29">
        <v>6.1</v>
      </c>
      <c r="G159" s="29">
        <v>0</v>
      </c>
      <c r="H159" s="188"/>
      <c r="I159" s="182"/>
      <c r="J159" s="184"/>
      <c r="K159" s="165"/>
      <c r="L159" s="31"/>
      <c r="M159" s="31"/>
      <c r="N159" s="31"/>
      <c r="O159" s="31"/>
      <c r="P159" s="31"/>
      <c r="Q159" s="31"/>
      <c r="R159" s="188"/>
      <c r="S159" s="157"/>
    </row>
    <row r="160" spans="1:19" ht="54" customHeight="1" x14ac:dyDescent="0.25">
      <c r="A160" s="200" t="s">
        <v>329</v>
      </c>
      <c r="B160" s="187" t="s">
        <v>330</v>
      </c>
      <c r="C160" s="187" t="s">
        <v>207</v>
      </c>
      <c r="D160" s="51"/>
      <c r="E160" s="52">
        <f>SUM(E161:E163)</f>
        <v>53.1</v>
      </c>
      <c r="F160" s="52">
        <f>SUM(F161:F163)</f>
        <v>178.7</v>
      </c>
      <c r="G160" s="52">
        <f>SUM(G161:G163)+0.1</f>
        <v>175.19999999999996</v>
      </c>
      <c r="H160" s="187" t="s">
        <v>331</v>
      </c>
      <c r="I160" s="181" t="s">
        <v>21</v>
      </c>
      <c r="J160" s="183">
        <v>1</v>
      </c>
      <c r="K160" s="164">
        <v>1</v>
      </c>
      <c r="L160" s="24" t="s">
        <v>23</v>
      </c>
      <c r="M160" s="24" t="s">
        <v>23</v>
      </c>
      <c r="N160" s="24" t="s">
        <v>23</v>
      </c>
      <c r="O160" s="24" t="s">
        <v>23</v>
      </c>
      <c r="P160" s="24"/>
      <c r="Q160" s="24"/>
      <c r="R160" s="187" t="s">
        <v>332</v>
      </c>
      <c r="S160" s="209"/>
    </row>
    <row r="161" spans="1:19" ht="37.5" customHeight="1" x14ac:dyDescent="0.25">
      <c r="A161" s="201"/>
      <c r="B161" s="203"/>
      <c r="C161" s="203"/>
      <c r="D161" s="28" t="s">
        <v>217</v>
      </c>
      <c r="E161" s="29">
        <v>51.9</v>
      </c>
      <c r="F161" s="29">
        <v>158.1</v>
      </c>
      <c r="G161" s="29">
        <v>155.19999999999999</v>
      </c>
      <c r="H161" s="203"/>
      <c r="I161" s="204"/>
      <c r="J161" s="205"/>
      <c r="K161" s="206"/>
      <c r="L161" s="31"/>
      <c r="M161" s="31"/>
      <c r="N161" s="31"/>
      <c r="O161" s="31"/>
      <c r="P161" s="31"/>
      <c r="Q161" s="31"/>
      <c r="R161" s="203"/>
      <c r="S161" s="219"/>
    </row>
    <row r="162" spans="1:19" ht="30" customHeight="1" x14ac:dyDescent="0.25">
      <c r="A162" s="201"/>
      <c r="B162" s="203"/>
      <c r="C162" s="203"/>
      <c r="D162" s="28" t="s">
        <v>30</v>
      </c>
      <c r="E162" s="29">
        <v>1.2</v>
      </c>
      <c r="F162" s="29">
        <v>1.2</v>
      </c>
      <c r="G162" s="29">
        <v>1.2</v>
      </c>
      <c r="H162" s="203"/>
      <c r="I162" s="204"/>
      <c r="J162" s="205"/>
      <c r="K162" s="206"/>
      <c r="L162" s="31"/>
      <c r="M162" s="31"/>
      <c r="N162" s="31"/>
      <c r="O162" s="31"/>
      <c r="P162" s="31"/>
      <c r="Q162" s="31"/>
      <c r="R162" s="203"/>
      <c r="S162" s="219"/>
    </row>
    <row r="163" spans="1:19" ht="26.25" customHeight="1" thickBot="1" x14ac:dyDescent="0.3">
      <c r="A163" s="202"/>
      <c r="B163" s="188"/>
      <c r="C163" s="188"/>
      <c r="D163" s="28" t="s">
        <v>25</v>
      </c>
      <c r="E163" s="29">
        <v>0</v>
      </c>
      <c r="F163" s="29">
        <v>19.399999999999999</v>
      </c>
      <c r="G163" s="29">
        <v>18.7</v>
      </c>
      <c r="H163" s="188"/>
      <c r="I163" s="182"/>
      <c r="J163" s="184"/>
      <c r="K163" s="165"/>
      <c r="L163" s="31"/>
      <c r="M163" s="31"/>
      <c r="N163" s="31"/>
      <c r="O163" s="31"/>
      <c r="P163" s="31"/>
      <c r="Q163" s="31"/>
      <c r="R163" s="188"/>
      <c r="S163" s="157"/>
    </row>
    <row r="164" spans="1:19" ht="31.5" customHeight="1" thickBot="1" x14ac:dyDescent="0.3">
      <c r="A164" s="12" t="s">
        <v>333</v>
      </c>
      <c r="B164" s="168" t="s">
        <v>334</v>
      </c>
      <c r="C164" s="169"/>
      <c r="D164" s="170"/>
      <c r="E164" s="15">
        <f>E165+E168+E171+E174</f>
        <v>28</v>
      </c>
      <c r="F164" s="15">
        <f>F165+F168+F171+F174</f>
        <v>26.9</v>
      </c>
      <c r="G164" s="15">
        <f>G165+G168+G171+G174</f>
        <v>25</v>
      </c>
      <c r="H164" s="171"/>
      <c r="I164" s="172"/>
      <c r="J164" s="172"/>
      <c r="K164" s="172"/>
      <c r="L164" s="172"/>
      <c r="M164" s="172"/>
      <c r="N164" s="172"/>
      <c r="O164" s="172"/>
      <c r="P164" s="172"/>
      <c r="Q164" s="172"/>
      <c r="R164" s="172"/>
      <c r="S164" s="173"/>
    </row>
    <row r="165" spans="1:19" ht="60" x14ac:dyDescent="0.25">
      <c r="A165" s="200" t="s">
        <v>335</v>
      </c>
      <c r="B165" s="187" t="s">
        <v>336</v>
      </c>
      <c r="C165" s="187" t="s">
        <v>257</v>
      </c>
      <c r="D165" s="51"/>
      <c r="E165" s="52">
        <f>SUM(E166:E167)</f>
        <v>13</v>
      </c>
      <c r="F165" s="52">
        <f>SUM(F166:F167)</f>
        <v>13</v>
      </c>
      <c r="G165" s="52">
        <f>SUM(G166:G167)</f>
        <v>13</v>
      </c>
      <c r="H165" s="187" t="s">
        <v>337</v>
      </c>
      <c r="I165" s="181" t="s">
        <v>21</v>
      </c>
      <c r="J165" s="183">
        <v>9</v>
      </c>
      <c r="K165" s="164">
        <v>9</v>
      </c>
      <c r="L165" s="24" t="s">
        <v>82</v>
      </c>
      <c r="M165" s="24" t="s">
        <v>23</v>
      </c>
      <c r="N165" s="24" t="s">
        <v>82</v>
      </c>
      <c r="O165" s="24" t="s">
        <v>23</v>
      </c>
      <c r="P165" s="24"/>
      <c r="Q165" s="24"/>
      <c r="R165" s="187" t="s">
        <v>1638</v>
      </c>
      <c r="S165" s="189"/>
    </row>
    <row r="166" spans="1:19" x14ac:dyDescent="0.25">
      <c r="A166" s="201"/>
      <c r="B166" s="203"/>
      <c r="C166" s="203"/>
      <c r="D166" s="28" t="s">
        <v>274</v>
      </c>
      <c r="E166" s="29">
        <v>0</v>
      </c>
      <c r="F166" s="29">
        <v>0</v>
      </c>
      <c r="G166" s="29">
        <v>13</v>
      </c>
      <c r="H166" s="203"/>
      <c r="I166" s="204"/>
      <c r="J166" s="205"/>
      <c r="K166" s="206"/>
      <c r="L166" s="31"/>
      <c r="M166" s="31"/>
      <c r="N166" s="31"/>
      <c r="O166" s="31"/>
      <c r="P166" s="31"/>
      <c r="Q166" s="31"/>
      <c r="R166" s="203"/>
      <c r="S166" s="191"/>
    </row>
    <row r="167" spans="1:19" ht="15.75" thickBot="1" x14ac:dyDescent="0.3">
      <c r="A167" s="202"/>
      <c r="B167" s="188"/>
      <c r="C167" s="188"/>
      <c r="D167" s="28" t="s">
        <v>25</v>
      </c>
      <c r="E167" s="29">
        <v>13</v>
      </c>
      <c r="F167" s="29">
        <v>13</v>
      </c>
      <c r="G167" s="29">
        <v>0</v>
      </c>
      <c r="H167" s="188"/>
      <c r="I167" s="182"/>
      <c r="J167" s="184"/>
      <c r="K167" s="165"/>
      <c r="L167" s="31"/>
      <c r="M167" s="31"/>
      <c r="N167" s="31"/>
      <c r="O167" s="31"/>
      <c r="P167" s="31"/>
      <c r="Q167" s="31"/>
      <c r="R167" s="188"/>
      <c r="S167" s="190"/>
    </row>
    <row r="168" spans="1:19" ht="75" x14ac:dyDescent="0.25">
      <c r="A168" s="200" t="s">
        <v>338</v>
      </c>
      <c r="B168" s="187" t="s">
        <v>339</v>
      </c>
      <c r="C168" s="187" t="s">
        <v>257</v>
      </c>
      <c r="D168" s="21"/>
      <c r="E168" s="22">
        <f>SUM(E169:E170)</f>
        <v>1</v>
      </c>
      <c r="F168" s="22">
        <f>SUM(F169:F170)</f>
        <v>1</v>
      </c>
      <c r="G168" s="22">
        <f>SUM(G169:G170)</f>
        <v>1</v>
      </c>
      <c r="H168" s="187" t="s">
        <v>340</v>
      </c>
      <c r="I168" s="181" t="s">
        <v>21</v>
      </c>
      <c r="J168" s="183">
        <v>60</v>
      </c>
      <c r="K168" s="185">
        <v>37</v>
      </c>
      <c r="L168" s="24" t="s">
        <v>341</v>
      </c>
      <c r="M168" s="24" t="s">
        <v>23</v>
      </c>
      <c r="N168" s="24" t="s">
        <v>341</v>
      </c>
      <c r="O168" s="24" t="s">
        <v>23</v>
      </c>
      <c r="P168" s="24"/>
      <c r="Q168" s="24"/>
      <c r="R168" s="187" t="s">
        <v>1639</v>
      </c>
      <c r="S168" s="189" t="s">
        <v>1640</v>
      </c>
    </row>
    <row r="169" spans="1:19" ht="30" customHeight="1" x14ac:dyDescent="0.25">
      <c r="A169" s="201"/>
      <c r="B169" s="203"/>
      <c r="C169" s="203"/>
      <c r="D169" s="28" t="s">
        <v>274</v>
      </c>
      <c r="E169" s="29">
        <v>0</v>
      </c>
      <c r="F169" s="29">
        <v>0</v>
      </c>
      <c r="G169" s="29">
        <v>1</v>
      </c>
      <c r="H169" s="203"/>
      <c r="I169" s="204"/>
      <c r="J169" s="205"/>
      <c r="K169" s="243"/>
      <c r="L169" s="31"/>
      <c r="M169" s="31"/>
      <c r="N169" s="31"/>
      <c r="O169" s="31"/>
      <c r="P169" s="31"/>
      <c r="Q169" s="31"/>
      <c r="R169" s="203"/>
      <c r="S169" s="191"/>
    </row>
    <row r="170" spans="1:19" ht="37.5" customHeight="1" thickBot="1" x14ac:dyDescent="0.3">
      <c r="A170" s="202"/>
      <c r="B170" s="188"/>
      <c r="C170" s="188"/>
      <c r="D170" s="28" t="s">
        <v>25</v>
      </c>
      <c r="E170" s="29">
        <v>1</v>
      </c>
      <c r="F170" s="29">
        <v>1</v>
      </c>
      <c r="G170" s="29">
        <v>0</v>
      </c>
      <c r="H170" s="188"/>
      <c r="I170" s="182"/>
      <c r="J170" s="184"/>
      <c r="K170" s="186"/>
      <c r="L170" s="31"/>
      <c r="M170" s="31"/>
      <c r="N170" s="31"/>
      <c r="O170" s="31"/>
      <c r="P170" s="31"/>
      <c r="Q170" s="31"/>
      <c r="R170" s="188"/>
      <c r="S170" s="190"/>
    </row>
    <row r="171" spans="1:19" ht="40.5" customHeight="1" x14ac:dyDescent="0.25">
      <c r="A171" s="200" t="s">
        <v>342</v>
      </c>
      <c r="B171" s="187" t="s">
        <v>343</v>
      </c>
      <c r="C171" s="187" t="s">
        <v>257</v>
      </c>
      <c r="D171" s="51"/>
      <c r="E171" s="52">
        <f>SUM(E172:E173)</f>
        <v>9</v>
      </c>
      <c r="F171" s="52">
        <f>SUM(F172:F173)</f>
        <v>7.9</v>
      </c>
      <c r="G171" s="52">
        <f>SUM(G172:G173)</f>
        <v>6</v>
      </c>
      <c r="H171" s="21" t="s">
        <v>344</v>
      </c>
      <c r="I171" s="23" t="s">
        <v>21</v>
      </c>
      <c r="J171" s="50">
        <v>2</v>
      </c>
      <c r="K171" s="67">
        <v>1</v>
      </c>
      <c r="L171" s="24" t="s">
        <v>52</v>
      </c>
      <c r="M171" s="24" t="s">
        <v>23</v>
      </c>
      <c r="N171" s="24" t="s">
        <v>52</v>
      </c>
      <c r="O171" s="24" t="s">
        <v>23</v>
      </c>
      <c r="P171" s="24"/>
      <c r="Q171" s="24"/>
      <c r="R171" s="21" t="s">
        <v>1641</v>
      </c>
      <c r="S171" s="25" t="s">
        <v>1642</v>
      </c>
    </row>
    <row r="172" spans="1:19" ht="91.5" customHeight="1" x14ac:dyDescent="0.25">
      <c r="A172" s="201"/>
      <c r="B172" s="203"/>
      <c r="C172" s="203"/>
      <c r="D172" s="28" t="s">
        <v>274</v>
      </c>
      <c r="E172" s="29">
        <v>0</v>
      </c>
      <c r="F172" s="29">
        <v>0</v>
      </c>
      <c r="G172" s="29">
        <v>6</v>
      </c>
      <c r="H172" s="28" t="s">
        <v>345</v>
      </c>
      <c r="I172" s="30" t="s">
        <v>21</v>
      </c>
      <c r="J172" s="62">
        <v>2</v>
      </c>
      <c r="K172" s="68">
        <v>1</v>
      </c>
      <c r="L172" s="31" t="s">
        <v>52</v>
      </c>
      <c r="M172" s="31" t="s">
        <v>23</v>
      </c>
      <c r="N172" s="31" t="s">
        <v>52</v>
      </c>
      <c r="O172" s="31" t="s">
        <v>23</v>
      </c>
      <c r="P172" s="31"/>
      <c r="Q172" s="31"/>
      <c r="R172" s="101" t="s">
        <v>1643</v>
      </c>
      <c r="S172" s="102"/>
    </row>
    <row r="173" spans="1:19" ht="122.25" customHeight="1" thickBot="1" x14ac:dyDescent="0.3">
      <c r="A173" s="202"/>
      <c r="B173" s="188"/>
      <c r="C173" s="188"/>
      <c r="D173" s="28" t="s">
        <v>25</v>
      </c>
      <c r="E173" s="29">
        <v>9</v>
      </c>
      <c r="F173" s="29">
        <v>7.9</v>
      </c>
      <c r="G173" s="29">
        <v>0</v>
      </c>
      <c r="H173" s="28" t="s">
        <v>346</v>
      </c>
      <c r="I173" s="30" t="s">
        <v>21</v>
      </c>
      <c r="J173" s="62">
        <v>1</v>
      </c>
      <c r="K173" s="65">
        <v>1</v>
      </c>
      <c r="L173" s="31"/>
      <c r="M173" s="31"/>
      <c r="N173" s="31"/>
      <c r="O173" s="31"/>
      <c r="P173" s="31"/>
      <c r="Q173" s="31"/>
      <c r="R173" s="28" t="s">
        <v>1644</v>
      </c>
      <c r="S173" s="32"/>
    </row>
    <row r="174" spans="1:19" ht="51.75" customHeight="1" x14ac:dyDescent="0.25">
      <c r="A174" s="200" t="s">
        <v>347</v>
      </c>
      <c r="B174" s="187" t="s">
        <v>348</v>
      </c>
      <c r="C174" s="187" t="s">
        <v>257</v>
      </c>
      <c r="D174" s="51"/>
      <c r="E174" s="52">
        <f>SUM(E175:E176)</f>
        <v>5</v>
      </c>
      <c r="F174" s="52">
        <f>SUM(F175:F176)</f>
        <v>5</v>
      </c>
      <c r="G174" s="52">
        <f>SUM(G175:G176)</f>
        <v>5</v>
      </c>
      <c r="H174" s="187" t="s">
        <v>349</v>
      </c>
      <c r="I174" s="181" t="s">
        <v>21</v>
      </c>
      <c r="J174" s="183">
        <v>1</v>
      </c>
      <c r="K174" s="164">
        <v>1</v>
      </c>
      <c r="L174" s="24" t="s">
        <v>22</v>
      </c>
      <c r="M174" s="24" t="s">
        <v>23</v>
      </c>
      <c r="N174" s="24" t="s">
        <v>22</v>
      </c>
      <c r="O174" s="24" t="s">
        <v>23</v>
      </c>
      <c r="P174" s="24"/>
      <c r="Q174" s="24"/>
      <c r="R174" s="187" t="s">
        <v>1645</v>
      </c>
      <c r="S174" s="209"/>
    </row>
    <row r="175" spans="1:19" ht="32.25" customHeight="1" x14ac:dyDescent="0.25">
      <c r="A175" s="201"/>
      <c r="B175" s="203"/>
      <c r="C175" s="203"/>
      <c r="D175" s="28" t="s">
        <v>274</v>
      </c>
      <c r="E175" s="29">
        <v>0</v>
      </c>
      <c r="F175" s="29">
        <v>0</v>
      </c>
      <c r="G175" s="29">
        <v>5</v>
      </c>
      <c r="H175" s="203"/>
      <c r="I175" s="204"/>
      <c r="J175" s="205"/>
      <c r="K175" s="206"/>
      <c r="L175" s="31"/>
      <c r="M175" s="31"/>
      <c r="N175" s="31"/>
      <c r="O175" s="31"/>
      <c r="P175" s="31"/>
      <c r="Q175" s="31"/>
      <c r="R175" s="203"/>
      <c r="S175" s="219"/>
    </row>
    <row r="176" spans="1:19" ht="63" customHeight="1" thickBot="1" x14ac:dyDescent="0.3">
      <c r="A176" s="202"/>
      <c r="B176" s="188"/>
      <c r="C176" s="188"/>
      <c r="D176" s="28" t="s">
        <v>25</v>
      </c>
      <c r="E176" s="29">
        <v>5</v>
      </c>
      <c r="F176" s="29">
        <v>5</v>
      </c>
      <c r="G176" s="29">
        <v>0</v>
      </c>
      <c r="H176" s="188"/>
      <c r="I176" s="182"/>
      <c r="J176" s="184"/>
      <c r="K176" s="165"/>
      <c r="L176" s="31"/>
      <c r="M176" s="31"/>
      <c r="N176" s="31"/>
      <c r="O176" s="31"/>
      <c r="P176" s="31"/>
      <c r="Q176" s="31"/>
      <c r="R176" s="188"/>
      <c r="S176" s="157"/>
    </row>
    <row r="177" spans="1:24" ht="24" customHeight="1" thickBot="1" x14ac:dyDescent="0.3">
      <c r="A177" s="12" t="s">
        <v>350</v>
      </c>
      <c r="B177" s="168" t="s">
        <v>351</v>
      </c>
      <c r="C177" s="169"/>
      <c r="D177" s="170"/>
      <c r="E177" s="15">
        <f>E178+E181</f>
        <v>6</v>
      </c>
      <c r="F177" s="15">
        <f>F178+F181</f>
        <v>6</v>
      </c>
      <c r="G177" s="15">
        <f>G178+G181</f>
        <v>2.1</v>
      </c>
      <c r="H177" s="171"/>
      <c r="I177" s="172"/>
      <c r="J177" s="172"/>
      <c r="K177" s="172"/>
      <c r="L177" s="172"/>
      <c r="M177" s="172"/>
      <c r="N177" s="172"/>
      <c r="O177" s="172"/>
      <c r="P177" s="172"/>
      <c r="Q177" s="172"/>
      <c r="R177" s="172"/>
      <c r="S177" s="173"/>
    </row>
    <row r="178" spans="1:24" ht="39" customHeight="1" x14ac:dyDescent="0.25">
      <c r="A178" s="200" t="s">
        <v>352</v>
      </c>
      <c r="B178" s="187" t="s">
        <v>353</v>
      </c>
      <c r="C178" s="187" t="s">
        <v>354</v>
      </c>
      <c r="D178" s="51"/>
      <c r="E178" s="52">
        <f>SUM(E179:E180)</f>
        <v>6</v>
      </c>
      <c r="F178" s="52">
        <f>SUM(F179:F180)</f>
        <v>6</v>
      </c>
      <c r="G178" s="52">
        <f>SUM(G179:G180)</f>
        <v>2.1</v>
      </c>
      <c r="H178" s="181" t="s">
        <v>355</v>
      </c>
      <c r="I178" s="181" t="s">
        <v>21</v>
      </c>
      <c r="J178" s="183">
        <v>10</v>
      </c>
      <c r="K178" s="277">
        <v>11</v>
      </c>
      <c r="L178" s="24" t="s">
        <v>89</v>
      </c>
      <c r="M178" s="24" t="s">
        <v>23</v>
      </c>
      <c r="N178" s="24" t="s">
        <v>89</v>
      </c>
      <c r="O178" s="24" t="s">
        <v>23</v>
      </c>
      <c r="P178" s="24"/>
      <c r="Q178" s="24"/>
      <c r="R178" s="187" t="s">
        <v>1646</v>
      </c>
      <c r="S178" s="209"/>
    </row>
    <row r="179" spans="1:24" ht="24.75" customHeight="1" x14ac:dyDescent="0.25">
      <c r="A179" s="201"/>
      <c r="B179" s="203"/>
      <c r="C179" s="203"/>
      <c r="D179" s="28" t="s">
        <v>274</v>
      </c>
      <c r="E179" s="29">
        <v>0</v>
      </c>
      <c r="F179" s="29">
        <v>0</v>
      </c>
      <c r="G179" s="29">
        <v>2.1</v>
      </c>
      <c r="H179" s="204"/>
      <c r="I179" s="204"/>
      <c r="J179" s="205"/>
      <c r="K179" s="278"/>
      <c r="L179" s="31"/>
      <c r="M179" s="31"/>
      <c r="N179" s="31"/>
      <c r="O179" s="31"/>
      <c r="P179" s="31"/>
      <c r="Q179" s="31"/>
      <c r="R179" s="203"/>
      <c r="S179" s="219"/>
    </row>
    <row r="180" spans="1:24" ht="42" customHeight="1" thickBot="1" x14ac:dyDescent="0.3">
      <c r="A180" s="202"/>
      <c r="B180" s="188"/>
      <c r="C180" s="188"/>
      <c r="D180" s="28" t="s">
        <v>25</v>
      </c>
      <c r="E180" s="29">
        <v>6</v>
      </c>
      <c r="F180" s="29">
        <v>6</v>
      </c>
      <c r="G180" s="29">
        <v>0</v>
      </c>
      <c r="H180" s="182"/>
      <c r="I180" s="182"/>
      <c r="J180" s="184"/>
      <c r="K180" s="279"/>
      <c r="L180" s="31"/>
      <c r="M180" s="31"/>
      <c r="N180" s="31"/>
      <c r="O180" s="31"/>
      <c r="P180" s="31"/>
      <c r="Q180" s="31"/>
      <c r="R180" s="188"/>
      <c r="S180" s="157"/>
    </row>
    <row r="181" spans="1:24" ht="105.75" hidden="1" thickBot="1" x14ac:dyDescent="0.3">
      <c r="A181" s="19" t="s">
        <v>356</v>
      </c>
      <c r="B181" s="20" t="s">
        <v>357</v>
      </c>
      <c r="C181" s="21" t="s">
        <v>207</v>
      </c>
      <c r="D181" s="21"/>
      <c r="E181" s="33">
        <v>0</v>
      </c>
      <c r="F181" s="33">
        <v>0</v>
      </c>
      <c r="G181" s="33">
        <v>0</v>
      </c>
      <c r="H181" s="21" t="s">
        <v>241</v>
      </c>
      <c r="I181" s="23" t="s">
        <v>215</v>
      </c>
      <c r="J181" s="46">
        <v>0</v>
      </c>
      <c r="K181" s="46">
        <v>0</v>
      </c>
      <c r="L181" s="24" t="s">
        <v>23</v>
      </c>
      <c r="M181" s="24" t="s">
        <v>23</v>
      </c>
      <c r="N181" s="24" t="s">
        <v>23</v>
      </c>
      <c r="O181" s="24" t="s">
        <v>23</v>
      </c>
      <c r="P181" s="24"/>
      <c r="Q181" s="24"/>
      <c r="R181" s="21"/>
      <c r="S181" s="25"/>
    </row>
    <row r="182" spans="1:24" ht="60.75" customHeight="1" thickBot="1" x14ac:dyDescent="0.3">
      <c r="A182" s="8" t="s">
        <v>358</v>
      </c>
      <c r="B182" s="174" t="s">
        <v>359</v>
      </c>
      <c r="C182" s="175"/>
      <c r="D182" s="176"/>
      <c r="E182" s="11">
        <f t="shared" ref="E182:G183" si="2">SUM(E183:E183)</f>
        <v>19.100000000000001</v>
      </c>
      <c r="F182" s="11">
        <f t="shared" si="2"/>
        <v>15.1</v>
      </c>
      <c r="G182" s="11">
        <f t="shared" si="2"/>
        <v>9.6</v>
      </c>
      <c r="H182" s="177"/>
      <c r="I182" s="178"/>
      <c r="J182" s="178"/>
      <c r="K182" s="178"/>
      <c r="L182" s="178"/>
      <c r="M182" s="178"/>
      <c r="N182" s="178"/>
      <c r="O182" s="178"/>
      <c r="P182" s="178"/>
      <c r="Q182" s="178"/>
      <c r="R182" s="178"/>
      <c r="S182" s="179"/>
    </row>
    <row r="183" spans="1:24" ht="39" customHeight="1" thickBot="1" x14ac:dyDescent="0.3">
      <c r="A183" s="12" t="s">
        <v>360</v>
      </c>
      <c r="B183" s="168" t="s">
        <v>361</v>
      </c>
      <c r="C183" s="169"/>
      <c r="D183" s="170"/>
      <c r="E183" s="15">
        <f t="shared" si="2"/>
        <v>19.100000000000001</v>
      </c>
      <c r="F183" s="15">
        <f t="shared" si="2"/>
        <v>15.1</v>
      </c>
      <c r="G183" s="15">
        <f t="shared" si="2"/>
        <v>9.6</v>
      </c>
      <c r="H183" s="171"/>
      <c r="I183" s="172"/>
      <c r="J183" s="172"/>
      <c r="K183" s="172"/>
      <c r="L183" s="172"/>
      <c r="M183" s="172"/>
      <c r="N183" s="172"/>
      <c r="O183" s="172"/>
      <c r="P183" s="172"/>
      <c r="Q183" s="172"/>
      <c r="R183" s="172"/>
      <c r="S183" s="173"/>
    </row>
    <row r="184" spans="1:24" ht="67.5" customHeight="1" x14ac:dyDescent="0.25">
      <c r="A184" s="200" t="s">
        <v>362</v>
      </c>
      <c r="B184" s="187" t="s">
        <v>363</v>
      </c>
      <c r="C184" s="187" t="s">
        <v>354</v>
      </c>
      <c r="D184" s="21" t="s">
        <v>25</v>
      </c>
      <c r="E184" s="22">
        <f>SUM(E185:E186)+19.1</f>
        <v>19.100000000000001</v>
      </c>
      <c r="F184" s="22">
        <f>SUM(F185:F186)+15.1</f>
        <v>15.1</v>
      </c>
      <c r="G184" s="22">
        <f>SUM(G185:G186)+9.6</f>
        <v>9.6</v>
      </c>
      <c r="H184" s="21" t="s">
        <v>364</v>
      </c>
      <c r="I184" s="23" t="s">
        <v>21</v>
      </c>
      <c r="J184" s="50">
        <v>11</v>
      </c>
      <c r="K184" s="66">
        <v>11</v>
      </c>
      <c r="L184" s="24" t="s">
        <v>99</v>
      </c>
      <c r="M184" s="24" t="s">
        <v>23</v>
      </c>
      <c r="N184" s="24" t="s">
        <v>99</v>
      </c>
      <c r="O184" s="24" t="s">
        <v>23</v>
      </c>
      <c r="P184" s="24"/>
      <c r="Q184" s="24"/>
      <c r="R184" s="21" t="s">
        <v>365</v>
      </c>
      <c r="S184" s="25"/>
    </row>
    <row r="185" spans="1:24" ht="117.75" customHeight="1" x14ac:dyDescent="0.25">
      <c r="A185" s="201"/>
      <c r="B185" s="203"/>
      <c r="C185" s="203"/>
      <c r="D185" s="28"/>
      <c r="E185" s="29"/>
      <c r="F185" s="29"/>
      <c r="G185" s="29"/>
      <c r="H185" s="28" t="s">
        <v>366</v>
      </c>
      <c r="I185" s="30" t="s">
        <v>21</v>
      </c>
      <c r="J185" s="62">
        <v>5</v>
      </c>
      <c r="K185" s="133">
        <v>12</v>
      </c>
      <c r="L185" s="31" t="s">
        <v>82</v>
      </c>
      <c r="M185" s="31" t="s">
        <v>23</v>
      </c>
      <c r="N185" s="31" t="s">
        <v>82</v>
      </c>
      <c r="O185" s="31" t="s">
        <v>23</v>
      </c>
      <c r="P185" s="31"/>
      <c r="Q185" s="31"/>
      <c r="R185" s="28" t="s">
        <v>368</v>
      </c>
      <c r="S185" s="32"/>
    </row>
    <row r="186" spans="1:24" ht="223.5" customHeight="1" thickBot="1" x14ac:dyDescent="0.3">
      <c r="A186" s="202"/>
      <c r="B186" s="188"/>
      <c r="C186" s="188"/>
      <c r="D186" s="28"/>
      <c r="E186" s="29"/>
      <c r="F186" s="29"/>
      <c r="G186" s="29"/>
      <c r="H186" s="28" t="s">
        <v>369</v>
      </c>
      <c r="I186" s="30" t="s">
        <v>21</v>
      </c>
      <c r="J186" s="62">
        <v>5</v>
      </c>
      <c r="K186" s="65">
        <v>5</v>
      </c>
      <c r="L186" s="31" t="s">
        <v>82</v>
      </c>
      <c r="M186" s="31" t="s">
        <v>23</v>
      </c>
      <c r="N186" s="31" t="s">
        <v>82</v>
      </c>
      <c r="O186" s="31" t="s">
        <v>23</v>
      </c>
      <c r="P186" s="31"/>
      <c r="Q186" s="31"/>
      <c r="R186" s="28" t="s">
        <v>1647</v>
      </c>
      <c r="S186" s="32"/>
    </row>
    <row r="187" spans="1:24" ht="42" customHeight="1" thickBot="1" x14ac:dyDescent="0.3">
      <c r="A187" s="4" t="s">
        <v>370</v>
      </c>
      <c r="B187" s="195" t="s">
        <v>371</v>
      </c>
      <c r="C187" s="196"/>
      <c r="D187" s="197"/>
      <c r="E187" s="7">
        <f>E188+E259</f>
        <v>28447.1</v>
      </c>
      <c r="F187" s="7">
        <f>F188+F259</f>
        <v>40591</v>
      </c>
      <c r="G187" s="7">
        <f>G188+G259</f>
        <v>34735.599999999999</v>
      </c>
      <c r="H187" s="192"/>
      <c r="I187" s="193"/>
      <c r="J187" s="193"/>
      <c r="K187" s="193"/>
      <c r="L187" s="193"/>
      <c r="M187" s="193"/>
      <c r="N187" s="193"/>
      <c r="O187" s="193"/>
      <c r="P187" s="193"/>
      <c r="Q187" s="193"/>
      <c r="R187" s="193"/>
      <c r="S187" s="194"/>
    </row>
    <row r="188" spans="1:24" ht="81" customHeight="1" thickBot="1" x14ac:dyDescent="0.3">
      <c r="A188" s="8" t="s">
        <v>372</v>
      </c>
      <c r="B188" s="174" t="s">
        <v>373</v>
      </c>
      <c r="C188" s="175"/>
      <c r="D188" s="176"/>
      <c r="E188" s="11">
        <f>E189+E197+E208+E216+0.1</f>
        <v>18288.599999999999</v>
      </c>
      <c r="F188" s="11">
        <f>F189+F197+F208+F216</f>
        <v>24499.8</v>
      </c>
      <c r="G188" s="11">
        <f>G189+G197+G208+G216</f>
        <v>20271.3</v>
      </c>
      <c r="H188" s="177"/>
      <c r="I188" s="178"/>
      <c r="J188" s="178"/>
      <c r="K188" s="178"/>
      <c r="L188" s="178"/>
      <c r="M188" s="178"/>
      <c r="N188" s="178"/>
      <c r="O188" s="178"/>
      <c r="P188" s="178"/>
      <c r="Q188" s="178"/>
      <c r="R188" s="178"/>
      <c r="S188" s="179"/>
      <c r="V188" s="110"/>
      <c r="W188" s="111" t="s">
        <v>1</v>
      </c>
      <c r="X188" s="111" t="s">
        <v>1813</v>
      </c>
    </row>
    <row r="189" spans="1:24" ht="41.25" customHeight="1" thickBot="1" x14ac:dyDescent="0.3">
      <c r="A189" s="12" t="s">
        <v>374</v>
      </c>
      <c r="B189" s="168" t="s">
        <v>375</v>
      </c>
      <c r="C189" s="169"/>
      <c r="D189" s="170"/>
      <c r="E189" s="15">
        <f>E190+E195</f>
        <v>5156.5</v>
      </c>
      <c r="F189" s="15">
        <f>F190+F195</f>
        <v>5715.5</v>
      </c>
      <c r="G189" s="15">
        <f>G190+G195</f>
        <v>5587.7</v>
      </c>
      <c r="H189" s="171"/>
      <c r="I189" s="172"/>
      <c r="J189" s="172"/>
      <c r="K189" s="172"/>
      <c r="L189" s="172"/>
      <c r="M189" s="172"/>
      <c r="N189" s="172"/>
      <c r="O189" s="172"/>
      <c r="P189" s="172"/>
      <c r="Q189" s="172"/>
      <c r="R189" s="172"/>
      <c r="S189" s="173"/>
      <c r="V189" s="117"/>
      <c r="W189" s="112" t="s">
        <v>1814</v>
      </c>
      <c r="X189" s="113">
        <v>16</v>
      </c>
    </row>
    <row r="190" spans="1:24" ht="147.75" customHeight="1" x14ac:dyDescent="0.25">
      <c r="A190" s="210" t="s">
        <v>376</v>
      </c>
      <c r="B190" s="187" t="s">
        <v>377</v>
      </c>
      <c r="C190" s="181" t="s">
        <v>257</v>
      </c>
      <c r="D190" s="51"/>
      <c r="E190" s="52">
        <f>SUM(E191:E194)</f>
        <v>4786.5</v>
      </c>
      <c r="F190" s="52">
        <f>SUM(F191:F194)</f>
        <v>5345.5</v>
      </c>
      <c r="G190" s="52">
        <f>SUM(G191:G194)</f>
        <v>5217.7</v>
      </c>
      <c r="H190" s="21" t="s">
        <v>378</v>
      </c>
      <c r="I190" s="23" t="s">
        <v>215</v>
      </c>
      <c r="J190" s="50">
        <v>100</v>
      </c>
      <c r="K190" s="66">
        <v>100</v>
      </c>
      <c r="L190" s="24" t="s">
        <v>42</v>
      </c>
      <c r="M190" s="24" t="s">
        <v>23</v>
      </c>
      <c r="N190" s="24" t="s">
        <v>42</v>
      </c>
      <c r="O190" s="24" t="s">
        <v>23</v>
      </c>
      <c r="P190" s="24"/>
      <c r="Q190" s="24"/>
      <c r="R190" s="187" t="s">
        <v>1648</v>
      </c>
      <c r="S190" s="209"/>
      <c r="V190" s="118"/>
      <c r="W190" s="112" t="s">
        <v>1815</v>
      </c>
      <c r="X190" s="113">
        <v>9</v>
      </c>
    </row>
    <row r="191" spans="1:24" ht="93.75" customHeight="1" x14ac:dyDescent="0.25">
      <c r="A191" s="211"/>
      <c r="B191" s="203"/>
      <c r="C191" s="204"/>
      <c r="D191" s="28" t="s">
        <v>25</v>
      </c>
      <c r="E191" s="29">
        <v>3063.5</v>
      </c>
      <c r="F191" s="29">
        <v>3247.5</v>
      </c>
      <c r="G191" s="29">
        <v>3162.9</v>
      </c>
      <c r="H191" s="213" t="s">
        <v>379</v>
      </c>
      <c r="I191" s="214" t="s">
        <v>215</v>
      </c>
      <c r="J191" s="215">
        <v>100</v>
      </c>
      <c r="K191" s="216">
        <v>100</v>
      </c>
      <c r="L191" s="31" t="s">
        <v>42</v>
      </c>
      <c r="M191" s="31" t="s">
        <v>23</v>
      </c>
      <c r="N191" s="31" t="s">
        <v>42</v>
      </c>
      <c r="O191" s="31" t="s">
        <v>23</v>
      </c>
      <c r="P191" s="31"/>
      <c r="Q191" s="31"/>
      <c r="R191" s="203"/>
      <c r="S191" s="219"/>
      <c r="V191" s="116"/>
      <c r="W191" s="112" t="s">
        <v>1816</v>
      </c>
      <c r="X191" s="113">
        <v>1</v>
      </c>
    </row>
    <row r="192" spans="1:24" ht="34.5" customHeight="1" x14ac:dyDescent="0.25">
      <c r="A192" s="211"/>
      <c r="B192" s="203"/>
      <c r="C192" s="204"/>
      <c r="D192" s="28" t="s">
        <v>380</v>
      </c>
      <c r="E192" s="29">
        <v>430</v>
      </c>
      <c r="F192" s="29">
        <v>326</v>
      </c>
      <c r="G192" s="29">
        <v>325.10000000000002</v>
      </c>
      <c r="H192" s="203"/>
      <c r="I192" s="204"/>
      <c r="J192" s="205"/>
      <c r="K192" s="206"/>
      <c r="L192" s="31"/>
      <c r="M192" s="31"/>
      <c r="N192" s="31"/>
      <c r="O192" s="31"/>
      <c r="P192" s="31"/>
      <c r="Q192" s="31"/>
      <c r="R192" s="203"/>
      <c r="S192" s="219"/>
      <c r="V192" s="114"/>
      <c r="W192" s="119" t="s">
        <v>1817</v>
      </c>
      <c r="X192" s="115">
        <v>26</v>
      </c>
    </row>
    <row r="193" spans="1:19" ht="52.5" customHeight="1" x14ac:dyDescent="0.25">
      <c r="A193" s="211"/>
      <c r="B193" s="203"/>
      <c r="C193" s="204"/>
      <c r="D193" s="28" t="s">
        <v>201</v>
      </c>
      <c r="E193" s="29"/>
      <c r="F193" s="29">
        <v>450</v>
      </c>
      <c r="G193" s="29">
        <v>410.7</v>
      </c>
      <c r="H193" s="203"/>
      <c r="I193" s="204"/>
      <c r="J193" s="205"/>
      <c r="K193" s="206"/>
      <c r="L193" s="31"/>
      <c r="M193" s="31"/>
      <c r="N193" s="31"/>
      <c r="O193" s="31"/>
      <c r="P193" s="31"/>
      <c r="Q193" s="31"/>
      <c r="R193" s="203"/>
      <c r="S193" s="219"/>
    </row>
    <row r="194" spans="1:19" ht="54" customHeight="1" thickBot="1" x14ac:dyDescent="0.3">
      <c r="A194" s="212"/>
      <c r="B194" s="188"/>
      <c r="C194" s="182"/>
      <c r="D194" s="28" t="s">
        <v>30</v>
      </c>
      <c r="E194" s="29">
        <v>1293</v>
      </c>
      <c r="F194" s="29">
        <v>1322</v>
      </c>
      <c r="G194" s="29">
        <v>1319</v>
      </c>
      <c r="H194" s="188"/>
      <c r="I194" s="182"/>
      <c r="J194" s="184"/>
      <c r="K194" s="165"/>
      <c r="L194" s="31"/>
      <c r="M194" s="31"/>
      <c r="N194" s="31"/>
      <c r="O194" s="31"/>
      <c r="P194" s="31"/>
      <c r="Q194" s="31"/>
      <c r="R194" s="188"/>
      <c r="S194" s="157"/>
    </row>
    <row r="195" spans="1:19" ht="48.75" customHeight="1" x14ac:dyDescent="0.25">
      <c r="A195" s="200" t="s">
        <v>381</v>
      </c>
      <c r="B195" s="187" t="s">
        <v>382</v>
      </c>
      <c r="C195" s="187" t="s">
        <v>257</v>
      </c>
      <c r="D195" s="51"/>
      <c r="E195" s="52">
        <f>SUM(E196:E196)</f>
        <v>370</v>
      </c>
      <c r="F195" s="52">
        <f>SUM(F196:F196)</f>
        <v>370</v>
      </c>
      <c r="G195" s="52">
        <f>SUM(G196:G196)</f>
        <v>370</v>
      </c>
      <c r="H195" s="187" t="s">
        <v>383</v>
      </c>
      <c r="I195" s="181" t="s">
        <v>21</v>
      </c>
      <c r="J195" s="183">
        <v>100</v>
      </c>
      <c r="K195" s="164" t="s">
        <v>1800</v>
      </c>
      <c r="L195" s="24" t="s">
        <v>42</v>
      </c>
      <c r="M195" s="24" t="s">
        <v>23</v>
      </c>
      <c r="N195" s="24" t="s">
        <v>42</v>
      </c>
      <c r="O195" s="24" t="s">
        <v>23</v>
      </c>
      <c r="P195" s="24"/>
      <c r="Q195" s="24"/>
      <c r="R195" s="158" t="s">
        <v>1799</v>
      </c>
      <c r="S195" s="166"/>
    </row>
    <row r="196" spans="1:19" ht="45" customHeight="1" thickBot="1" x14ac:dyDescent="0.3">
      <c r="A196" s="202"/>
      <c r="B196" s="188"/>
      <c r="C196" s="188"/>
      <c r="D196" s="28" t="s">
        <v>25</v>
      </c>
      <c r="E196" s="29">
        <v>370</v>
      </c>
      <c r="F196" s="29">
        <v>370</v>
      </c>
      <c r="G196" s="29">
        <v>370</v>
      </c>
      <c r="H196" s="188"/>
      <c r="I196" s="182"/>
      <c r="J196" s="184"/>
      <c r="K196" s="165"/>
      <c r="L196" s="31"/>
      <c r="M196" s="31"/>
      <c r="N196" s="31"/>
      <c r="O196" s="31"/>
      <c r="P196" s="31"/>
      <c r="Q196" s="31"/>
      <c r="R196" s="159"/>
      <c r="S196" s="167"/>
    </row>
    <row r="197" spans="1:19" ht="37.5" customHeight="1" thickBot="1" x14ac:dyDescent="0.3">
      <c r="A197" s="12" t="s">
        <v>385</v>
      </c>
      <c r="B197" s="168" t="s">
        <v>386</v>
      </c>
      <c r="C197" s="169"/>
      <c r="D197" s="170"/>
      <c r="E197" s="15">
        <f>E198+E201+E205</f>
        <v>803</v>
      </c>
      <c r="F197" s="15">
        <f>F198+F201+F205</f>
        <v>1274.8</v>
      </c>
      <c r="G197" s="15">
        <f>G198+G201+G205</f>
        <v>693.7</v>
      </c>
      <c r="H197" s="280"/>
      <c r="I197" s="281"/>
      <c r="J197" s="281"/>
      <c r="K197" s="281"/>
      <c r="L197" s="281"/>
      <c r="M197" s="281"/>
      <c r="N197" s="281"/>
      <c r="O197" s="281"/>
      <c r="P197" s="281"/>
      <c r="Q197" s="281"/>
      <c r="R197" s="281"/>
      <c r="S197" s="282"/>
    </row>
    <row r="198" spans="1:19" ht="52.5" customHeight="1" x14ac:dyDescent="0.25">
      <c r="A198" s="200" t="s">
        <v>387</v>
      </c>
      <c r="B198" s="187" t="s">
        <v>388</v>
      </c>
      <c r="C198" s="187" t="s">
        <v>257</v>
      </c>
      <c r="D198" s="187" t="s">
        <v>25</v>
      </c>
      <c r="E198" s="261">
        <f>SUM(E199:E200)+130.5</f>
        <v>130.5</v>
      </c>
      <c r="F198" s="261">
        <f>SUM(F199:F200)+130.5</f>
        <v>130.5</v>
      </c>
      <c r="G198" s="261">
        <f>SUM(G199:G200)+130.3</f>
        <v>130.30000000000001</v>
      </c>
      <c r="H198" s="21" t="s">
        <v>389</v>
      </c>
      <c r="I198" s="23" t="s">
        <v>21</v>
      </c>
      <c r="J198" s="50">
        <v>1</v>
      </c>
      <c r="K198" s="63">
        <v>0</v>
      </c>
      <c r="L198" s="24" t="s">
        <v>22</v>
      </c>
      <c r="M198" s="24" t="s">
        <v>23</v>
      </c>
      <c r="N198" s="24" t="s">
        <v>22</v>
      </c>
      <c r="O198" s="24" t="s">
        <v>23</v>
      </c>
      <c r="P198" s="24"/>
      <c r="Q198" s="24"/>
      <c r="R198" s="27"/>
      <c r="S198" s="25"/>
    </row>
    <row r="199" spans="1:19" ht="46.5" customHeight="1" x14ac:dyDescent="0.25">
      <c r="A199" s="201"/>
      <c r="B199" s="203"/>
      <c r="C199" s="203"/>
      <c r="D199" s="203"/>
      <c r="E199" s="276"/>
      <c r="F199" s="276"/>
      <c r="G199" s="276"/>
      <c r="H199" s="28" t="s">
        <v>390</v>
      </c>
      <c r="I199" s="30" t="s">
        <v>21</v>
      </c>
      <c r="J199" s="62">
        <v>2</v>
      </c>
      <c r="K199" s="64">
        <v>0</v>
      </c>
      <c r="L199" s="31" t="s">
        <v>52</v>
      </c>
      <c r="M199" s="31" t="s">
        <v>23</v>
      </c>
      <c r="N199" s="31" t="s">
        <v>52</v>
      </c>
      <c r="O199" s="31" t="s">
        <v>23</v>
      </c>
      <c r="P199" s="31"/>
      <c r="Q199" s="31"/>
      <c r="R199" s="27"/>
      <c r="S199" s="32"/>
    </row>
    <row r="200" spans="1:19" ht="63.75" customHeight="1" thickBot="1" x14ac:dyDescent="0.3">
      <c r="A200" s="202"/>
      <c r="B200" s="188"/>
      <c r="C200" s="188"/>
      <c r="D200" s="188"/>
      <c r="E200" s="262"/>
      <c r="F200" s="262"/>
      <c r="G200" s="262"/>
      <c r="H200" s="28" t="s">
        <v>391</v>
      </c>
      <c r="I200" s="30" t="s">
        <v>392</v>
      </c>
      <c r="J200" s="62">
        <v>1</v>
      </c>
      <c r="K200" s="133">
        <v>1.1499999999999999</v>
      </c>
      <c r="L200" s="31" t="s">
        <v>22</v>
      </c>
      <c r="M200" s="31" t="s">
        <v>23</v>
      </c>
      <c r="N200" s="31" t="s">
        <v>22</v>
      </c>
      <c r="O200" s="31" t="s">
        <v>23</v>
      </c>
      <c r="P200" s="31"/>
      <c r="Q200" s="31"/>
      <c r="R200" s="27" t="s">
        <v>1649</v>
      </c>
      <c r="S200" s="32"/>
    </row>
    <row r="201" spans="1:19" ht="70.5" customHeight="1" x14ac:dyDescent="0.25">
      <c r="A201" s="200" t="s">
        <v>393</v>
      </c>
      <c r="B201" s="187" t="s">
        <v>394</v>
      </c>
      <c r="C201" s="187" t="s">
        <v>257</v>
      </c>
      <c r="D201" s="51"/>
      <c r="E201" s="52">
        <f>SUM(E202:E204)</f>
        <v>272.5</v>
      </c>
      <c r="F201" s="52">
        <f>SUM(F202:F204)</f>
        <v>194.3</v>
      </c>
      <c r="G201" s="52">
        <f>SUM(G202:G204)-0.1</f>
        <v>13.4</v>
      </c>
      <c r="H201" s="21" t="s">
        <v>395</v>
      </c>
      <c r="I201" s="23" t="s">
        <v>215</v>
      </c>
      <c r="J201" s="50">
        <v>100</v>
      </c>
      <c r="K201" s="66">
        <v>100</v>
      </c>
      <c r="L201" s="24" t="s">
        <v>42</v>
      </c>
      <c r="M201" s="24" t="s">
        <v>23</v>
      </c>
      <c r="N201" s="24" t="s">
        <v>42</v>
      </c>
      <c r="O201" s="24" t="s">
        <v>23</v>
      </c>
      <c r="P201" s="24"/>
      <c r="Q201" s="24"/>
      <c r="R201" s="76"/>
      <c r="S201" s="25"/>
    </row>
    <row r="202" spans="1:19" ht="60" x14ac:dyDescent="0.25">
      <c r="A202" s="201"/>
      <c r="B202" s="203"/>
      <c r="C202" s="203"/>
      <c r="D202" s="28" t="s">
        <v>30</v>
      </c>
      <c r="E202" s="29">
        <v>91.8</v>
      </c>
      <c r="F202" s="29">
        <v>91.8</v>
      </c>
      <c r="G202" s="29">
        <v>12.5</v>
      </c>
      <c r="H202" s="213" t="s">
        <v>396</v>
      </c>
      <c r="I202" s="214" t="s">
        <v>215</v>
      </c>
      <c r="J202" s="215">
        <v>100</v>
      </c>
      <c r="K202" s="218">
        <v>8</v>
      </c>
      <c r="L202" s="31" t="s">
        <v>23</v>
      </c>
      <c r="M202" s="31" t="s">
        <v>23</v>
      </c>
      <c r="N202" s="31" t="s">
        <v>23</v>
      </c>
      <c r="O202" s="31" t="s">
        <v>23</v>
      </c>
      <c r="P202" s="31"/>
      <c r="Q202" s="31"/>
      <c r="R202" s="305"/>
      <c r="S202" s="217" t="s">
        <v>1650</v>
      </c>
    </row>
    <row r="203" spans="1:19" x14ac:dyDescent="0.25">
      <c r="A203" s="201"/>
      <c r="B203" s="203"/>
      <c r="C203" s="203"/>
      <c r="D203" s="28" t="s">
        <v>25</v>
      </c>
      <c r="E203" s="29">
        <v>150.69999999999999</v>
      </c>
      <c r="F203" s="29">
        <v>72.5</v>
      </c>
      <c r="G203" s="29"/>
      <c r="H203" s="203"/>
      <c r="I203" s="204"/>
      <c r="J203" s="205"/>
      <c r="K203" s="243"/>
      <c r="L203" s="31"/>
      <c r="M203" s="31"/>
      <c r="N203" s="31"/>
      <c r="O203" s="31"/>
      <c r="P203" s="31"/>
      <c r="Q203" s="31"/>
      <c r="R203" s="306"/>
      <c r="S203" s="191"/>
    </row>
    <row r="204" spans="1:19" ht="15.75" thickBot="1" x14ac:dyDescent="0.3">
      <c r="A204" s="202"/>
      <c r="B204" s="188"/>
      <c r="C204" s="188"/>
      <c r="D204" s="28" t="s">
        <v>175</v>
      </c>
      <c r="E204" s="29">
        <v>30</v>
      </c>
      <c r="F204" s="29">
        <v>30</v>
      </c>
      <c r="G204" s="29">
        <v>1</v>
      </c>
      <c r="H204" s="188"/>
      <c r="I204" s="182"/>
      <c r="J204" s="184"/>
      <c r="K204" s="186"/>
      <c r="L204" s="31"/>
      <c r="M204" s="31"/>
      <c r="N204" s="31"/>
      <c r="O204" s="31"/>
      <c r="P204" s="31"/>
      <c r="Q204" s="31"/>
      <c r="R204" s="161"/>
      <c r="S204" s="190"/>
    </row>
    <row r="205" spans="1:19" ht="48" customHeight="1" x14ac:dyDescent="0.25">
      <c r="A205" s="200" t="s">
        <v>397</v>
      </c>
      <c r="B205" s="187" t="s">
        <v>398</v>
      </c>
      <c r="C205" s="187" t="s">
        <v>399</v>
      </c>
      <c r="D205" s="51"/>
      <c r="E205" s="52">
        <f>SUM(E206:E207)</f>
        <v>400</v>
      </c>
      <c r="F205" s="52">
        <f>SUM(F206:F207)</f>
        <v>950</v>
      </c>
      <c r="G205" s="52">
        <f>SUM(G206:G207)</f>
        <v>550</v>
      </c>
      <c r="H205" s="187" t="s">
        <v>400</v>
      </c>
      <c r="I205" s="181" t="s">
        <v>215</v>
      </c>
      <c r="J205" s="183">
        <v>75</v>
      </c>
      <c r="K205" s="164">
        <v>75</v>
      </c>
      <c r="L205" s="24" t="s">
        <v>42</v>
      </c>
      <c r="M205" s="24" t="s">
        <v>23</v>
      </c>
      <c r="N205" s="24" t="s">
        <v>23</v>
      </c>
      <c r="O205" s="24" t="s">
        <v>23</v>
      </c>
      <c r="P205" s="24"/>
      <c r="Q205" s="24"/>
      <c r="R205" s="187" t="s">
        <v>1801</v>
      </c>
      <c r="S205" s="209"/>
    </row>
    <row r="206" spans="1:19" ht="47.25" customHeight="1" x14ac:dyDescent="0.25">
      <c r="A206" s="201"/>
      <c r="B206" s="203"/>
      <c r="C206" s="203"/>
      <c r="D206" s="28" t="s">
        <v>30</v>
      </c>
      <c r="E206" s="29">
        <v>400</v>
      </c>
      <c r="F206" s="29">
        <v>550</v>
      </c>
      <c r="G206" s="29">
        <v>150</v>
      </c>
      <c r="H206" s="203"/>
      <c r="I206" s="204"/>
      <c r="J206" s="205"/>
      <c r="K206" s="206"/>
      <c r="L206" s="31"/>
      <c r="M206" s="31"/>
      <c r="N206" s="31"/>
      <c r="O206" s="31"/>
      <c r="P206" s="31"/>
      <c r="Q206" s="31"/>
      <c r="R206" s="203"/>
      <c r="S206" s="219"/>
    </row>
    <row r="207" spans="1:19" ht="51" customHeight="1" thickBot="1" x14ac:dyDescent="0.3">
      <c r="A207" s="202"/>
      <c r="B207" s="188"/>
      <c r="C207" s="188"/>
      <c r="D207" s="28" t="s">
        <v>402</v>
      </c>
      <c r="E207" s="29">
        <v>0</v>
      </c>
      <c r="F207" s="29">
        <v>400</v>
      </c>
      <c r="G207" s="29">
        <v>400</v>
      </c>
      <c r="H207" s="188"/>
      <c r="I207" s="182"/>
      <c r="J207" s="184"/>
      <c r="K207" s="165"/>
      <c r="L207" s="31"/>
      <c r="M207" s="31"/>
      <c r="N207" s="31"/>
      <c r="O207" s="31"/>
      <c r="P207" s="31"/>
      <c r="Q207" s="31"/>
      <c r="R207" s="188"/>
      <c r="S207" s="157"/>
    </row>
    <row r="208" spans="1:19" ht="40.5" customHeight="1" thickBot="1" x14ac:dyDescent="0.3">
      <c r="A208" s="12" t="s">
        <v>403</v>
      </c>
      <c r="B208" s="168" t="s">
        <v>404</v>
      </c>
      <c r="C208" s="169"/>
      <c r="D208" s="170"/>
      <c r="E208" s="15">
        <f>E209+E212</f>
        <v>159.5</v>
      </c>
      <c r="F208" s="15">
        <f>F209+F212</f>
        <v>139.5</v>
      </c>
      <c r="G208" s="15">
        <f>G209+G212</f>
        <v>122.30000000000001</v>
      </c>
      <c r="H208" s="171"/>
      <c r="I208" s="172"/>
      <c r="J208" s="172"/>
      <c r="K208" s="172"/>
      <c r="L208" s="172"/>
      <c r="M208" s="172"/>
      <c r="N208" s="172"/>
      <c r="O208" s="172"/>
      <c r="P208" s="172"/>
      <c r="Q208" s="172"/>
      <c r="R208" s="172"/>
      <c r="S208" s="173"/>
    </row>
    <row r="209" spans="1:19" ht="49.5" customHeight="1" x14ac:dyDescent="0.25">
      <c r="A209" s="200" t="s">
        <v>405</v>
      </c>
      <c r="B209" s="187" t="s">
        <v>406</v>
      </c>
      <c r="C209" s="187" t="s">
        <v>257</v>
      </c>
      <c r="D209" s="51"/>
      <c r="E209" s="52">
        <f>SUM(E210:E211)</f>
        <v>36.5</v>
      </c>
      <c r="F209" s="52">
        <f>SUM(F210:F211)</f>
        <v>96.8</v>
      </c>
      <c r="G209" s="52">
        <f>SUM(G210:G211)</f>
        <v>96.7</v>
      </c>
      <c r="H209" s="187" t="s">
        <v>407</v>
      </c>
      <c r="I209" s="181" t="s">
        <v>21</v>
      </c>
      <c r="J209" s="183">
        <v>23</v>
      </c>
      <c r="K209" s="277">
        <v>85</v>
      </c>
      <c r="L209" s="24" t="s">
        <v>237</v>
      </c>
      <c r="M209" s="24" t="s">
        <v>23</v>
      </c>
      <c r="N209" s="24" t="s">
        <v>237</v>
      </c>
      <c r="O209" s="24" t="s">
        <v>23</v>
      </c>
      <c r="P209" s="24"/>
      <c r="Q209" s="24"/>
      <c r="R209" s="187" t="s">
        <v>1651</v>
      </c>
      <c r="S209" s="189"/>
    </row>
    <row r="210" spans="1:19" ht="34.5" customHeight="1" x14ac:dyDescent="0.25">
      <c r="A210" s="201"/>
      <c r="B210" s="203"/>
      <c r="C210" s="203"/>
      <c r="D210" s="28" t="s">
        <v>25</v>
      </c>
      <c r="E210" s="29">
        <v>36.5</v>
      </c>
      <c r="F210" s="29">
        <v>6.8</v>
      </c>
      <c r="G210" s="29">
        <v>6.7</v>
      </c>
      <c r="H210" s="203"/>
      <c r="I210" s="204"/>
      <c r="J210" s="205"/>
      <c r="K210" s="278"/>
      <c r="L210" s="31"/>
      <c r="M210" s="31"/>
      <c r="N210" s="31"/>
      <c r="O210" s="31"/>
      <c r="P210" s="31"/>
      <c r="Q210" s="31"/>
      <c r="R210" s="203"/>
      <c r="S210" s="191"/>
    </row>
    <row r="211" spans="1:19" ht="39.75" customHeight="1" thickBot="1" x14ac:dyDescent="0.3">
      <c r="A211" s="202"/>
      <c r="B211" s="188"/>
      <c r="C211" s="188"/>
      <c r="D211" s="28" t="s">
        <v>30</v>
      </c>
      <c r="E211" s="29">
        <v>0</v>
      </c>
      <c r="F211" s="29">
        <v>90</v>
      </c>
      <c r="G211" s="29">
        <v>90</v>
      </c>
      <c r="H211" s="188"/>
      <c r="I211" s="182"/>
      <c r="J211" s="184"/>
      <c r="K211" s="279"/>
      <c r="L211" s="31"/>
      <c r="M211" s="31"/>
      <c r="N211" s="31"/>
      <c r="O211" s="31"/>
      <c r="P211" s="31"/>
      <c r="Q211" s="31"/>
      <c r="R211" s="188"/>
      <c r="S211" s="190"/>
    </row>
    <row r="212" spans="1:19" ht="51" customHeight="1" x14ac:dyDescent="0.25">
      <c r="A212" s="200" t="s">
        <v>408</v>
      </c>
      <c r="B212" s="187" t="s">
        <v>409</v>
      </c>
      <c r="C212" s="187" t="s">
        <v>257</v>
      </c>
      <c r="D212" s="51"/>
      <c r="E212" s="52">
        <f>SUM(E213:E215)</f>
        <v>123</v>
      </c>
      <c r="F212" s="52">
        <f>SUM(F213:F215)</f>
        <v>42.7</v>
      </c>
      <c r="G212" s="52">
        <f>SUM(G213:G215)</f>
        <v>25.6</v>
      </c>
      <c r="H212" s="187" t="s">
        <v>410</v>
      </c>
      <c r="I212" s="181" t="s">
        <v>21</v>
      </c>
      <c r="J212" s="183">
        <v>2</v>
      </c>
      <c r="K212" s="185">
        <v>1</v>
      </c>
      <c r="L212" s="24" t="s">
        <v>34</v>
      </c>
      <c r="M212" s="24" t="s">
        <v>23</v>
      </c>
      <c r="N212" s="24" t="s">
        <v>34</v>
      </c>
      <c r="O212" s="24" t="s">
        <v>23</v>
      </c>
      <c r="P212" s="24"/>
      <c r="Q212" s="24"/>
      <c r="R212" s="187" t="s">
        <v>1652</v>
      </c>
      <c r="S212" s="189" t="s">
        <v>1653</v>
      </c>
    </row>
    <row r="213" spans="1:19" x14ac:dyDescent="0.25">
      <c r="A213" s="201"/>
      <c r="B213" s="203"/>
      <c r="C213" s="203"/>
      <c r="D213" s="28" t="s">
        <v>25</v>
      </c>
      <c r="E213" s="29">
        <v>3</v>
      </c>
      <c r="F213" s="29">
        <v>2.7</v>
      </c>
      <c r="G213" s="29">
        <v>0</v>
      </c>
      <c r="H213" s="203"/>
      <c r="I213" s="204"/>
      <c r="J213" s="205"/>
      <c r="K213" s="243"/>
      <c r="L213" s="31"/>
      <c r="M213" s="31"/>
      <c r="N213" s="31"/>
      <c r="O213" s="31"/>
      <c r="P213" s="31"/>
      <c r="Q213" s="31"/>
      <c r="R213" s="203"/>
      <c r="S213" s="191"/>
    </row>
    <row r="214" spans="1:19" ht="23.25" customHeight="1" x14ac:dyDescent="0.25">
      <c r="A214" s="201"/>
      <c r="B214" s="203"/>
      <c r="C214" s="203"/>
      <c r="D214" s="28" t="s">
        <v>380</v>
      </c>
      <c r="E214" s="29">
        <v>120</v>
      </c>
      <c r="F214" s="29">
        <v>0</v>
      </c>
      <c r="G214" s="29">
        <v>0</v>
      </c>
      <c r="H214" s="203"/>
      <c r="I214" s="204"/>
      <c r="J214" s="205"/>
      <c r="K214" s="243"/>
      <c r="L214" s="31"/>
      <c r="M214" s="31"/>
      <c r="N214" s="31"/>
      <c r="O214" s="31"/>
      <c r="P214" s="31"/>
      <c r="Q214" s="31"/>
      <c r="R214" s="203"/>
      <c r="S214" s="191"/>
    </row>
    <row r="215" spans="1:19" ht="60.75" customHeight="1" thickBot="1" x14ac:dyDescent="0.3">
      <c r="A215" s="202"/>
      <c r="B215" s="188"/>
      <c r="C215" s="188"/>
      <c r="D215" s="28" t="s">
        <v>30</v>
      </c>
      <c r="E215" s="29">
        <v>0</v>
      </c>
      <c r="F215" s="29">
        <v>40</v>
      </c>
      <c r="G215" s="29">
        <v>25.6</v>
      </c>
      <c r="H215" s="188"/>
      <c r="I215" s="182"/>
      <c r="J215" s="184"/>
      <c r="K215" s="186"/>
      <c r="L215" s="31"/>
      <c r="M215" s="31"/>
      <c r="N215" s="31"/>
      <c r="O215" s="31"/>
      <c r="P215" s="31"/>
      <c r="Q215" s="31"/>
      <c r="R215" s="188"/>
      <c r="S215" s="190"/>
    </row>
    <row r="216" spans="1:19" ht="31.5" customHeight="1" thickBot="1" x14ac:dyDescent="0.3">
      <c r="A216" s="12" t="s">
        <v>411</v>
      </c>
      <c r="B216" s="168" t="s">
        <v>412</v>
      </c>
      <c r="C216" s="169"/>
      <c r="D216" s="170"/>
      <c r="E216" s="15">
        <f>E217+E222+E228+E233+E239+E244+E251+E256+E257+E258</f>
        <v>12169.5</v>
      </c>
      <c r="F216" s="15">
        <f>F217+F222+F228+F233+F239+F244+F251+F256+F257+F258</f>
        <v>17370</v>
      </c>
      <c r="G216" s="15">
        <f>G217+G222+G228+G233+G239+G244+G251+G256+G257+G258-0.1</f>
        <v>13867.6</v>
      </c>
      <c r="H216" s="171"/>
      <c r="I216" s="172"/>
      <c r="J216" s="172"/>
      <c r="K216" s="172"/>
      <c r="L216" s="172"/>
      <c r="M216" s="172"/>
      <c r="N216" s="172"/>
      <c r="O216" s="172"/>
      <c r="P216" s="172"/>
      <c r="Q216" s="172"/>
      <c r="R216" s="172"/>
      <c r="S216" s="173"/>
    </row>
    <row r="217" spans="1:19" ht="80.25" customHeight="1" x14ac:dyDescent="0.25">
      <c r="A217" s="200" t="s">
        <v>413</v>
      </c>
      <c r="B217" s="187" t="s">
        <v>414</v>
      </c>
      <c r="C217" s="187" t="s">
        <v>207</v>
      </c>
      <c r="D217" s="51"/>
      <c r="E217" s="52">
        <f>SUM(E218:E221)</f>
        <v>2231.9</v>
      </c>
      <c r="F217" s="52">
        <f>SUM(F218:F221)</f>
        <v>2291.9</v>
      </c>
      <c r="G217" s="52">
        <f>SUM(G218:G221)</f>
        <v>1652.6</v>
      </c>
      <c r="H217" s="21" t="s">
        <v>415</v>
      </c>
      <c r="I217" s="20" t="s">
        <v>215</v>
      </c>
      <c r="J217" s="77">
        <v>100</v>
      </c>
      <c r="K217" s="78">
        <v>100</v>
      </c>
      <c r="L217" s="24" t="s">
        <v>23</v>
      </c>
      <c r="M217" s="24" t="s">
        <v>23</v>
      </c>
      <c r="N217" s="24" t="s">
        <v>23</v>
      </c>
      <c r="O217" s="24" t="s">
        <v>23</v>
      </c>
      <c r="P217" s="24"/>
      <c r="Q217" s="24"/>
      <c r="R217" s="187" t="s">
        <v>1802</v>
      </c>
      <c r="S217" s="189"/>
    </row>
    <row r="218" spans="1:19" ht="153.75" customHeight="1" x14ac:dyDescent="0.25">
      <c r="A218" s="201"/>
      <c r="B218" s="203"/>
      <c r="C218" s="203"/>
      <c r="D218" s="28" t="s">
        <v>217</v>
      </c>
      <c r="E218" s="29">
        <v>859</v>
      </c>
      <c r="F218" s="29">
        <v>859</v>
      </c>
      <c r="G218" s="29">
        <v>273.8</v>
      </c>
      <c r="H218" s="213" t="s">
        <v>416</v>
      </c>
      <c r="I218" s="214" t="s">
        <v>417</v>
      </c>
      <c r="J218" s="215">
        <v>60588</v>
      </c>
      <c r="K218" s="216">
        <v>60588</v>
      </c>
      <c r="L218" s="31" t="s">
        <v>23</v>
      </c>
      <c r="M218" s="31" t="s">
        <v>23</v>
      </c>
      <c r="N218" s="31" t="s">
        <v>23</v>
      </c>
      <c r="O218" s="31" t="s">
        <v>23</v>
      </c>
      <c r="P218" s="31"/>
      <c r="Q218" s="31"/>
      <c r="R218" s="203"/>
      <c r="S218" s="191"/>
    </row>
    <row r="219" spans="1:19" ht="93" customHeight="1" x14ac:dyDescent="0.25">
      <c r="A219" s="201"/>
      <c r="B219" s="203"/>
      <c r="C219" s="203"/>
      <c r="D219" s="28" t="s">
        <v>30</v>
      </c>
      <c r="E219" s="29">
        <v>1156.5999999999999</v>
      </c>
      <c r="F219" s="29">
        <v>1156.5999999999999</v>
      </c>
      <c r="G219" s="29">
        <v>1156.5999999999999</v>
      </c>
      <c r="H219" s="203"/>
      <c r="I219" s="204"/>
      <c r="J219" s="205"/>
      <c r="K219" s="206"/>
      <c r="L219" s="31"/>
      <c r="M219" s="31"/>
      <c r="N219" s="31"/>
      <c r="O219" s="31"/>
      <c r="P219" s="31"/>
      <c r="Q219" s="31"/>
      <c r="R219" s="203"/>
      <c r="S219" s="191"/>
    </row>
    <row r="220" spans="1:19" ht="110.25" customHeight="1" x14ac:dyDescent="0.25">
      <c r="A220" s="201"/>
      <c r="B220" s="203"/>
      <c r="C220" s="203"/>
      <c r="D220" s="28" t="s">
        <v>25</v>
      </c>
      <c r="E220" s="29">
        <v>144</v>
      </c>
      <c r="F220" s="29">
        <v>204</v>
      </c>
      <c r="G220" s="29">
        <v>198</v>
      </c>
      <c r="H220" s="203"/>
      <c r="I220" s="204"/>
      <c r="J220" s="205"/>
      <c r="K220" s="206"/>
      <c r="L220" s="31"/>
      <c r="M220" s="31"/>
      <c r="N220" s="31"/>
      <c r="O220" s="31"/>
      <c r="P220" s="31"/>
      <c r="Q220" s="31"/>
      <c r="R220" s="203"/>
      <c r="S220" s="191"/>
    </row>
    <row r="221" spans="1:19" ht="101.25" customHeight="1" thickBot="1" x14ac:dyDescent="0.3">
      <c r="A221" s="202"/>
      <c r="B221" s="188"/>
      <c r="C221" s="188"/>
      <c r="D221" s="28" t="s">
        <v>201</v>
      </c>
      <c r="E221" s="29">
        <v>72.3</v>
      </c>
      <c r="F221" s="29">
        <v>72.3</v>
      </c>
      <c r="G221" s="29">
        <v>24.2</v>
      </c>
      <c r="H221" s="188"/>
      <c r="I221" s="182"/>
      <c r="J221" s="184"/>
      <c r="K221" s="165"/>
      <c r="L221" s="31"/>
      <c r="M221" s="31"/>
      <c r="N221" s="31"/>
      <c r="O221" s="31"/>
      <c r="P221" s="31"/>
      <c r="Q221" s="31"/>
      <c r="R221" s="188"/>
      <c r="S221" s="190"/>
    </row>
    <row r="222" spans="1:19" ht="42.75" customHeight="1" x14ac:dyDescent="0.25">
      <c r="A222" s="210" t="s">
        <v>418</v>
      </c>
      <c r="B222" s="187" t="s">
        <v>419</v>
      </c>
      <c r="C222" s="181" t="s">
        <v>207</v>
      </c>
      <c r="D222" s="51"/>
      <c r="E222" s="52">
        <f>SUM(E223:E227)</f>
        <v>1862</v>
      </c>
      <c r="F222" s="52">
        <f>SUM(F223:F227)</f>
        <v>3154.8</v>
      </c>
      <c r="G222" s="52">
        <f>SUM(G223:G227)</f>
        <v>2520.9</v>
      </c>
      <c r="H222" s="187" t="s">
        <v>415</v>
      </c>
      <c r="I222" s="181" t="s">
        <v>215</v>
      </c>
      <c r="J222" s="183">
        <v>29</v>
      </c>
      <c r="K222" s="164">
        <v>50</v>
      </c>
      <c r="L222" s="24" t="s">
        <v>23</v>
      </c>
      <c r="M222" s="24" t="s">
        <v>23</v>
      </c>
      <c r="N222" s="24" t="s">
        <v>421</v>
      </c>
      <c r="O222" s="24" t="s">
        <v>23</v>
      </c>
      <c r="P222" s="24"/>
      <c r="Q222" s="24"/>
      <c r="R222" s="187" t="s">
        <v>423</v>
      </c>
      <c r="S222" s="189" t="s">
        <v>1654</v>
      </c>
    </row>
    <row r="223" spans="1:19" ht="41.25" customHeight="1" x14ac:dyDescent="0.25">
      <c r="A223" s="211"/>
      <c r="B223" s="203"/>
      <c r="C223" s="204"/>
      <c r="D223" s="28" t="s">
        <v>201</v>
      </c>
      <c r="E223" s="29">
        <v>164.3</v>
      </c>
      <c r="F223" s="29">
        <v>537.1</v>
      </c>
      <c r="G223" s="29">
        <v>250.3</v>
      </c>
      <c r="H223" s="203"/>
      <c r="I223" s="204"/>
      <c r="J223" s="205"/>
      <c r="K223" s="206"/>
      <c r="L223" s="31" t="s">
        <v>422</v>
      </c>
      <c r="M223" s="31" t="s">
        <v>23</v>
      </c>
      <c r="N223" s="31" t="s">
        <v>42</v>
      </c>
      <c r="O223" s="31" t="s">
        <v>23</v>
      </c>
      <c r="P223" s="31"/>
      <c r="Q223" s="31"/>
      <c r="R223" s="203"/>
      <c r="S223" s="191"/>
    </row>
    <row r="224" spans="1:19" x14ac:dyDescent="0.25">
      <c r="A224" s="211"/>
      <c r="B224" s="203"/>
      <c r="C224" s="204"/>
      <c r="D224" s="28" t="s">
        <v>25</v>
      </c>
      <c r="E224" s="29">
        <v>127.7</v>
      </c>
      <c r="F224" s="29">
        <v>127.7</v>
      </c>
      <c r="G224" s="29">
        <v>121</v>
      </c>
      <c r="H224" s="203"/>
      <c r="I224" s="204"/>
      <c r="J224" s="205"/>
      <c r="K224" s="206"/>
      <c r="L224" s="31"/>
      <c r="M224" s="31"/>
      <c r="N224" s="31"/>
      <c r="O224" s="31"/>
      <c r="P224" s="31"/>
      <c r="Q224" s="31"/>
      <c r="R224" s="203"/>
      <c r="S224" s="191"/>
    </row>
    <row r="225" spans="1:19" x14ac:dyDescent="0.25">
      <c r="A225" s="211"/>
      <c r="B225" s="203"/>
      <c r="C225" s="204"/>
      <c r="D225" s="28" t="s">
        <v>30</v>
      </c>
      <c r="E225" s="29">
        <v>172.3</v>
      </c>
      <c r="F225" s="29">
        <v>172.3</v>
      </c>
      <c r="G225" s="29">
        <v>172.3</v>
      </c>
      <c r="H225" s="203"/>
      <c r="I225" s="204"/>
      <c r="J225" s="205"/>
      <c r="K225" s="206"/>
      <c r="L225" s="31"/>
      <c r="M225" s="31"/>
      <c r="N225" s="31"/>
      <c r="O225" s="31"/>
      <c r="P225" s="31"/>
      <c r="Q225" s="31"/>
      <c r="R225" s="203"/>
      <c r="S225" s="191"/>
    </row>
    <row r="226" spans="1:19" x14ac:dyDescent="0.25">
      <c r="A226" s="211"/>
      <c r="B226" s="203"/>
      <c r="C226" s="204"/>
      <c r="D226" s="28" t="s">
        <v>217</v>
      </c>
      <c r="E226" s="29">
        <v>1097.7</v>
      </c>
      <c r="F226" s="29">
        <v>2197.6999999999998</v>
      </c>
      <c r="G226" s="29">
        <v>1857.3</v>
      </c>
      <c r="H226" s="203"/>
      <c r="I226" s="204"/>
      <c r="J226" s="205"/>
      <c r="K226" s="206"/>
      <c r="L226" s="31"/>
      <c r="M226" s="31"/>
      <c r="N226" s="31"/>
      <c r="O226" s="31"/>
      <c r="P226" s="31"/>
      <c r="Q226" s="31"/>
      <c r="R226" s="203"/>
      <c r="S226" s="191"/>
    </row>
    <row r="227" spans="1:19" ht="15.75" thickBot="1" x14ac:dyDescent="0.3">
      <c r="A227" s="212"/>
      <c r="B227" s="188"/>
      <c r="C227" s="182"/>
      <c r="D227" s="28" t="s">
        <v>402</v>
      </c>
      <c r="E227" s="29">
        <v>300</v>
      </c>
      <c r="F227" s="29">
        <v>120</v>
      </c>
      <c r="G227" s="29">
        <v>120</v>
      </c>
      <c r="H227" s="188"/>
      <c r="I227" s="182"/>
      <c r="J227" s="184"/>
      <c r="K227" s="165"/>
      <c r="L227" s="31"/>
      <c r="M227" s="31"/>
      <c r="N227" s="31"/>
      <c r="O227" s="31"/>
      <c r="P227" s="31"/>
      <c r="Q227" s="31"/>
      <c r="R227" s="188"/>
      <c r="S227" s="190"/>
    </row>
    <row r="228" spans="1:19" ht="33.75" customHeight="1" x14ac:dyDescent="0.25">
      <c r="A228" s="200" t="s">
        <v>424</v>
      </c>
      <c r="B228" s="187" t="s">
        <v>425</v>
      </c>
      <c r="C228" s="187" t="s">
        <v>207</v>
      </c>
      <c r="D228" s="51"/>
      <c r="E228" s="52">
        <f>SUM(E229:E232)</f>
        <v>436.20000000000005</v>
      </c>
      <c r="F228" s="52">
        <f>SUM(F229:F232)</f>
        <v>546.6</v>
      </c>
      <c r="G228" s="52">
        <f>SUM(G229:G232)</f>
        <v>238.29999999999998</v>
      </c>
      <c r="H228" s="187" t="s">
        <v>415</v>
      </c>
      <c r="I228" s="181" t="s">
        <v>215</v>
      </c>
      <c r="J228" s="183">
        <v>45</v>
      </c>
      <c r="K228" s="185">
        <v>14</v>
      </c>
      <c r="L228" s="24" t="s">
        <v>23</v>
      </c>
      <c r="M228" s="24" t="s">
        <v>23</v>
      </c>
      <c r="N228" s="24" t="s">
        <v>426</v>
      </c>
      <c r="O228" s="24" t="s">
        <v>23</v>
      </c>
      <c r="P228" s="24"/>
      <c r="Q228" s="24"/>
      <c r="R228" s="187" t="s">
        <v>428</v>
      </c>
      <c r="S228" s="189" t="s">
        <v>1655</v>
      </c>
    </row>
    <row r="229" spans="1:19" ht="72.75" customHeight="1" x14ac:dyDescent="0.25">
      <c r="A229" s="201"/>
      <c r="B229" s="203"/>
      <c r="C229" s="203"/>
      <c r="D229" s="28" t="s">
        <v>217</v>
      </c>
      <c r="E229" s="29">
        <v>257.60000000000002</v>
      </c>
      <c r="F229" s="29">
        <v>257.60000000000002</v>
      </c>
      <c r="G229" s="29">
        <v>80.7</v>
      </c>
      <c r="H229" s="203"/>
      <c r="I229" s="204"/>
      <c r="J229" s="205"/>
      <c r="K229" s="243"/>
      <c r="L229" s="31" t="s">
        <v>42</v>
      </c>
      <c r="M229" s="31" t="s">
        <v>23</v>
      </c>
      <c r="N229" s="31" t="s">
        <v>23</v>
      </c>
      <c r="O229" s="31" t="s">
        <v>23</v>
      </c>
      <c r="P229" s="31"/>
      <c r="Q229" s="31"/>
      <c r="R229" s="203"/>
      <c r="S229" s="191"/>
    </row>
    <row r="230" spans="1:19" x14ac:dyDescent="0.25">
      <c r="A230" s="201"/>
      <c r="B230" s="203"/>
      <c r="C230" s="203"/>
      <c r="D230" s="28" t="s">
        <v>25</v>
      </c>
      <c r="E230" s="29">
        <v>65.8</v>
      </c>
      <c r="F230" s="29">
        <v>65.8</v>
      </c>
      <c r="G230" s="29">
        <v>63.4</v>
      </c>
      <c r="H230" s="203"/>
      <c r="I230" s="204"/>
      <c r="J230" s="205"/>
      <c r="K230" s="243"/>
      <c r="L230" s="31"/>
      <c r="M230" s="31"/>
      <c r="N230" s="31"/>
      <c r="O230" s="31"/>
      <c r="P230" s="31"/>
      <c r="Q230" s="31"/>
      <c r="R230" s="203"/>
      <c r="S230" s="191"/>
    </row>
    <row r="231" spans="1:19" x14ac:dyDescent="0.25">
      <c r="A231" s="201"/>
      <c r="B231" s="203"/>
      <c r="C231" s="203"/>
      <c r="D231" s="28" t="s">
        <v>201</v>
      </c>
      <c r="E231" s="29">
        <v>22</v>
      </c>
      <c r="F231" s="29">
        <v>132.4</v>
      </c>
      <c r="G231" s="29">
        <v>6.7</v>
      </c>
      <c r="H231" s="203"/>
      <c r="I231" s="204"/>
      <c r="J231" s="205"/>
      <c r="K231" s="243"/>
      <c r="L231" s="31"/>
      <c r="M231" s="31"/>
      <c r="N231" s="31"/>
      <c r="O231" s="31"/>
      <c r="P231" s="31"/>
      <c r="Q231" s="31"/>
      <c r="R231" s="203"/>
      <c r="S231" s="191"/>
    </row>
    <row r="232" spans="1:19" ht="40.5" customHeight="1" thickBot="1" x14ac:dyDescent="0.3">
      <c r="A232" s="202"/>
      <c r="B232" s="188"/>
      <c r="C232" s="188"/>
      <c r="D232" s="28" t="s">
        <v>30</v>
      </c>
      <c r="E232" s="29">
        <v>90.8</v>
      </c>
      <c r="F232" s="29">
        <v>90.8</v>
      </c>
      <c r="G232" s="29">
        <v>87.5</v>
      </c>
      <c r="H232" s="188"/>
      <c r="I232" s="182"/>
      <c r="J232" s="184"/>
      <c r="K232" s="186"/>
      <c r="L232" s="31"/>
      <c r="M232" s="31"/>
      <c r="N232" s="31"/>
      <c r="O232" s="31"/>
      <c r="P232" s="31"/>
      <c r="Q232" s="31"/>
      <c r="R232" s="188"/>
      <c r="S232" s="190"/>
    </row>
    <row r="233" spans="1:19" ht="49.5" customHeight="1" x14ac:dyDescent="0.25">
      <c r="A233" s="200" t="s">
        <v>429</v>
      </c>
      <c r="B233" s="187" t="s">
        <v>430</v>
      </c>
      <c r="C233" s="187" t="s">
        <v>207</v>
      </c>
      <c r="D233" s="51"/>
      <c r="E233" s="52">
        <f>SUM(E234:E238)</f>
        <v>2554.6999999999998</v>
      </c>
      <c r="F233" s="52">
        <f>SUM(F234:F238)</f>
        <v>4074.2000000000003</v>
      </c>
      <c r="G233" s="52">
        <f>SUM(G234:G238)</f>
        <v>3668.9</v>
      </c>
      <c r="H233" s="187" t="s">
        <v>415</v>
      </c>
      <c r="I233" s="181" t="s">
        <v>215</v>
      </c>
      <c r="J233" s="183">
        <v>50</v>
      </c>
      <c r="K233" s="164">
        <v>60</v>
      </c>
      <c r="L233" s="24" t="s">
        <v>245</v>
      </c>
      <c r="M233" s="24" t="s">
        <v>23</v>
      </c>
      <c r="N233" s="24" t="s">
        <v>42</v>
      </c>
      <c r="O233" s="24" t="s">
        <v>23</v>
      </c>
      <c r="P233" s="24"/>
      <c r="Q233" s="24"/>
      <c r="R233" s="187" t="s">
        <v>431</v>
      </c>
      <c r="S233" s="189" t="s">
        <v>432</v>
      </c>
    </row>
    <row r="234" spans="1:19" ht="29.25" customHeight="1" x14ac:dyDescent="0.25">
      <c r="A234" s="201"/>
      <c r="B234" s="203"/>
      <c r="C234" s="203"/>
      <c r="D234" s="28" t="s">
        <v>217</v>
      </c>
      <c r="E234" s="29">
        <v>791.9</v>
      </c>
      <c r="F234" s="29">
        <v>1991.9</v>
      </c>
      <c r="G234" s="29">
        <v>1692</v>
      </c>
      <c r="H234" s="203"/>
      <c r="I234" s="204"/>
      <c r="J234" s="205"/>
      <c r="K234" s="206"/>
      <c r="L234" s="31" t="s">
        <v>23</v>
      </c>
      <c r="M234" s="31" t="s">
        <v>23</v>
      </c>
      <c r="N234" s="31" t="s">
        <v>433</v>
      </c>
      <c r="O234" s="31" t="s">
        <v>23</v>
      </c>
      <c r="P234" s="31"/>
      <c r="Q234" s="31"/>
      <c r="R234" s="203"/>
      <c r="S234" s="191"/>
    </row>
    <row r="235" spans="1:19" x14ac:dyDescent="0.25">
      <c r="A235" s="201"/>
      <c r="B235" s="203"/>
      <c r="C235" s="203"/>
      <c r="D235" s="28" t="s">
        <v>30</v>
      </c>
      <c r="E235" s="29">
        <v>710.7</v>
      </c>
      <c r="F235" s="29">
        <v>710.7</v>
      </c>
      <c r="G235" s="29">
        <v>702.7</v>
      </c>
      <c r="H235" s="203"/>
      <c r="I235" s="204"/>
      <c r="J235" s="205"/>
      <c r="K235" s="206"/>
      <c r="L235" s="31"/>
      <c r="M235" s="31"/>
      <c r="N235" s="31"/>
      <c r="O235" s="31"/>
      <c r="P235" s="31"/>
      <c r="Q235" s="31"/>
      <c r="R235" s="203"/>
      <c r="S235" s="191"/>
    </row>
    <row r="236" spans="1:19" x14ac:dyDescent="0.25">
      <c r="A236" s="201"/>
      <c r="B236" s="203"/>
      <c r="C236" s="203"/>
      <c r="D236" s="28" t="s">
        <v>25</v>
      </c>
      <c r="E236" s="29">
        <v>17.100000000000001</v>
      </c>
      <c r="F236" s="29">
        <v>17.100000000000001</v>
      </c>
      <c r="G236" s="29">
        <v>7.8</v>
      </c>
      <c r="H236" s="203"/>
      <c r="I236" s="204"/>
      <c r="J236" s="205"/>
      <c r="K236" s="206"/>
      <c r="L236" s="31"/>
      <c r="M236" s="31"/>
      <c r="N236" s="31"/>
      <c r="O236" s="31"/>
      <c r="P236" s="31"/>
      <c r="Q236" s="31"/>
      <c r="R236" s="203"/>
      <c r="S236" s="191"/>
    </row>
    <row r="237" spans="1:19" ht="30.75" customHeight="1" x14ac:dyDescent="0.25">
      <c r="A237" s="201"/>
      <c r="B237" s="203"/>
      <c r="C237" s="203"/>
      <c r="D237" s="28" t="s">
        <v>201</v>
      </c>
      <c r="E237" s="29">
        <v>68</v>
      </c>
      <c r="F237" s="29">
        <v>387.5</v>
      </c>
      <c r="G237" s="29">
        <v>299.39999999999998</v>
      </c>
      <c r="H237" s="203"/>
      <c r="I237" s="204"/>
      <c r="J237" s="205"/>
      <c r="K237" s="206"/>
      <c r="L237" s="31"/>
      <c r="M237" s="31"/>
      <c r="N237" s="31"/>
      <c r="O237" s="31"/>
      <c r="P237" s="31"/>
      <c r="Q237" s="31"/>
      <c r="R237" s="203"/>
      <c r="S237" s="191"/>
    </row>
    <row r="238" spans="1:19" ht="39" customHeight="1" thickBot="1" x14ac:dyDescent="0.3">
      <c r="A238" s="202"/>
      <c r="B238" s="188"/>
      <c r="C238" s="188"/>
      <c r="D238" s="28" t="s">
        <v>402</v>
      </c>
      <c r="E238" s="29">
        <v>967</v>
      </c>
      <c r="F238" s="29">
        <v>967</v>
      </c>
      <c r="G238" s="29">
        <v>967</v>
      </c>
      <c r="H238" s="188"/>
      <c r="I238" s="182"/>
      <c r="J238" s="184"/>
      <c r="K238" s="165"/>
      <c r="L238" s="31"/>
      <c r="M238" s="31"/>
      <c r="N238" s="31"/>
      <c r="O238" s="31"/>
      <c r="P238" s="31"/>
      <c r="Q238" s="31"/>
      <c r="R238" s="188"/>
      <c r="S238" s="190"/>
    </row>
    <row r="239" spans="1:19" ht="79.5" customHeight="1" x14ac:dyDescent="0.25">
      <c r="A239" s="200" t="s">
        <v>434</v>
      </c>
      <c r="B239" s="187" t="s">
        <v>435</v>
      </c>
      <c r="C239" s="181" t="s">
        <v>207</v>
      </c>
      <c r="D239" s="51"/>
      <c r="E239" s="52">
        <f>SUM(E240:E243)</f>
        <v>547.29999999999995</v>
      </c>
      <c r="F239" s="52">
        <f>SUM(F240:F243)</f>
        <v>672.5</v>
      </c>
      <c r="G239" s="52">
        <f>SUM(G240:G243)</f>
        <v>613.6</v>
      </c>
      <c r="H239" s="187" t="s">
        <v>415</v>
      </c>
      <c r="I239" s="181" t="s">
        <v>215</v>
      </c>
      <c r="J239" s="183">
        <v>33</v>
      </c>
      <c r="K239" s="164">
        <v>33</v>
      </c>
      <c r="L239" s="24" t="s">
        <v>42</v>
      </c>
      <c r="M239" s="24" t="s">
        <v>23</v>
      </c>
      <c r="N239" s="24"/>
      <c r="O239" s="24"/>
      <c r="P239" s="24"/>
      <c r="Q239" s="24"/>
      <c r="R239" s="187" t="s">
        <v>437</v>
      </c>
      <c r="S239" s="189" t="s">
        <v>438</v>
      </c>
    </row>
    <row r="240" spans="1:19" ht="57.75" customHeight="1" x14ac:dyDescent="0.25">
      <c r="A240" s="201"/>
      <c r="B240" s="203"/>
      <c r="C240" s="204"/>
      <c r="D240" s="28" t="s">
        <v>201</v>
      </c>
      <c r="E240" s="29">
        <v>35.799999999999997</v>
      </c>
      <c r="F240" s="29">
        <v>107</v>
      </c>
      <c r="G240" s="29">
        <v>96.2</v>
      </c>
      <c r="H240" s="203"/>
      <c r="I240" s="204"/>
      <c r="J240" s="205"/>
      <c r="K240" s="206"/>
      <c r="L240" s="31" t="s">
        <v>439</v>
      </c>
      <c r="M240" s="31" t="s">
        <v>23</v>
      </c>
      <c r="N240" s="31" t="s">
        <v>23</v>
      </c>
      <c r="O240" s="31" t="s">
        <v>23</v>
      </c>
      <c r="P240" s="31"/>
      <c r="Q240" s="31"/>
      <c r="R240" s="203"/>
      <c r="S240" s="191"/>
    </row>
    <row r="241" spans="1:19" x14ac:dyDescent="0.25">
      <c r="A241" s="201"/>
      <c r="B241" s="203"/>
      <c r="C241" s="204"/>
      <c r="D241" s="28" t="s">
        <v>25</v>
      </c>
      <c r="E241" s="29">
        <v>18.3</v>
      </c>
      <c r="F241" s="29">
        <v>72.3</v>
      </c>
      <c r="G241" s="29">
        <v>72.099999999999994</v>
      </c>
      <c r="H241" s="203"/>
      <c r="I241" s="204"/>
      <c r="J241" s="205"/>
      <c r="K241" s="206"/>
      <c r="L241" s="31"/>
      <c r="M241" s="31"/>
      <c r="N241" s="31"/>
      <c r="O241" s="31"/>
      <c r="P241" s="31"/>
      <c r="Q241" s="31"/>
      <c r="R241" s="203"/>
      <c r="S241" s="191"/>
    </row>
    <row r="242" spans="1:19" ht="54.75" customHeight="1" x14ac:dyDescent="0.25">
      <c r="A242" s="201"/>
      <c r="B242" s="203"/>
      <c r="C242" s="204"/>
      <c r="D242" s="28" t="s">
        <v>30</v>
      </c>
      <c r="E242" s="29">
        <v>90</v>
      </c>
      <c r="F242" s="29">
        <v>90</v>
      </c>
      <c r="G242" s="29">
        <v>90</v>
      </c>
      <c r="H242" s="203"/>
      <c r="I242" s="204"/>
      <c r="J242" s="205"/>
      <c r="K242" s="206"/>
      <c r="L242" s="31"/>
      <c r="M242" s="31"/>
      <c r="N242" s="31"/>
      <c r="O242" s="31"/>
      <c r="P242" s="31"/>
      <c r="Q242" s="31"/>
      <c r="R242" s="203"/>
      <c r="S242" s="191"/>
    </row>
    <row r="243" spans="1:19" ht="45" customHeight="1" thickBot="1" x14ac:dyDescent="0.3">
      <c r="A243" s="202"/>
      <c r="B243" s="188"/>
      <c r="C243" s="182"/>
      <c r="D243" s="28" t="s">
        <v>217</v>
      </c>
      <c r="E243" s="29">
        <v>403.2</v>
      </c>
      <c r="F243" s="29">
        <v>403.2</v>
      </c>
      <c r="G243" s="29">
        <v>355.3</v>
      </c>
      <c r="H243" s="188"/>
      <c r="I243" s="182"/>
      <c r="J243" s="184"/>
      <c r="K243" s="165"/>
      <c r="L243" s="31"/>
      <c r="M243" s="31"/>
      <c r="N243" s="31"/>
      <c r="O243" s="31"/>
      <c r="P243" s="31"/>
      <c r="Q243" s="31"/>
      <c r="R243" s="188"/>
      <c r="S243" s="190"/>
    </row>
    <row r="244" spans="1:19" ht="39" customHeight="1" x14ac:dyDescent="0.25">
      <c r="A244" s="200" t="s">
        <v>440</v>
      </c>
      <c r="B244" s="187" t="s">
        <v>441</v>
      </c>
      <c r="C244" s="181" t="s">
        <v>207</v>
      </c>
      <c r="D244" s="51"/>
      <c r="E244" s="52">
        <f>SUM(E245:E250)</f>
        <v>2478.1</v>
      </c>
      <c r="F244" s="52">
        <f>SUM(F245:F250)</f>
        <v>3439</v>
      </c>
      <c r="G244" s="52">
        <f>SUM(G245:G250)+0.1</f>
        <v>2582.4</v>
      </c>
      <c r="H244" s="187" t="s">
        <v>415</v>
      </c>
      <c r="I244" s="181" t="s">
        <v>215</v>
      </c>
      <c r="J244" s="183">
        <v>40</v>
      </c>
      <c r="K244" s="185">
        <v>36</v>
      </c>
      <c r="L244" s="24" t="s">
        <v>23</v>
      </c>
      <c r="M244" s="24" t="s">
        <v>23</v>
      </c>
      <c r="N244" s="24" t="s">
        <v>442</v>
      </c>
      <c r="O244" s="24" t="s">
        <v>23</v>
      </c>
      <c r="P244" s="24"/>
      <c r="Q244" s="24"/>
      <c r="R244" s="187" t="s">
        <v>1803</v>
      </c>
      <c r="S244" s="307" t="s">
        <v>1804</v>
      </c>
    </row>
    <row r="245" spans="1:19" ht="38.25" customHeight="1" x14ac:dyDescent="0.25">
      <c r="A245" s="201"/>
      <c r="B245" s="203"/>
      <c r="C245" s="204"/>
      <c r="D245" s="28" t="s">
        <v>201</v>
      </c>
      <c r="E245" s="29">
        <v>81</v>
      </c>
      <c r="F245" s="29">
        <v>400.6</v>
      </c>
      <c r="G245" s="29">
        <v>355.2</v>
      </c>
      <c r="H245" s="203"/>
      <c r="I245" s="204"/>
      <c r="J245" s="205"/>
      <c r="K245" s="243"/>
      <c r="L245" s="31" t="s">
        <v>443</v>
      </c>
      <c r="M245" s="31" t="s">
        <v>23</v>
      </c>
      <c r="N245" s="31" t="s">
        <v>42</v>
      </c>
      <c r="O245" s="31" t="s">
        <v>23</v>
      </c>
      <c r="P245" s="31"/>
      <c r="Q245" s="31"/>
      <c r="R245" s="203"/>
      <c r="S245" s="308"/>
    </row>
    <row r="246" spans="1:19" x14ac:dyDescent="0.25">
      <c r="A246" s="201"/>
      <c r="B246" s="203"/>
      <c r="C246" s="204"/>
      <c r="D246" s="28" t="s">
        <v>30</v>
      </c>
      <c r="E246" s="29">
        <v>270</v>
      </c>
      <c r="F246" s="29">
        <v>170</v>
      </c>
      <c r="G246" s="29">
        <v>59.8</v>
      </c>
      <c r="H246" s="203"/>
      <c r="I246" s="204"/>
      <c r="J246" s="205"/>
      <c r="K246" s="243"/>
      <c r="L246" s="31"/>
      <c r="M246" s="31"/>
      <c r="N246" s="31"/>
      <c r="O246" s="31"/>
      <c r="P246" s="31"/>
      <c r="Q246" s="31"/>
      <c r="R246" s="203"/>
      <c r="S246" s="308"/>
    </row>
    <row r="247" spans="1:19" x14ac:dyDescent="0.25">
      <c r="A247" s="201"/>
      <c r="B247" s="203"/>
      <c r="C247" s="204"/>
      <c r="D247" s="28" t="s">
        <v>25</v>
      </c>
      <c r="E247" s="29">
        <v>46</v>
      </c>
      <c r="F247" s="29">
        <v>46</v>
      </c>
      <c r="G247" s="29">
        <v>29.4</v>
      </c>
      <c r="H247" s="203"/>
      <c r="I247" s="204"/>
      <c r="J247" s="205"/>
      <c r="K247" s="243"/>
      <c r="L247" s="31"/>
      <c r="M247" s="31"/>
      <c r="N247" s="31"/>
      <c r="O247" s="31"/>
      <c r="P247" s="31"/>
      <c r="Q247" s="31"/>
      <c r="R247" s="203"/>
      <c r="S247" s="308"/>
    </row>
    <row r="248" spans="1:19" x14ac:dyDescent="0.25">
      <c r="A248" s="201"/>
      <c r="B248" s="203"/>
      <c r="C248" s="204"/>
      <c r="D248" s="28" t="s">
        <v>217</v>
      </c>
      <c r="E248" s="29">
        <v>924</v>
      </c>
      <c r="F248" s="29">
        <v>2022.4</v>
      </c>
      <c r="G248" s="29">
        <v>1337.9</v>
      </c>
      <c r="H248" s="203"/>
      <c r="I248" s="204"/>
      <c r="J248" s="205"/>
      <c r="K248" s="243"/>
      <c r="L248" s="31"/>
      <c r="M248" s="31"/>
      <c r="N248" s="31"/>
      <c r="O248" s="31"/>
      <c r="P248" s="31"/>
      <c r="Q248" s="31"/>
      <c r="R248" s="203"/>
      <c r="S248" s="308"/>
    </row>
    <row r="249" spans="1:19" x14ac:dyDescent="0.25">
      <c r="A249" s="201"/>
      <c r="B249" s="203"/>
      <c r="C249" s="204"/>
      <c r="D249" s="28" t="s">
        <v>196</v>
      </c>
      <c r="E249" s="29">
        <v>357.1</v>
      </c>
      <c r="F249" s="29"/>
      <c r="G249" s="29"/>
      <c r="H249" s="203"/>
      <c r="I249" s="204"/>
      <c r="J249" s="205"/>
      <c r="K249" s="243"/>
      <c r="L249" s="31"/>
      <c r="M249" s="31"/>
      <c r="N249" s="31"/>
      <c r="O249" s="31"/>
      <c r="P249" s="31"/>
      <c r="Q249" s="31"/>
      <c r="R249" s="203"/>
      <c r="S249" s="308"/>
    </row>
    <row r="250" spans="1:19" ht="15.75" thickBot="1" x14ac:dyDescent="0.3">
      <c r="A250" s="202"/>
      <c r="B250" s="188"/>
      <c r="C250" s="182"/>
      <c r="D250" s="28" t="s">
        <v>402</v>
      </c>
      <c r="E250" s="29">
        <v>800</v>
      </c>
      <c r="F250" s="29">
        <v>800</v>
      </c>
      <c r="G250" s="29">
        <v>800</v>
      </c>
      <c r="H250" s="188"/>
      <c r="I250" s="182"/>
      <c r="J250" s="184"/>
      <c r="K250" s="186"/>
      <c r="L250" s="31"/>
      <c r="M250" s="31"/>
      <c r="N250" s="31"/>
      <c r="O250" s="31"/>
      <c r="P250" s="31"/>
      <c r="Q250" s="31"/>
      <c r="R250" s="188"/>
      <c r="S250" s="269"/>
    </row>
    <row r="251" spans="1:19" ht="40.5" customHeight="1" x14ac:dyDescent="0.25">
      <c r="A251" s="200" t="s">
        <v>444</v>
      </c>
      <c r="B251" s="187" t="s">
        <v>445</v>
      </c>
      <c r="C251" s="187" t="s">
        <v>207</v>
      </c>
      <c r="D251" s="51"/>
      <c r="E251" s="52">
        <f>SUM(E252:E255)</f>
        <v>1559.3</v>
      </c>
      <c r="F251" s="52">
        <f>SUM(F252:F255)</f>
        <v>2691</v>
      </c>
      <c r="G251" s="52">
        <f>SUM(G252:G255)</f>
        <v>2441</v>
      </c>
      <c r="H251" s="187" t="s">
        <v>415</v>
      </c>
      <c r="I251" s="181" t="s">
        <v>215</v>
      </c>
      <c r="J251" s="183">
        <v>49</v>
      </c>
      <c r="K251" s="277">
        <v>79</v>
      </c>
      <c r="L251" s="24" t="s">
        <v>42</v>
      </c>
      <c r="M251" s="24" t="s">
        <v>23</v>
      </c>
      <c r="N251" s="24"/>
      <c r="O251" s="24"/>
      <c r="P251" s="24"/>
      <c r="Q251" s="24"/>
      <c r="R251" s="187" t="s">
        <v>446</v>
      </c>
      <c r="S251" s="189" t="s">
        <v>447</v>
      </c>
    </row>
    <row r="252" spans="1:19" ht="36.75" customHeight="1" x14ac:dyDescent="0.25">
      <c r="A252" s="201"/>
      <c r="B252" s="203"/>
      <c r="C252" s="203"/>
      <c r="D252" s="28" t="s">
        <v>217</v>
      </c>
      <c r="E252" s="29">
        <v>932.5</v>
      </c>
      <c r="F252" s="29">
        <v>1660.3</v>
      </c>
      <c r="G252" s="29">
        <v>1447.4</v>
      </c>
      <c r="H252" s="203"/>
      <c r="I252" s="204"/>
      <c r="J252" s="205"/>
      <c r="K252" s="278"/>
      <c r="L252" s="31" t="s">
        <v>448</v>
      </c>
      <c r="M252" s="31" t="s">
        <v>23</v>
      </c>
      <c r="N252" s="31" t="s">
        <v>23</v>
      </c>
      <c r="O252" s="31" t="s">
        <v>23</v>
      </c>
      <c r="P252" s="31"/>
      <c r="Q252" s="31"/>
      <c r="R252" s="203"/>
      <c r="S252" s="191"/>
    </row>
    <row r="253" spans="1:19" x14ac:dyDescent="0.25">
      <c r="A253" s="201"/>
      <c r="B253" s="203"/>
      <c r="C253" s="203"/>
      <c r="D253" s="28" t="s">
        <v>201</v>
      </c>
      <c r="E253" s="29">
        <v>83.5</v>
      </c>
      <c r="F253" s="29">
        <v>307.39999999999998</v>
      </c>
      <c r="G253" s="29">
        <v>288.39999999999998</v>
      </c>
      <c r="H253" s="203"/>
      <c r="I253" s="204"/>
      <c r="J253" s="205"/>
      <c r="K253" s="278"/>
      <c r="L253" s="31"/>
      <c r="M253" s="31"/>
      <c r="N253" s="31"/>
      <c r="O253" s="31"/>
      <c r="P253" s="31"/>
      <c r="Q253" s="31"/>
      <c r="R253" s="203"/>
      <c r="S253" s="191"/>
    </row>
    <row r="254" spans="1:19" x14ac:dyDescent="0.25">
      <c r="A254" s="201"/>
      <c r="B254" s="203"/>
      <c r="C254" s="203"/>
      <c r="D254" s="28" t="s">
        <v>25</v>
      </c>
      <c r="E254" s="29">
        <v>143.30000000000001</v>
      </c>
      <c r="F254" s="29">
        <v>143.30000000000001</v>
      </c>
      <c r="G254" s="29">
        <v>125.2</v>
      </c>
      <c r="H254" s="203"/>
      <c r="I254" s="204"/>
      <c r="J254" s="205"/>
      <c r="K254" s="278"/>
      <c r="L254" s="31"/>
      <c r="M254" s="31"/>
      <c r="N254" s="31"/>
      <c r="O254" s="31"/>
      <c r="P254" s="31"/>
      <c r="Q254" s="31"/>
      <c r="R254" s="203"/>
      <c r="S254" s="191"/>
    </row>
    <row r="255" spans="1:19" ht="15.75" thickBot="1" x14ac:dyDescent="0.3">
      <c r="A255" s="202"/>
      <c r="B255" s="188"/>
      <c r="C255" s="188"/>
      <c r="D255" s="28" t="s">
        <v>402</v>
      </c>
      <c r="E255" s="29">
        <v>400</v>
      </c>
      <c r="F255" s="29">
        <v>580</v>
      </c>
      <c r="G255" s="29">
        <v>580</v>
      </c>
      <c r="H255" s="188"/>
      <c r="I255" s="182"/>
      <c r="J255" s="184"/>
      <c r="K255" s="279"/>
      <c r="L255" s="31"/>
      <c r="M255" s="31"/>
      <c r="N255" s="31"/>
      <c r="O255" s="31"/>
      <c r="P255" s="31"/>
      <c r="Q255" s="31"/>
      <c r="R255" s="188"/>
      <c r="S255" s="190"/>
    </row>
    <row r="256" spans="1:19" ht="318.75" customHeight="1" thickBot="1" x14ac:dyDescent="0.3">
      <c r="A256" s="19" t="s">
        <v>449</v>
      </c>
      <c r="B256" s="20" t="s">
        <v>450</v>
      </c>
      <c r="C256" s="21"/>
      <c r="D256" s="21" t="s">
        <v>25</v>
      </c>
      <c r="E256" s="33">
        <v>150</v>
      </c>
      <c r="F256" s="33">
        <v>150</v>
      </c>
      <c r="G256" s="33">
        <v>150</v>
      </c>
      <c r="H256" s="21" t="s">
        <v>451</v>
      </c>
      <c r="I256" s="23" t="s">
        <v>21</v>
      </c>
      <c r="J256" s="50">
        <v>15</v>
      </c>
      <c r="K256" s="67">
        <v>4</v>
      </c>
      <c r="L256" s="24"/>
      <c r="M256" s="24"/>
      <c r="N256" s="24"/>
      <c r="O256" s="24"/>
      <c r="P256" s="24"/>
      <c r="Q256" s="24"/>
      <c r="R256" s="21" t="s">
        <v>1656</v>
      </c>
      <c r="S256" s="105" t="s">
        <v>1805</v>
      </c>
    </row>
    <row r="257" spans="1:19" ht="120.75" hidden="1" thickBot="1" x14ac:dyDescent="0.3">
      <c r="A257" s="19" t="s">
        <v>452</v>
      </c>
      <c r="B257" s="20" t="s">
        <v>453</v>
      </c>
      <c r="C257" s="21"/>
      <c r="D257" s="21" t="s">
        <v>25</v>
      </c>
      <c r="E257" s="33">
        <v>0</v>
      </c>
      <c r="F257" s="33">
        <v>0</v>
      </c>
      <c r="G257" s="33">
        <v>0</v>
      </c>
      <c r="H257" s="21" t="s">
        <v>454</v>
      </c>
      <c r="I257" s="23" t="s">
        <v>417</v>
      </c>
      <c r="J257" s="46">
        <v>0</v>
      </c>
      <c r="K257" s="46">
        <v>0</v>
      </c>
      <c r="L257" s="24" t="s">
        <v>455</v>
      </c>
      <c r="M257" s="24" t="s">
        <v>23</v>
      </c>
      <c r="N257" s="24" t="s">
        <v>23</v>
      </c>
      <c r="O257" s="24" t="s">
        <v>23</v>
      </c>
      <c r="P257" s="24"/>
      <c r="Q257" s="24"/>
      <c r="R257" s="21"/>
      <c r="S257" s="25"/>
    </row>
    <row r="258" spans="1:19" ht="96.75" customHeight="1" thickBot="1" x14ac:dyDescent="0.3">
      <c r="A258" s="19" t="s">
        <v>456</v>
      </c>
      <c r="B258" s="20" t="s">
        <v>457</v>
      </c>
      <c r="C258" s="21"/>
      <c r="D258" s="21" t="s">
        <v>25</v>
      </c>
      <c r="E258" s="33">
        <v>350</v>
      </c>
      <c r="F258" s="33">
        <v>350</v>
      </c>
      <c r="G258" s="33">
        <v>0</v>
      </c>
      <c r="H258" s="21" t="s">
        <v>420</v>
      </c>
      <c r="I258" s="23" t="s">
        <v>458</v>
      </c>
      <c r="J258" s="50">
        <v>1200</v>
      </c>
      <c r="K258" s="63">
        <v>0</v>
      </c>
      <c r="L258" s="24" t="s">
        <v>460</v>
      </c>
      <c r="M258" s="24" t="s">
        <v>23</v>
      </c>
      <c r="N258" s="24" t="s">
        <v>23</v>
      </c>
      <c r="O258" s="24" t="s">
        <v>23</v>
      </c>
      <c r="P258" s="24"/>
      <c r="Q258" s="24"/>
      <c r="R258" s="21"/>
      <c r="S258" s="105" t="s">
        <v>1806</v>
      </c>
    </row>
    <row r="259" spans="1:19" ht="33" customHeight="1" thickBot="1" x14ac:dyDescent="0.3">
      <c r="A259" s="8" t="s">
        <v>461</v>
      </c>
      <c r="B259" s="174" t="s">
        <v>462</v>
      </c>
      <c r="C259" s="175"/>
      <c r="D259" s="176"/>
      <c r="E259" s="11">
        <f>E260+E295</f>
        <v>10158.5</v>
      </c>
      <c r="F259" s="11">
        <f>F260+F295</f>
        <v>16091.2</v>
      </c>
      <c r="G259" s="11">
        <f>G260+G295</f>
        <v>14464.3</v>
      </c>
      <c r="H259" s="177"/>
      <c r="I259" s="178"/>
      <c r="J259" s="178"/>
      <c r="K259" s="178"/>
      <c r="L259" s="178"/>
      <c r="M259" s="178"/>
      <c r="N259" s="178"/>
      <c r="O259" s="178"/>
      <c r="P259" s="178"/>
      <c r="Q259" s="178"/>
      <c r="R259" s="178"/>
      <c r="S259" s="179"/>
    </row>
    <row r="260" spans="1:19" ht="30.75" customHeight="1" thickBot="1" x14ac:dyDescent="0.3">
      <c r="A260" s="12" t="s">
        <v>463</v>
      </c>
      <c r="B260" s="168" t="s">
        <v>464</v>
      </c>
      <c r="C260" s="169"/>
      <c r="D260" s="170"/>
      <c r="E260" s="15">
        <f>E261+E264+E267+E269+E270+E274+E277+E282+E287+E290+E294</f>
        <v>9074</v>
      </c>
      <c r="F260" s="15">
        <f>F261+F264+F267+F269+F270+F274+F277+F282+F287+F290+F294</f>
        <v>14200.2</v>
      </c>
      <c r="G260" s="15">
        <f>G261+G264+G267+G269+G270+G274+G277+G282+G287+G290+G294</f>
        <v>12777.5</v>
      </c>
      <c r="H260" s="171"/>
      <c r="I260" s="172"/>
      <c r="J260" s="172"/>
      <c r="K260" s="172"/>
      <c r="L260" s="172"/>
      <c r="M260" s="172"/>
      <c r="N260" s="172"/>
      <c r="O260" s="172"/>
      <c r="P260" s="172"/>
      <c r="Q260" s="172"/>
      <c r="R260" s="172"/>
      <c r="S260" s="173"/>
    </row>
    <row r="261" spans="1:19" ht="82.5" customHeight="1" x14ac:dyDescent="0.25">
      <c r="A261" s="210" t="s">
        <v>465</v>
      </c>
      <c r="B261" s="187" t="s">
        <v>466</v>
      </c>
      <c r="C261" s="187" t="s">
        <v>399</v>
      </c>
      <c r="D261" s="51"/>
      <c r="E261" s="80">
        <f>SUM(E262:E263)</f>
        <v>2612.1999999999998</v>
      </c>
      <c r="F261" s="52">
        <f>SUM(F262:F263)</f>
        <v>3927.8</v>
      </c>
      <c r="G261" s="52">
        <f>SUM(G262:G263)</f>
        <v>3694.6</v>
      </c>
      <c r="H261" s="21" t="s">
        <v>467</v>
      </c>
      <c r="I261" s="23" t="s">
        <v>215</v>
      </c>
      <c r="J261" s="50" t="s">
        <v>1716</v>
      </c>
      <c r="K261" s="66" t="s">
        <v>1716</v>
      </c>
      <c r="L261" s="24" t="s">
        <v>42</v>
      </c>
      <c r="M261" s="24" t="s">
        <v>23</v>
      </c>
      <c r="N261" s="24" t="s">
        <v>42</v>
      </c>
      <c r="O261" s="24" t="s">
        <v>23</v>
      </c>
      <c r="P261" s="24"/>
      <c r="Q261" s="24"/>
      <c r="R261" s="73" t="s">
        <v>1807</v>
      </c>
      <c r="S261" s="106"/>
    </row>
    <row r="262" spans="1:19" ht="39" customHeight="1" x14ac:dyDescent="0.25">
      <c r="A262" s="211"/>
      <c r="B262" s="203"/>
      <c r="C262" s="203"/>
      <c r="D262" s="28" t="s">
        <v>380</v>
      </c>
      <c r="E262" s="29">
        <v>1201.7</v>
      </c>
      <c r="F262" s="29">
        <v>2546.5</v>
      </c>
      <c r="G262" s="29">
        <v>2542.5</v>
      </c>
      <c r="H262" s="213" t="s">
        <v>468</v>
      </c>
      <c r="I262" s="214" t="s">
        <v>215</v>
      </c>
      <c r="J262" s="215">
        <v>100</v>
      </c>
      <c r="K262" s="216">
        <v>100</v>
      </c>
      <c r="L262" s="31" t="s">
        <v>42</v>
      </c>
      <c r="M262" s="31" t="s">
        <v>23</v>
      </c>
      <c r="N262" s="31" t="s">
        <v>42</v>
      </c>
      <c r="O262" s="31" t="s">
        <v>23</v>
      </c>
      <c r="P262" s="31"/>
      <c r="Q262" s="31"/>
      <c r="R262" s="203" t="s">
        <v>1657</v>
      </c>
      <c r="S262" s="309"/>
    </row>
    <row r="263" spans="1:19" ht="90.75" customHeight="1" thickBot="1" x14ac:dyDescent="0.3">
      <c r="A263" s="212"/>
      <c r="B263" s="188"/>
      <c r="C263" s="188"/>
      <c r="D263" s="28" t="s">
        <v>30</v>
      </c>
      <c r="E263" s="29">
        <v>1410.5</v>
      </c>
      <c r="F263" s="29">
        <v>1381.3</v>
      </c>
      <c r="G263" s="29">
        <v>1152.0999999999999</v>
      </c>
      <c r="H263" s="188"/>
      <c r="I263" s="182"/>
      <c r="J263" s="184"/>
      <c r="K263" s="165"/>
      <c r="L263" s="31"/>
      <c r="M263" s="31"/>
      <c r="N263" s="31"/>
      <c r="O263" s="31"/>
      <c r="P263" s="31"/>
      <c r="Q263" s="31"/>
      <c r="R263" s="188"/>
      <c r="S263" s="309"/>
    </row>
    <row r="264" spans="1:19" ht="75" hidden="1" customHeight="1" thickBot="1" x14ac:dyDescent="0.3">
      <c r="A264" s="200" t="s">
        <v>469</v>
      </c>
      <c r="B264" s="187" t="s">
        <v>470</v>
      </c>
      <c r="C264" s="187" t="s">
        <v>399</v>
      </c>
      <c r="D264" s="21"/>
      <c r="E264" s="22">
        <f>SUM(E265:E266)</f>
        <v>0</v>
      </c>
      <c r="F264" s="22">
        <f>SUM(F265:F266)</f>
        <v>0</v>
      </c>
      <c r="G264" s="22">
        <f>SUM(G265:G266)</f>
        <v>0</v>
      </c>
      <c r="H264" s="21" t="s">
        <v>471</v>
      </c>
      <c r="I264" s="23" t="s">
        <v>21</v>
      </c>
      <c r="J264" s="46">
        <v>0</v>
      </c>
      <c r="K264" s="46">
        <v>0</v>
      </c>
      <c r="L264" s="24" t="s">
        <v>23</v>
      </c>
      <c r="M264" s="24" t="s">
        <v>23</v>
      </c>
      <c r="N264" s="24" t="s">
        <v>22</v>
      </c>
      <c r="O264" s="24" t="s">
        <v>23</v>
      </c>
      <c r="P264" s="24"/>
      <c r="Q264" s="24"/>
      <c r="R264" s="21"/>
      <c r="S264" s="79"/>
    </row>
    <row r="265" spans="1:19" ht="60.75" hidden="1" thickBot="1" x14ac:dyDescent="0.3">
      <c r="A265" s="201"/>
      <c r="B265" s="203"/>
      <c r="C265" s="203"/>
      <c r="D265" s="28"/>
      <c r="E265" s="29">
        <v>0</v>
      </c>
      <c r="F265" s="29">
        <v>0</v>
      </c>
      <c r="G265" s="29">
        <v>0</v>
      </c>
      <c r="H265" s="28" t="s">
        <v>472</v>
      </c>
      <c r="I265" s="30" t="s">
        <v>215</v>
      </c>
      <c r="J265" s="47">
        <v>0</v>
      </c>
      <c r="K265" s="47">
        <v>0</v>
      </c>
      <c r="L265" s="31" t="s">
        <v>23</v>
      </c>
      <c r="M265" s="31" t="s">
        <v>23</v>
      </c>
      <c r="N265" s="31" t="s">
        <v>22</v>
      </c>
      <c r="O265" s="31" t="s">
        <v>23</v>
      </c>
      <c r="P265" s="31"/>
      <c r="Q265" s="31"/>
      <c r="R265" s="28"/>
      <c r="S265" s="32"/>
    </row>
    <row r="266" spans="1:19" ht="60.75" hidden="1" thickBot="1" x14ac:dyDescent="0.3">
      <c r="A266" s="202"/>
      <c r="B266" s="188"/>
      <c r="C266" s="188"/>
      <c r="D266" s="28"/>
      <c r="E266" s="29">
        <v>0</v>
      </c>
      <c r="F266" s="29">
        <v>0</v>
      </c>
      <c r="G266" s="29">
        <v>0</v>
      </c>
      <c r="H266" s="28" t="s">
        <v>473</v>
      </c>
      <c r="I266" s="30" t="s">
        <v>21</v>
      </c>
      <c r="J266" s="47">
        <v>0</v>
      </c>
      <c r="K266" s="47">
        <v>0</v>
      </c>
      <c r="L266" s="31" t="s">
        <v>22</v>
      </c>
      <c r="M266" s="31" t="s">
        <v>23</v>
      </c>
      <c r="N266" s="31" t="s">
        <v>23</v>
      </c>
      <c r="O266" s="31" t="s">
        <v>23</v>
      </c>
      <c r="P266" s="31"/>
      <c r="Q266" s="31"/>
      <c r="R266" s="28"/>
      <c r="S266" s="32"/>
    </row>
    <row r="267" spans="1:19" ht="46.5" customHeight="1" x14ac:dyDescent="0.25">
      <c r="A267" s="200" t="s">
        <v>474</v>
      </c>
      <c r="B267" s="187" t="s">
        <v>475</v>
      </c>
      <c r="C267" s="187" t="s">
        <v>13</v>
      </c>
      <c r="D267" s="187" t="s">
        <v>25</v>
      </c>
      <c r="E267" s="261">
        <f>SUM(E268:E268)+200</f>
        <v>200</v>
      </c>
      <c r="F267" s="261">
        <f>SUM(F268:F268)+1</f>
        <v>1</v>
      </c>
      <c r="G267" s="261">
        <f>SUM(G268:G268)+0.9</f>
        <v>0.9</v>
      </c>
      <c r="H267" s="21" t="s">
        <v>476</v>
      </c>
      <c r="I267" s="23" t="s">
        <v>21</v>
      </c>
      <c r="J267" s="50">
        <v>1</v>
      </c>
      <c r="K267" s="66">
        <v>1</v>
      </c>
      <c r="L267" s="24" t="s">
        <v>23</v>
      </c>
      <c r="M267" s="24" t="s">
        <v>23</v>
      </c>
      <c r="N267" s="24" t="s">
        <v>23</v>
      </c>
      <c r="O267" s="24" t="s">
        <v>23</v>
      </c>
      <c r="P267" s="24"/>
      <c r="Q267" s="24"/>
      <c r="R267" s="21"/>
      <c r="S267" s="25"/>
    </row>
    <row r="268" spans="1:19" ht="92.25" customHeight="1" thickBot="1" x14ac:dyDescent="0.3">
      <c r="A268" s="202"/>
      <c r="B268" s="188"/>
      <c r="C268" s="188"/>
      <c r="D268" s="188"/>
      <c r="E268" s="262"/>
      <c r="F268" s="262"/>
      <c r="G268" s="262"/>
      <c r="H268" s="28" t="s">
        <v>477</v>
      </c>
      <c r="I268" s="30" t="s">
        <v>215</v>
      </c>
      <c r="J268" s="62">
        <v>25</v>
      </c>
      <c r="K268" s="64">
        <v>0</v>
      </c>
      <c r="L268" s="31" t="s">
        <v>401</v>
      </c>
      <c r="M268" s="31" t="s">
        <v>23</v>
      </c>
      <c r="N268" s="31" t="s">
        <v>23</v>
      </c>
      <c r="O268" s="31" t="s">
        <v>23</v>
      </c>
      <c r="P268" s="31"/>
      <c r="Q268" s="31"/>
      <c r="R268" s="28"/>
      <c r="S268" s="102" t="s">
        <v>1808</v>
      </c>
    </row>
    <row r="269" spans="1:19" ht="90.75" hidden="1" thickBot="1" x14ac:dyDescent="0.3">
      <c r="A269" s="19" t="s">
        <v>478</v>
      </c>
      <c r="B269" s="20" t="s">
        <v>479</v>
      </c>
      <c r="C269" s="21" t="s">
        <v>207</v>
      </c>
      <c r="D269" s="21" t="s">
        <v>217</v>
      </c>
      <c r="E269" s="33">
        <v>0</v>
      </c>
      <c r="F269" s="33">
        <v>0</v>
      </c>
      <c r="G269" s="33">
        <v>0</v>
      </c>
      <c r="H269" s="21"/>
      <c r="I269" s="23"/>
      <c r="J269" s="46"/>
      <c r="K269" s="46"/>
      <c r="L269" s="24"/>
      <c r="M269" s="24"/>
      <c r="N269" s="24"/>
      <c r="O269" s="24"/>
      <c r="P269" s="24"/>
      <c r="Q269" s="24"/>
      <c r="R269" s="21"/>
      <c r="S269" s="25"/>
    </row>
    <row r="270" spans="1:19" ht="65.25" customHeight="1" x14ac:dyDescent="0.25">
      <c r="A270" s="200" t="s">
        <v>480</v>
      </c>
      <c r="B270" s="187" t="s">
        <v>481</v>
      </c>
      <c r="C270" s="187" t="s">
        <v>207</v>
      </c>
      <c r="D270" s="51"/>
      <c r="E270" s="52">
        <f>SUM(E271:E273)</f>
        <v>1058.3000000000002</v>
      </c>
      <c r="F270" s="52">
        <f>SUM(F271:F273)</f>
        <v>1058.3000000000002</v>
      </c>
      <c r="G270" s="52">
        <f>SUM(G271:G273)-0.1</f>
        <v>720.3</v>
      </c>
      <c r="H270" s="21" t="s">
        <v>482</v>
      </c>
      <c r="I270" s="23" t="s">
        <v>21</v>
      </c>
      <c r="J270" s="50">
        <v>5</v>
      </c>
      <c r="K270" s="67">
        <v>3</v>
      </c>
      <c r="L270" s="24" t="s">
        <v>23</v>
      </c>
      <c r="M270" s="24" t="s">
        <v>23</v>
      </c>
      <c r="N270" s="24" t="s">
        <v>23</v>
      </c>
      <c r="O270" s="24" t="s">
        <v>23</v>
      </c>
      <c r="P270" s="24"/>
      <c r="Q270" s="24"/>
      <c r="R270" s="187" t="s">
        <v>483</v>
      </c>
      <c r="S270" s="189" t="s">
        <v>1658</v>
      </c>
    </row>
    <row r="271" spans="1:19" x14ac:dyDescent="0.25">
      <c r="A271" s="201"/>
      <c r="B271" s="203"/>
      <c r="C271" s="203"/>
      <c r="D271" s="28" t="s">
        <v>217</v>
      </c>
      <c r="E271" s="29">
        <v>442.8</v>
      </c>
      <c r="F271" s="29">
        <v>442.8</v>
      </c>
      <c r="G271" s="29">
        <v>110.7</v>
      </c>
      <c r="H271" s="213" t="s">
        <v>415</v>
      </c>
      <c r="I271" s="214" t="s">
        <v>215</v>
      </c>
      <c r="J271" s="215">
        <v>100</v>
      </c>
      <c r="K271" s="218">
        <v>80</v>
      </c>
      <c r="L271" s="31"/>
      <c r="M271" s="31"/>
      <c r="N271" s="31"/>
      <c r="O271" s="31"/>
      <c r="P271" s="31"/>
      <c r="Q271" s="31"/>
      <c r="R271" s="203"/>
      <c r="S271" s="191"/>
    </row>
    <row r="272" spans="1:19" x14ac:dyDescent="0.25">
      <c r="A272" s="201"/>
      <c r="B272" s="203"/>
      <c r="C272" s="203"/>
      <c r="D272" s="28" t="s">
        <v>380</v>
      </c>
      <c r="E272" s="29">
        <v>41.8</v>
      </c>
      <c r="F272" s="29">
        <v>41.8</v>
      </c>
      <c r="G272" s="29">
        <v>41.8</v>
      </c>
      <c r="H272" s="203"/>
      <c r="I272" s="204"/>
      <c r="J272" s="205"/>
      <c r="K272" s="243"/>
      <c r="L272" s="31"/>
      <c r="M272" s="31"/>
      <c r="N272" s="31"/>
      <c r="O272" s="31"/>
      <c r="P272" s="31"/>
      <c r="Q272" s="31"/>
      <c r="R272" s="203"/>
      <c r="S272" s="191"/>
    </row>
    <row r="273" spans="1:19" ht="15.75" thickBot="1" x14ac:dyDescent="0.3">
      <c r="A273" s="202"/>
      <c r="B273" s="188"/>
      <c r="C273" s="188"/>
      <c r="D273" s="28" t="s">
        <v>30</v>
      </c>
      <c r="E273" s="29">
        <v>573.70000000000005</v>
      </c>
      <c r="F273" s="29">
        <v>573.70000000000005</v>
      </c>
      <c r="G273" s="29">
        <v>567.9</v>
      </c>
      <c r="H273" s="188"/>
      <c r="I273" s="182"/>
      <c r="J273" s="184"/>
      <c r="K273" s="186"/>
      <c r="L273" s="31"/>
      <c r="M273" s="31"/>
      <c r="N273" s="31"/>
      <c r="O273" s="31"/>
      <c r="P273" s="31"/>
      <c r="Q273" s="31"/>
      <c r="R273" s="188"/>
      <c r="S273" s="190"/>
    </row>
    <row r="274" spans="1:19" ht="40.5" customHeight="1" x14ac:dyDescent="0.25">
      <c r="A274" s="200" t="s">
        <v>484</v>
      </c>
      <c r="B274" s="187" t="s">
        <v>485</v>
      </c>
      <c r="C274" s="187" t="s">
        <v>207</v>
      </c>
      <c r="D274" s="51"/>
      <c r="E274" s="52">
        <f>SUM(E275:E276)</f>
        <v>139</v>
      </c>
      <c r="F274" s="52">
        <f>SUM(F275:F276)</f>
        <v>139</v>
      </c>
      <c r="G274" s="52">
        <f>SUM(G275:G276)</f>
        <v>81.8</v>
      </c>
      <c r="H274" s="187" t="s">
        <v>486</v>
      </c>
      <c r="I274" s="181" t="s">
        <v>21</v>
      </c>
      <c r="J274" s="183">
        <v>1</v>
      </c>
      <c r="K274" s="164">
        <v>1</v>
      </c>
      <c r="L274" s="24" t="s">
        <v>23</v>
      </c>
      <c r="M274" s="24" t="s">
        <v>23</v>
      </c>
      <c r="N274" s="24" t="s">
        <v>23</v>
      </c>
      <c r="O274" s="24" t="s">
        <v>23</v>
      </c>
      <c r="P274" s="24"/>
      <c r="Q274" s="24"/>
      <c r="R274" s="187" t="s">
        <v>487</v>
      </c>
      <c r="S274" s="189"/>
    </row>
    <row r="275" spans="1:19" ht="41.25" customHeight="1" x14ac:dyDescent="0.25">
      <c r="A275" s="201"/>
      <c r="B275" s="203"/>
      <c r="C275" s="203"/>
      <c r="D275" s="28" t="s">
        <v>25</v>
      </c>
      <c r="E275" s="29">
        <v>85.8</v>
      </c>
      <c r="F275" s="29">
        <v>85.8</v>
      </c>
      <c r="G275" s="29">
        <v>45.8</v>
      </c>
      <c r="H275" s="203"/>
      <c r="I275" s="204"/>
      <c r="J275" s="205"/>
      <c r="K275" s="206"/>
      <c r="L275" s="31"/>
      <c r="M275" s="31"/>
      <c r="N275" s="31"/>
      <c r="O275" s="31"/>
      <c r="P275" s="31"/>
      <c r="Q275" s="31"/>
      <c r="R275" s="203"/>
      <c r="S275" s="191"/>
    </row>
    <row r="276" spans="1:19" ht="72.75" customHeight="1" thickBot="1" x14ac:dyDescent="0.3">
      <c r="A276" s="202"/>
      <c r="B276" s="188"/>
      <c r="C276" s="188"/>
      <c r="D276" s="28" t="s">
        <v>30</v>
      </c>
      <c r="E276" s="29">
        <v>53.2</v>
      </c>
      <c r="F276" s="29">
        <v>53.2</v>
      </c>
      <c r="G276" s="29">
        <v>36</v>
      </c>
      <c r="H276" s="188"/>
      <c r="I276" s="182"/>
      <c r="J276" s="184"/>
      <c r="K276" s="165"/>
      <c r="L276" s="31"/>
      <c r="M276" s="31"/>
      <c r="N276" s="31"/>
      <c r="O276" s="31"/>
      <c r="P276" s="31"/>
      <c r="Q276" s="31"/>
      <c r="R276" s="188"/>
      <c r="S276" s="190"/>
    </row>
    <row r="277" spans="1:19" ht="112.5" customHeight="1" x14ac:dyDescent="0.25">
      <c r="A277" s="210" t="s">
        <v>488</v>
      </c>
      <c r="B277" s="187" t="s">
        <v>489</v>
      </c>
      <c r="C277" s="181" t="s">
        <v>207</v>
      </c>
      <c r="D277" s="51"/>
      <c r="E277" s="52">
        <f>SUM(E278:E281)</f>
        <v>455.5</v>
      </c>
      <c r="F277" s="52">
        <f>SUM(F278:F281)</f>
        <v>1386.8</v>
      </c>
      <c r="G277" s="52">
        <f>SUM(G278:G281)</f>
        <v>935.1</v>
      </c>
      <c r="H277" s="21" t="s">
        <v>490</v>
      </c>
      <c r="I277" s="23" t="s">
        <v>21</v>
      </c>
      <c r="J277" s="50">
        <v>1</v>
      </c>
      <c r="K277" s="66">
        <v>1</v>
      </c>
      <c r="L277" s="24" t="s">
        <v>22</v>
      </c>
      <c r="M277" s="24" t="s">
        <v>23</v>
      </c>
      <c r="N277" s="24" t="s">
        <v>22</v>
      </c>
      <c r="O277" s="24" t="s">
        <v>23</v>
      </c>
      <c r="P277" s="24"/>
      <c r="Q277" s="24"/>
      <c r="R277" s="21" t="s">
        <v>491</v>
      </c>
      <c r="S277" s="25"/>
    </row>
    <row r="278" spans="1:19" ht="67.5" customHeight="1" x14ac:dyDescent="0.25">
      <c r="A278" s="211"/>
      <c r="B278" s="203"/>
      <c r="C278" s="204"/>
      <c r="D278" s="28" t="s">
        <v>25</v>
      </c>
      <c r="E278" s="29">
        <v>155.5</v>
      </c>
      <c r="F278" s="29">
        <v>155.5</v>
      </c>
      <c r="G278" s="29">
        <v>147.80000000000001</v>
      </c>
      <c r="H278" s="213" t="s">
        <v>415</v>
      </c>
      <c r="I278" s="214" t="s">
        <v>215</v>
      </c>
      <c r="J278" s="215">
        <v>12</v>
      </c>
      <c r="K278" s="311">
        <v>34</v>
      </c>
      <c r="L278" s="31" t="s">
        <v>422</v>
      </c>
      <c r="M278" s="31" t="s">
        <v>23</v>
      </c>
      <c r="N278" s="31" t="s">
        <v>42</v>
      </c>
      <c r="O278" s="31" t="s">
        <v>23</v>
      </c>
      <c r="P278" s="31"/>
      <c r="Q278" s="31"/>
      <c r="R278" s="213" t="s">
        <v>492</v>
      </c>
      <c r="S278" s="217" t="s">
        <v>1659</v>
      </c>
    </row>
    <row r="279" spans="1:19" x14ac:dyDescent="0.25">
      <c r="A279" s="211"/>
      <c r="B279" s="203"/>
      <c r="C279" s="204"/>
      <c r="D279" s="28" t="s">
        <v>217</v>
      </c>
      <c r="E279" s="29">
        <v>300</v>
      </c>
      <c r="F279" s="29">
        <v>500</v>
      </c>
      <c r="G279" s="29">
        <v>493.4</v>
      </c>
      <c r="H279" s="203"/>
      <c r="I279" s="204"/>
      <c r="J279" s="205"/>
      <c r="K279" s="278"/>
      <c r="L279" s="31"/>
      <c r="M279" s="31"/>
      <c r="N279" s="31"/>
      <c r="O279" s="31"/>
      <c r="P279" s="31"/>
      <c r="Q279" s="31"/>
      <c r="R279" s="203"/>
      <c r="S279" s="191"/>
    </row>
    <row r="280" spans="1:19" ht="30.75" customHeight="1" x14ac:dyDescent="0.25">
      <c r="A280" s="211"/>
      <c r="B280" s="203"/>
      <c r="C280" s="204"/>
      <c r="D280" s="28" t="s">
        <v>30</v>
      </c>
      <c r="E280" s="29"/>
      <c r="F280" s="29">
        <v>381</v>
      </c>
      <c r="G280" s="29">
        <v>293.89999999999998</v>
      </c>
      <c r="H280" s="203"/>
      <c r="I280" s="204"/>
      <c r="J280" s="205"/>
      <c r="K280" s="278"/>
      <c r="L280" s="31"/>
      <c r="M280" s="31"/>
      <c r="N280" s="31"/>
      <c r="O280" s="31"/>
      <c r="P280" s="31"/>
      <c r="Q280" s="31"/>
      <c r="R280" s="203"/>
      <c r="S280" s="191"/>
    </row>
    <row r="281" spans="1:19" ht="30" customHeight="1" thickBot="1" x14ac:dyDescent="0.3">
      <c r="A281" s="212"/>
      <c r="B281" s="188"/>
      <c r="C281" s="182"/>
      <c r="D281" s="28" t="s">
        <v>201</v>
      </c>
      <c r="E281" s="29"/>
      <c r="F281" s="29">
        <v>350.3</v>
      </c>
      <c r="G281" s="29"/>
      <c r="H281" s="188"/>
      <c r="I281" s="182"/>
      <c r="J281" s="184"/>
      <c r="K281" s="279"/>
      <c r="L281" s="31"/>
      <c r="M281" s="31"/>
      <c r="N281" s="31"/>
      <c r="O281" s="31"/>
      <c r="P281" s="31"/>
      <c r="Q281" s="31"/>
      <c r="R281" s="188"/>
      <c r="S281" s="190"/>
    </row>
    <row r="282" spans="1:19" ht="69.75" customHeight="1" x14ac:dyDescent="0.25">
      <c r="A282" s="200" t="s">
        <v>493</v>
      </c>
      <c r="B282" s="187" t="s">
        <v>494</v>
      </c>
      <c r="C282" s="187" t="s">
        <v>207</v>
      </c>
      <c r="D282" s="51"/>
      <c r="E282" s="52">
        <f>SUM(E283:E286)</f>
        <v>1574.6</v>
      </c>
      <c r="F282" s="52">
        <f>SUM(F283:F286)</f>
        <v>1574.6</v>
      </c>
      <c r="G282" s="52">
        <f>SUM(G283:G286)</f>
        <v>1060.7</v>
      </c>
      <c r="H282" s="21" t="s">
        <v>495</v>
      </c>
      <c r="I282" s="23" t="s">
        <v>392</v>
      </c>
      <c r="J282" s="46">
        <v>1.49</v>
      </c>
      <c r="K282" s="75">
        <v>1.49</v>
      </c>
      <c r="L282" s="24" t="s">
        <v>23</v>
      </c>
      <c r="M282" s="24" t="s">
        <v>23</v>
      </c>
      <c r="N282" s="24" t="s">
        <v>23</v>
      </c>
      <c r="O282" s="24" t="s">
        <v>23</v>
      </c>
      <c r="P282" s="24"/>
      <c r="Q282" s="24"/>
      <c r="R282" s="187" t="s">
        <v>496</v>
      </c>
      <c r="S282" s="189" t="s">
        <v>497</v>
      </c>
    </row>
    <row r="283" spans="1:19" ht="48" customHeight="1" x14ac:dyDescent="0.25">
      <c r="A283" s="201"/>
      <c r="B283" s="203"/>
      <c r="C283" s="203"/>
      <c r="D283" s="28" t="s">
        <v>217</v>
      </c>
      <c r="E283" s="29">
        <v>1036</v>
      </c>
      <c r="F283" s="29">
        <v>1036</v>
      </c>
      <c r="G283" s="29">
        <v>660.9</v>
      </c>
      <c r="H283" s="28" t="s">
        <v>415</v>
      </c>
      <c r="I283" s="30" t="s">
        <v>215</v>
      </c>
      <c r="J283" s="47">
        <v>100</v>
      </c>
      <c r="K283" s="70">
        <v>100</v>
      </c>
      <c r="L283" s="31"/>
      <c r="M283" s="31"/>
      <c r="N283" s="31"/>
      <c r="O283" s="31"/>
      <c r="P283" s="31"/>
      <c r="Q283" s="31"/>
      <c r="R283" s="203"/>
      <c r="S283" s="191"/>
    </row>
    <row r="284" spans="1:19" ht="30" customHeight="1" x14ac:dyDescent="0.25">
      <c r="A284" s="201"/>
      <c r="B284" s="203"/>
      <c r="C284" s="203"/>
      <c r="D284" s="28" t="s">
        <v>30</v>
      </c>
      <c r="E284" s="29">
        <v>38.6</v>
      </c>
      <c r="F284" s="29">
        <v>38.6</v>
      </c>
      <c r="G284" s="29">
        <v>38.6</v>
      </c>
      <c r="H284" s="213" t="s">
        <v>498</v>
      </c>
      <c r="I284" s="214" t="s">
        <v>392</v>
      </c>
      <c r="J284" s="215">
        <v>1.49</v>
      </c>
      <c r="K284" s="216">
        <v>1.49</v>
      </c>
      <c r="L284" s="31"/>
      <c r="M284" s="31"/>
      <c r="N284" s="31"/>
      <c r="O284" s="31"/>
      <c r="P284" s="31"/>
      <c r="Q284" s="31"/>
      <c r="R284" s="203"/>
      <c r="S284" s="191"/>
    </row>
    <row r="285" spans="1:19" x14ac:dyDescent="0.25">
      <c r="A285" s="201"/>
      <c r="B285" s="203"/>
      <c r="C285" s="203"/>
      <c r="D285" s="28" t="s">
        <v>380</v>
      </c>
      <c r="E285" s="29"/>
      <c r="F285" s="29">
        <v>340</v>
      </c>
      <c r="G285" s="29">
        <v>340</v>
      </c>
      <c r="H285" s="203"/>
      <c r="I285" s="204"/>
      <c r="J285" s="205"/>
      <c r="K285" s="206"/>
      <c r="L285" s="31"/>
      <c r="M285" s="31"/>
      <c r="N285" s="31"/>
      <c r="O285" s="31"/>
      <c r="P285" s="31"/>
      <c r="Q285" s="31"/>
      <c r="R285" s="203"/>
      <c r="S285" s="191"/>
    </row>
    <row r="286" spans="1:19" ht="15.75" thickBot="1" x14ac:dyDescent="0.3">
      <c r="A286" s="202"/>
      <c r="B286" s="188"/>
      <c r="C286" s="188"/>
      <c r="D286" s="28" t="s">
        <v>25</v>
      </c>
      <c r="E286" s="29">
        <v>500</v>
      </c>
      <c r="F286" s="29">
        <v>160</v>
      </c>
      <c r="G286" s="29">
        <v>21.2</v>
      </c>
      <c r="H286" s="188"/>
      <c r="I286" s="182"/>
      <c r="J286" s="184"/>
      <c r="K286" s="165"/>
      <c r="L286" s="31"/>
      <c r="M286" s="31"/>
      <c r="N286" s="31"/>
      <c r="O286" s="31"/>
      <c r="P286" s="31"/>
      <c r="Q286" s="31"/>
      <c r="R286" s="188"/>
      <c r="S286" s="190"/>
    </row>
    <row r="287" spans="1:19" ht="48" customHeight="1" x14ac:dyDescent="0.25">
      <c r="A287" s="200" t="s">
        <v>499</v>
      </c>
      <c r="B287" s="187" t="s">
        <v>500</v>
      </c>
      <c r="C287" s="187" t="s">
        <v>207</v>
      </c>
      <c r="D287" s="51"/>
      <c r="E287" s="52">
        <f>SUM(E288:E289)</f>
        <v>135.5</v>
      </c>
      <c r="F287" s="52">
        <f>SUM(F288:F289)</f>
        <v>135.5</v>
      </c>
      <c r="G287" s="52">
        <f>SUM(G288:G289)</f>
        <v>111.19999999999999</v>
      </c>
      <c r="H287" s="21" t="s">
        <v>501</v>
      </c>
      <c r="I287" s="23" t="s">
        <v>392</v>
      </c>
      <c r="J287" s="50">
        <v>1.68</v>
      </c>
      <c r="K287" s="66">
        <v>1.68</v>
      </c>
      <c r="L287" s="24" t="s">
        <v>23</v>
      </c>
      <c r="M287" s="24" t="s">
        <v>23</v>
      </c>
      <c r="N287" s="24" t="s">
        <v>23</v>
      </c>
      <c r="O287" s="24" t="s">
        <v>23</v>
      </c>
      <c r="P287" s="24"/>
      <c r="Q287" s="24"/>
      <c r="R287" s="187" t="s">
        <v>502</v>
      </c>
      <c r="S287" s="189"/>
    </row>
    <row r="288" spans="1:19" x14ac:dyDescent="0.25">
      <c r="A288" s="201"/>
      <c r="B288" s="203"/>
      <c r="C288" s="203"/>
      <c r="D288" s="28" t="s">
        <v>217</v>
      </c>
      <c r="E288" s="29">
        <v>30.2</v>
      </c>
      <c r="F288" s="29">
        <v>30.2</v>
      </c>
      <c r="G288" s="29">
        <v>25.4</v>
      </c>
      <c r="H288" s="213" t="s">
        <v>415</v>
      </c>
      <c r="I288" s="214" t="s">
        <v>215</v>
      </c>
      <c r="J288" s="215">
        <v>100</v>
      </c>
      <c r="K288" s="216">
        <v>100</v>
      </c>
      <c r="L288" s="31"/>
      <c r="M288" s="31"/>
      <c r="N288" s="31"/>
      <c r="O288" s="31"/>
      <c r="P288" s="31"/>
      <c r="Q288" s="31"/>
      <c r="R288" s="203"/>
      <c r="S288" s="191"/>
    </row>
    <row r="289" spans="1:24" ht="39" customHeight="1" thickBot="1" x14ac:dyDescent="0.3">
      <c r="A289" s="202"/>
      <c r="B289" s="188"/>
      <c r="C289" s="188"/>
      <c r="D289" s="28" t="s">
        <v>30</v>
      </c>
      <c r="E289" s="29">
        <v>105.3</v>
      </c>
      <c r="F289" s="29">
        <v>105.3</v>
      </c>
      <c r="G289" s="29">
        <v>85.8</v>
      </c>
      <c r="H289" s="188"/>
      <c r="I289" s="182"/>
      <c r="J289" s="184"/>
      <c r="K289" s="165"/>
      <c r="L289" s="31"/>
      <c r="M289" s="31"/>
      <c r="N289" s="31"/>
      <c r="O289" s="31"/>
      <c r="P289" s="31"/>
      <c r="Q289" s="31"/>
      <c r="R289" s="188"/>
      <c r="S289" s="190"/>
    </row>
    <row r="290" spans="1:24" ht="36.75" customHeight="1" x14ac:dyDescent="0.25">
      <c r="A290" s="210" t="s">
        <v>503</v>
      </c>
      <c r="B290" s="187" t="s">
        <v>504</v>
      </c>
      <c r="C290" s="181" t="s">
        <v>257</v>
      </c>
      <c r="D290" s="51"/>
      <c r="E290" s="52">
        <f>SUM(E291:E293)</f>
        <v>2498.9</v>
      </c>
      <c r="F290" s="52">
        <f>SUM(F291:F293)</f>
        <v>5542.2</v>
      </c>
      <c r="G290" s="52">
        <f>SUM(G291:G293)</f>
        <v>5771.4</v>
      </c>
      <c r="H290" s="21" t="s">
        <v>505</v>
      </c>
      <c r="I290" s="23" t="s">
        <v>215</v>
      </c>
      <c r="J290" s="50">
        <v>60</v>
      </c>
      <c r="K290" s="66">
        <v>95</v>
      </c>
      <c r="L290" s="24" t="s">
        <v>42</v>
      </c>
      <c r="M290" s="24" t="s">
        <v>23</v>
      </c>
      <c r="N290" s="24" t="s">
        <v>23</v>
      </c>
      <c r="O290" s="24" t="s">
        <v>23</v>
      </c>
      <c r="P290" s="24"/>
      <c r="Q290" s="24"/>
      <c r="R290" s="187" t="s">
        <v>1660</v>
      </c>
      <c r="S290" s="189" t="s">
        <v>1809</v>
      </c>
    </row>
    <row r="291" spans="1:24" ht="36.75" customHeight="1" x14ac:dyDescent="0.25">
      <c r="A291" s="211"/>
      <c r="B291" s="203"/>
      <c r="C291" s="204"/>
      <c r="D291" s="28" t="s">
        <v>380</v>
      </c>
      <c r="E291" s="29">
        <v>1220</v>
      </c>
      <c r="F291" s="29">
        <v>5082.2</v>
      </c>
      <c r="G291" s="29">
        <v>5082.2</v>
      </c>
      <c r="H291" s="28" t="s">
        <v>506</v>
      </c>
      <c r="I291" s="30" t="s">
        <v>392</v>
      </c>
      <c r="J291" s="62">
        <v>3.8</v>
      </c>
      <c r="K291" s="68">
        <v>3.58</v>
      </c>
      <c r="L291" s="31" t="s">
        <v>507</v>
      </c>
      <c r="M291" s="31" t="s">
        <v>23</v>
      </c>
      <c r="N291" s="31" t="s">
        <v>23</v>
      </c>
      <c r="O291" s="31" t="s">
        <v>23</v>
      </c>
      <c r="P291" s="31"/>
      <c r="Q291" s="31"/>
      <c r="R291" s="203"/>
      <c r="S291" s="191"/>
    </row>
    <row r="292" spans="1:24" ht="30" customHeight="1" x14ac:dyDescent="0.25">
      <c r="A292" s="211"/>
      <c r="B292" s="203"/>
      <c r="C292" s="204"/>
      <c r="D292" s="28" t="s">
        <v>30</v>
      </c>
      <c r="E292" s="29">
        <v>1278.9000000000001</v>
      </c>
      <c r="F292" s="29">
        <v>120</v>
      </c>
      <c r="G292" s="29">
        <v>349.2</v>
      </c>
      <c r="H292" s="213" t="s">
        <v>508</v>
      </c>
      <c r="I292" s="214" t="s">
        <v>392</v>
      </c>
      <c r="J292" s="215">
        <v>3.7</v>
      </c>
      <c r="K292" s="216">
        <v>4.67</v>
      </c>
      <c r="L292" s="31"/>
      <c r="M292" s="31"/>
      <c r="N292" s="31"/>
      <c r="O292" s="31"/>
      <c r="P292" s="31"/>
      <c r="Q292" s="31"/>
      <c r="R292" s="203"/>
      <c r="S292" s="191"/>
    </row>
    <row r="293" spans="1:24" ht="15.75" thickBot="1" x14ac:dyDescent="0.3">
      <c r="A293" s="212"/>
      <c r="B293" s="188"/>
      <c r="C293" s="182"/>
      <c r="D293" s="28" t="s">
        <v>25</v>
      </c>
      <c r="E293" s="29"/>
      <c r="F293" s="29">
        <v>340</v>
      </c>
      <c r="G293" s="29">
        <v>340</v>
      </c>
      <c r="H293" s="188"/>
      <c r="I293" s="182"/>
      <c r="J293" s="184"/>
      <c r="K293" s="165"/>
      <c r="L293" s="31"/>
      <c r="M293" s="31"/>
      <c r="N293" s="31"/>
      <c r="O293" s="31"/>
      <c r="P293" s="31"/>
      <c r="Q293" s="31"/>
      <c r="R293" s="188"/>
      <c r="S293" s="190"/>
    </row>
    <row r="294" spans="1:24" ht="105.75" thickBot="1" x14ac:dyDescent="0.3">
      <c r="A294" s="19" t="s">
        <v>509</v>
      </c>
      <c r="B294" s="20" t="s">
        <v>510</v>
      </c>
      <c r="C294" s="21"/>
      <c r="D294" s="21" t="s">
        <v>25</v>
      </c>
      <c r="E294" s="33">
        <v>400</v>
      </c>
      <c r="F294" s="33">
        <v>435</v>
      </c>
      <c r="G294" s="33">
        <v>401.5</v>
      </c>
      <c r="H294" s="21" t="s">
        <v>511</v>
      </c>
      <c r="I294" s="23" t="s">
        <v>392</v>
      </c>
      <c r="J294" s="81" t="s">
        <v>1661</v>
      </c>
      <c r="K294" s="82">
        <v>591244.86</v>
      </c>
      <c r="L294" s="24"/>
      <c r="M294" s="24"/>
      <c r="N294" s="24"/>
      <c r="O294" s="24"/>
      <c r="P294" s="24"/>
      <c r="Q294" s="24"/>
      <c r="R294" s="21" t="s">
        <v>512</v>
      </c>
      <c r="S294" s="25" t="s">
        <v>513</v>
      </c>
    </row>
    <row r="295" spans="1:24" ht="29.25" customHeight="1" thickBot="1" x14ac:dyDescent="0.3">
      <c r="A295" s="12" t="s">
        <v>514</v>
      </c>
      <c r="B295" s="168" t="s">
        <v>515</v>
      </c>
      <c r="C295" s="169"/>
      <c r="D295" s="170"/>
      <c r="E295" s="15">
        <f>SUM(E296:E296)</f>
        <v>1084.5</v>
      </c>
      <c r="F295" s="15">
        <f t="shared" ref="F295:G295" si="3">SUM(F296:F296)</f>
        <v>1891</v>
      </c>
      <c r="G295" s="15">
        <f t="shared" si="3"/>
        <v>1686.8</v>
      </c>
      <c r="H295" s="171"/>
      <c r="I295" s="172"/>
      <c r="J295" s="172"/>
      <c r="K295" s="172"/>
      <c r="L295" s="172"/>
      <c r="M295" s="172"/>
      <c r="N295" s="172"/>
      <c r="O295" s="172"/>
      <c r="P295" s="172"/>
      <c r="Q295" s="172"/>
      <c r="R295" s="172"/>
      <c r="S295" s="173"/>
    </row>
    <row r="296" spans="1:24" ht="36" customHeight="1" x14ac:dyDescent="0.25">
      <c r="A296" s="200" t="s">
        <v>516</v>
      </c>
      <c r="B296" s="187" t="s">
        <v>517</v>
      </c>
      <c r="C296" s="187" t="s">
        <v>257</v>
      </c>
      <c r="D296" s="51"/>
      <c r="E296" s="52">
        <f>SUM(E297:E298)</f>
        <v>1084.5</v>
      </c>
      <c r="F296" s="52">
        <f>SUM(F297:F298)</f>
        <v>1891</v>
      </c>
      <c r="G296" s="52">
        <f>SUM(G297:G298)</f>
        <v>1686.8</v>
      </c>
      <c r="H296" s="187" t="s">
        <v>518</v>
      </c>
      <c r="I296" s="181" t="s">
        <v>21</v>
      </c>
      <c r="J296" s="183">
        <v>12</v>
      </c>
      <c r="K296" s="277">
        <v>17</v>
      </c>
      <c r="L296" s="24" t="s">
        <v>367</v>
      </c>
      <c r="M296" s="24" t="s">
        <v>23</v>
      </c>
      <c r="N296" s="24" t="s">
        <v>367</v>
      </c>
      <c r="O296" s="24" t="s">
        <v>23</v>
      </c>
      <c r="P296" s="24"/>
      <c r="Q296" s="24"/>
      <c r="R296" s="187" t="s">
        <v>520</v>
      </c>
      <c r="S296" s="189" t="s">
        <v>1810</v>
      </c>
    </row>
    <row r="297" spans="1:24" ht="66" customHeight="1" x14ac:dyDescent="0.25">
      <c r="A297" s="201"/>
      <c r="B297" s="203"/>
      <c r="C297" s="203"/>
      <c r="D297" s="28" t="s">
        <v>380</v>
      </c>
      <c r="E297" s="29">
        <v>356.5</v>
      </c>
      <c r="F297" s="29">
        <v>806.5</v>
      </c>
      <c r="G297" s="29">
        <v>806.5</v>
      </c>
      <c r="H297" s="203"/>
      <c r="I297" s="204"/>
      <c r="J297" s="205"/>
      <c r="K297" s="278"/>
      <c r="L297" s="31"/>
      <c r="M297" s="31"/>
      <c r="N297" s="31"/>
      <c r="O297" s="31"/>
      <c r="P297" s="31"/>
      <c r="Q297" s="31"/>
      <c r="R297" s="203"/>
      <c r="S297" s="191"/>
    </row>
    <row r="298" spans="1:24" ht="68.25" customHeight="1" thickBot="1" x14ac:dyDescent="0.3">
      <c r="A298" s="202"/>
      <c r="B298" s="188"/>
      <c r="C298" s="188"/>
      <c r="D298" s="28" t="s">
        <v>30</v>
      </c>
      <c r="E298" s="29">
        <v>728</v>
      </c>
      <c r="F298" s="29">
        <v>1084.5</v>
      </c>
      <c r="G298" s="29">
        <v>880.3</v>
      </c>
      <c r="H298" s="188"/>
      <c r="I298" s="182"/>
      <c r="J298" s="184"/>
      <c r="K298" s="279"/>
      <c r="L298" s="31"/>
      <c r="M298" s="31"/>
      <c r="N298" s="31"/>
      <c r="O298" s="31"/>
      <c r="P298" s="31"/>
      <c r="Q298" s="31"/>
      <c r="R298" s="188"/>
      <c r="S298" s="190"/>
    </row>
    <row r="299" spans="1:24" ht="21.75" customHeight="1" thickBot="1" x14ac:dyDescent="0.3">
      <c r="A299" s="4" t="s">
        <v>521</v>
      </c>
      <c r="B299" s="195" t="s">
        <v>522</v>
      </c>
      <c r="C299" s="196"/>
      <c r="D299" s="197"/>
      <c r="E299" s="7">
        <f>E300+E311</f>
        <v>6875.8</v>
      </c>
      <c r="F299" s="7">
        <f>F300+F311</f>
        <v>9807.7000000000007</v>
      </c>
      <c r="G299" s="7">
        <f>G300+G311</f>
        <v>6948.2000000000007</v>
      </c>
      <c r="H299" s="192"/>
      <c r="I299" s="193"/>
      <c r="J299" s="193"/>
      <c r="K299" s="193"/>
      <c r="L299" s="193"/>
      <c r="M299" s="193"/>
      <c r="N299" s="193"/>
      <c r="O299" s="193"/>
      <c r="P299" s="193"/>
      <c r="Q299" s="193"/>
      <c r="R299" s="193"/>
      <c r="S299" s="194"/>
    </row>
    <row r="300" spans="1:24" ht="18.75" customHeight="1" thickBot="1" x14ac:dyDescent="0.3">
      <c r="A300" s="8" t="s">
        <v>524</v>
      </c>
      <c r="B300" s="174" t="s">
        <v>525</v>
      </c>
      <c r="C300" s="175"/>
      <c r="D300" s="176"/>
      <c r="E300" s="11">
        <f>E301+E307</f>
        <v>120.6</v>
      </c>
      <c r="F300" s="11">
        <f>F301+F307</f>
        <v>120.6</v>
      </c>
      <c r="G300" s="11">
        <f>G301+G307</f>
        <v>115.6</v>
      </c>
      <c r="H300" s="177"/>
      <c r="I300" s="178"/>
      <c r="J300" s="178"/>
      <c r="K300" s="178"/>
      <c r="L300" s="178"/>
      <c r="M300" s="178"/>
      <c r="N300" s="178"/>
      <c r="O300" s="178"/>
      <c r="P300" s="178"/>
      <c r="Q300" s="178"/>
      <c r="R300" s="178"/>
      <c r="S300" s="179"/>
      <c r="V300" s="110"/>
      <c r="W300" s="111" t="s">
        <v>1</v>
      </c>
      <c r="X300" s="111" t="s">
        <v>1813</v>
      </c>
    </row>
    <row r="301" spans="1:24" ht="37.5" customHeight="1" thickBot="1" x14ac:dyDescent="0.3">
      <c r="A301" s="12" t="s">
        <v>526</v>
      </c>
      <c r="B301" s="168" t="s">
        <v>527</v>
      </c>
      <c r="C301" s="169"/>
      <c r="D301" s="170"/>
      <c r="E301" s="15">
        <f>E302+E304</f>
        <v>72</v>
      </c>
      <c r="F301" s="15">
        <f>F302+F304</f>
        <v>72</v>
      </c>
      <c r="G301" s="15">
        <f>G302+G304</f>
        <v>67</v>
      </c>
      <c r="H301" s="171"/>
      <c r="I301" s="172"/>
      <c r="J301" s="172"/>
      <c r="K301" s="172"/>
      <c r="L301" s="172"/>
      <c r="M301" s="172"/>
      <c r="N301" s="172"/>
      <c r="O301" s="172"/>
      <c r="P301" s="172"/>
      <c r="Q301" s="172"/>
      <c r="R301" s="172"/>
      <c r="S301" s="173"/>
      <c r="V301" s="117"/>
      <c r="W301" s="112" t="s">
        <v>1814</v>
      </c>
      <c r="X301" s="113">
        <v>6</v>
      </c>
    </row>
    <row r="302" spans="1:24" ht="57.75" customHeight="1" x14ac:dyDescent="0.25">
      <c r="A302" s="200" t="s">
        <v>528</v>
      </c>
      <c r="B302" s="187" t="s">
        <v>529</v>
      </c>
      <c r="C302" s="187" t="s">
        <v>523</v>
      </c>
      <c r="D302" s="51"/>
      <c r="E302" s="52">
        <f>SUM(E303:E303)</f>
        <v>47.8</v>
      </c>
      <c r="F302" s="52">
        <f>SUM(F303:F303)</f>
        <v>47.8</v>
      </c>
      <c r="G302" s="52">
        <f>SUM(G303:G303)</f>
        <v>42.8</v>
      </c>
      <c r="H302" s="187" t="s">
        <v>530</v>
      </c>
      <c r="I302" s="181" t="s">
        <v>21</v>
      </c>
      <c r="J302" s="183">
        <v>7</v>
      </c>
      <c r="K302" s="164">
        <v>7</v>
      </c>
      <c r="L302" s="24" t="s">
        <v>127</v>
      </c>
      <c r="M302" s="24" t="s">
        <v>23</v>
      </c>
      <c r="N302" s="24" t="s">
        <v>128</v>
      </c>
      <c r="O302" s="24" t="s">
        <v>23</v>
      </c>
      <c r="P302" s="24"/>
      <c r="Q302" s="24"/>
      <c r="R302" s="187" t="s">
        <v>531</v>
      </c>
      <c r="S302" s="189"/>
      <c r="V302" s="118"/>
      <c r="W302" s="112" t="s">
        <v>1815</v>
      </c>
      <c r="X302" s="113">
        <v>2</v>
      </c>
    </row>
    <row r="303" spans="1:24" ht="27.75" customHeight="1" thickBot="1" x14ac:dyDescent="0.3">
      <c r="A303" s="202"/>
      <c r="B303" s="188"/>
      <c r="C303" s="188"/>
      <c r="D303" s="28" t="s">
        <v>25</v>
      </c>
      <c r="E303" s="29">
        <v>47.8</v>
      </c>
      <c r="F303" s="29">
        <v>47.8</v>
      </c>
      <c r="G303" s="29">
        <v>42.8</v>
      </c>
      <c r="H303" s="188"/>
      <c r="I303" s="182"/>
      <c r="J303" s="184"/>
      <c r="K303" s="165"/>
      <c r="L303" s="31"/>
      <c r="M303" s="31"/>
      <c r="N303" s="31"/>
      <c r="O303" s="31"/>
      <c r="P303" s="31"/>
      <c r="Q303" s="31"/>
      <c r="R303" s="188"/>
      <c r="S303" s="190"/>
      <c r="V303" s="116"/>
      <c r="W303" s="112" t="s">
        <v>1816</v>
      </c>
      <c r="X303" s="113">
        <v>1</v>
      </c>
    </row>
    <row r="304" spans="1:24" ht="129" customHeight="1" x14ac:dyDescent="0.25">
      <c r="A304" s="200" t="s">
        <v>532</v>
      </c>
      <c r="B304" s="187" t="s">
        <v>533</v>
      </c>
      <c r="C304" s="187" t="s">
        <v>523</v>
      </c>
      <c r="D304" s="187" t="s">
        <v>25</v>
      </c>
      <c r="E304" s="261">
        <f>SUM(E305:E306)+24.2</f>
        <v>24.2</v>
      </c>
      <c r="F304" s="261">
        <f>SUM(F305:F306)+24.2</f>
        <v>24.2</v>
      </c>
      <c r="G304" s="261">
        <f>SUM(G305:G306)+24.2</f>
        <v>24.2</v>
      </c>
      <c r="H304" s="21" t="s">
        <v>534</v>
      </c>
      <c r="I304" s="23" t="s">
        <v>21</v>
      </c>
      <c r="J304" s="50">
        <v>5</v>
      </c>
      <c r="K304" s="66">
        <v>6</v>
      </c>
      <c r="L304" s="24" t="s">
        <v>90</v>
      </c>
      <c r="M304" s="24" t="s">
        <v>23</v>
      </c>
      <c r="N304" s="24" t="s">
        <v>90</v>
      </c>
      <c r="O304" s="24" t="s">
        <v>23</v>
      </c>
      <c r="P304" s="24"/>
      <c r="Q304" s="24"/>
      <c r="R304" s="21" t="s">
        <v>535</v>
      </c>
      <c r="S304" s="25"/>
      <c r="V304" s="114"/>
      <c r="W304" s="119" t="s">
        <v>1817</v>
      </c>
      <c r="X304" s="115">
        <v>9</v>
      </c>
    </row>
    <row r="305" spans="1:19" ht="73.5" customHeight="1" x14ac:dyDescent="0.25">
      <c r="A305" s="201"/>
      <c r="B305" s="203"/>
      <c r="C305" s="203"/>
      <c r="D305" s="203"/>
      <c r="E305" s="276"/>
      <c r="F305" s="276"/>
      <c r="G305" s="276"/>
      <c r="H305" s="28" t="s">
        <v>536</v>
      </c>
      <c r="I305" s="30" t="s">
        <v>21</v>
      </c>
      <c r="J305" s="62">
        <v>6</v>
      </c>
      <c r="K305" s="65">
        <v>7</v>
      </c>
      <c r="L305" s="31" t="s">
        <v>127</v>
      </c>
      <c r="M305" s="31" t="s">
        <v>23</v>
      </c>
      <c r="N305" s="31" t="s">
        <v>128</v>
      </c>
      <c r="O305" s="31" t="s">
        <v>23</v>
      </c>
      <c r="P305" s="31"/>
      <c r="Q305" s="31"/>
      <c r="R305" s="28" t="s">
        <v>537</v>
      </c>
      <c r="S305" s="32"/>
    </row>
    <row r="306" spans="1:19" ht="50.25" customHeight="1" thickBot="1" x14ac:dyDescent="0.3">
      <c r="A306" s="202"/>
      <c r="B306" s="188"/>
      <c r="C306" s="188"/>
      <c r="D306" s="188"/>
      <c r="E306" s="262"/>
      <c r="F306" s="262"/>
      <c r="G306" s="262"/>
      <c r="H306" s="28" t="s">
        <v>538</v>
      </c>
      <c r="I306" s="30" t="s">
        <v>539</v>
      </c>
      <c r="J306" s="62">
        <v>280</v>
      </c>
      <c r="K306" s="65">
        <v>400</v>
      </c>
      <c r="L306" s="31" t="s">
        <v>540</v>
      </c>
      <c r="M306" s="31" t="s">
        <v>23</v>
      </c>
      <c r="N306" s="31" t="s">
        <v>540</v>
      </c>
      <c r="O306" s="31" t="s">
        <v>23</v>
      </c>
      <c r="P306" s="31"/>
      <c r="Q306" s="31"/>
      <c r="R306" s="28" t="s">
        <v>541</v>
      </c>
      <c r="S306" s="32"/>
    </row>
    <row r="307" spans="1:19" ht="37.5" customHeight="1" thickBot="1" x14ac:dyDescent="0.3">
      <c r="A307" s="12" t="s">
        <v>542</v>
      </c>
      <c r="B307" s="168" t="s">
        <v>543</v>
      </c>
      <c r="C307" s="169"/>
      <c r="D307" s="170"/>
      <c r="E307" s="15">
        <f>SUM(E308:E308)</f>
        <v>48.6</v>
      </c>
      <c r="F307" s="15">
        <f>SUM(F308:F308)</f>
        <v>48.6</v>
      </c>
      <c r="G307" s="15">
        <f>SUM(G308:G308)</f>
        <v>48.6</v>
      </c>
      <c r="H307" s="171"/>
      <c r="I307" s="172"/>
      <c r="J307" s="172"/>
      <c r="K307" s="172"/>
      <c r="L307" s="172"/>
      <c r="M307" s="172"/>
      <c r="N307" s="172"/>
      <c r="O307" s="172"/>
      <c r="P307" s="172"/>
      <c r="Q307" s="172"/>
      <c r="R307" s="172"/>
      <c r="S307" s="173"/>
    </row>
    <row r="308" spans="1:19" ht="48.75" customHeight="1" x14ac:dyDescent="0.25">
      <c r="A308" s="200" t="s">
        <v>544</v>
      </c>
      <c r="B308" s="187" t="s">
        <v>545</v>
      </c>
      <c r="C308" s="187" t="s">
        <v>523</v>
      </c>
      <c r="D308" s="187" t="s">
        <v>25</v>
      </c>
      <c r="E308" s="261">
        <f>SUM(E309:E310)+48.6</f>
        <v>48.6</v>
      </c>
      <c r="F308" s="261">
        <f>SUM(F309:F310)+48.6</f>
        <v>48.6</v>
      </c>
      <c r="G308" s="261">
        <f>SUM(G309:G310)+48.6</f>
        <v>48.6</v>
      </c>
      <c r="H308" s="21" t="s">
        <v>546</v>
      </c>
      <c r="I308" s="23" t="s">
        <v>21</v>
      </c>
      <c r="J308" s="50">
        <v>12</v>
      </c>
      <c r="K308" s="66">
        <v>14</v>
      </c>
      <c r="L308" s="24" t="s">
        <v>135</v>
      </c>
      <c r="M308" s="24" t="s">
        <v>23</v>
      </c>
      <c r="N308" s="24" t="s">
        <v>135</v>
      </c>
      <c r="O308" s="24" t="s">
        <v>23</v>
      </c>
      <c r="P308" s="24"/>
      <c r="Q308" s="24"/>
      <c r="R308" s="21" t="s">
        <v>547</v>
      </c>
      <c r="S308" s="25"/>
    </row>
    <row r="309" spans="1:19" ht="44.25" customHeight="1" x14ac:dyDescent="0.25">
      <c r="A309" s="201"/>
      <c r="B309" s="203"/>
      <c r="C309" s="203"/>
      <c r="D309" s="203"/>
      <c r="E309" s="276"/>
      <c r="F309" s="276"/>
      <c r="G309" s="276"/>
      <c r="H309" s="28" t="s">
        <v>548</v>
      </c>
      <c r="I309" s="30" t="s">
        <v>549</v>
      </c>
      <c r="J309" s="62">
        <v>35</v>
      </c>
      <c r="K309" s="65">
        <v>40</v>
      </c>
      <c r="L309" s="31" t="s">
        <v>427</v>
      </c>
      <c r="M309" s="31" t="s">
        <v>23</v>
      </c>
      <c r="N309" s="31" t="s">
        <v>550</v>
      </c>
      <c r="O309" s="31" t="s">
        <v>23</v>
      </c>
      <c r="P309" s="31"/>
      <c r="Q309" s="31"/>
      <c r="R309" s="28" t="s">
        <v>551</v>
      </c>
      <c r="S309" s="32"/>
    </row>
    <row r="310" spans="1:19" ht="144.75" customHeight="1" thickBot="1" x14ac:dyDescent="0.3">
      <c r="A310" s="202"/>
      <c r="B310" s="188"/>
      <c r="C310" s="188"/>
      <c r="D310" s="188"/>
      <c r="E310" s="262"/>
      <c r="F310" s="262"/>
      <c r="G310" s="262"/>
      <c r="H310" s="28" t="s">
        <v>552</v>
      </c>
      <c r="I310" s="30" t="s">
        <v>21</v>
      </c>
      <c r="J310" s="62">
        <v>15</v>
      </c>
      <c r="K310" s="65">
        <v>19</v>
      </c>
      <c r="L310" s="31" t="s">
        <v>104</v>
      </c>
      <c r="M310" s="31" t="s">
        <v>23</v>
      </c>
      <c r="N310" s="31" t="s">
        <v>553</v>
      </c>
      <c r="O310" s="31" t="s">
        <v>23</v>
      </c>
      <c r="P310" s="31"/>
      <c r="Q310" s="31"/>
      <c r="R310" s="28" t="s">
        <v>554</v>
      </c>
      <c r="S310" s="32"/>
    </row>
    <row r="311" spans="1:19" ht="39" customHeight="1" thickBot="1" x14ac:dyDescent="0.3">
      <c r="A311" s="8" t="s">
        <v>555</v>
      </c>
      <c r="B311" s="174" t="s">
        <v>556</v>
      </c>
      <c r="C311" s="175"/>
      <c r="D311" s="176"/>
      <c r="E311" s="11">
        <f>E312+E316+E331</f>
        <v>6755.2</v>
      </c>
      <c r="F311" s="11">
        <f>F312+F316+F331</f>
        <v>9687.1</v>
      </c>
      <c r="G311" s="11">
        <f>G312+G316+G331+0.1</f>
        <v>6832.6</v>
      </c>
      <c r="H311" s="177"/>
      <c r="I311" s="178"/>
      <c r="J311" s="178"/>
      <c r="K311" s="178"/>
      <c r="L311" s="178"/>
      <c r="M311" s="178"/>
      <c r="N311" s="178"/>
      <c r="O311" s="178"/>
      <c r="P311" s="178"/>
      <c r="Q311" s="178"/>
      <c r="R311" s="178"/>
      <c r="S311" s="179"/>
    </row>
    <row r="312" spans="1:19" ht="24" customHeight="1" thickBot="1" x14ac:dyDescent="0.3">
      <c r="A312" s="12" t="s">
        <v>557</v>
      </c>
      <c r="B312" s="168" t="s">
        <v>558</v>
      </c>
      <c r="C312" s="169"/>
      <c r="D312" s="170"/>
      <c r="E312" s="15">
        <f>SUM(E313:E313)</f>
        <v>30.1</v>
      </c>
      <c r="F312" s="15">
        <f>SUM(F313:F313)</f>
        <v>62</v>
      </c>
      <c r="G312" s="15">
        <f>SUM(G313:G313)</f>
        <v>30.799999999999997</v>
      </c>
      <c r="H312" s="171"/>
      <c r="I312" s="172"/>
      <c r="J312" s="172"/>
      <c r="K312" s="172"/>
      <c r="L312" s="172"/>
      <c r="M312" s="172"/>
      <c r="N312" s="172"/>
      <c r="O312" s="172"/>
      <c r="P312" s="172"/>
      <c r="Q312" s="172"/>
      <c r="R312" s="172"/>
      <c r="S312" s="173"/>
    </row>
    <row r="313" spans="1:19" ht="74.25" customHeight="1" x14ac:dyDescent="0.25">
      <c r="A313" s="200" t="s">
        <v>559</v>
      </c>
      <c r="B313" s="187" t="s">
        <v>560</v>
      </c>
      <c r="C313" s="187" t="s">
        <v>207</v>
      </c>
      <c r="D313" s="51"/>
      <c r="E313" s="52">
        <f>SUM(E314:E315)</f>
        <v>30.1</v>
      </c>
      <c r="F313" s="52">
        <f>SUM(F314:F315)</f>
        <v>62</v>
      </c>
      <c r="G313" s="52">
        <f>SUM(G314:G315)-0.1</f>
        <v>30.799999999999997</v>
      </c>
      <c r="H313" s="187" t="s">
        <v>561</v>
      </c>
      <c r="I313" s="181" t="s">
        <v>21</v>
      </c>
      <c r="J313" s="183">
        <v>9</v>
      </c>
      <c r="K313" s="164">
        <v>16</v>
      </c>
      <c r="L313" s="24" t="s">
        <v>129</v>
      </c>
      <c r="M313" s="24" t="s">
        <v>23</v>
      </c>
      <c r="N313" s="24" t="s">
        <v>129</v>
      </c>
      <c r="O313" s="24" t="s">
        <v>23</v>
      </c>
      <c r="P313" s="24"/>
      <c r="Q313" s="24"/>
      <c r="R313" s="187" t="s">
        <v>562</v>
      </c>
      <c r="S313" s="189" t="s">
        <v>563</v>
      </c>
    </row>
    <row r="314" spans="1:19" ht="122.25" customHeight="1" x14ac:dyDescent="0.25">
      <c r="A314" s="201"/>
      <c r="B314" s="203"/>
      <c r="C314" s="203"/>
      <c r="D314" s="28" t="s">
        <v>25</v>
      </c>
      <c r="E314" s="29">
        <v>30.1</v>
      </c>
      <c r="F314" s="29">
        <v>27</v>
      </c>
      <c r="G314" s="29">
        <v>11.6</v>
      </c>
      <c r="H314" s="203"/>
      <c r="I314" s="204"/>
      <c r="J314" s="205"/>
      <c r="K314" s="206"/>
      <c r="L314" s="31"/>
      <c r="M314" s="31"/>
      <c r="N314" s="31"/>
      <c r="O314" s="31"/>
      <c r="P314" s="31"/>
      <c r="Q314" s="31"/>
      <c r="R314" s="203"/>
      <c r="S314" s="191"/>
    </row>
    <row r="315" spans="1:19" ht="117" customHeight="1" thickBot="1" x14ac:dyDescent="0.3">
      <c r="A315" s="202"/>
      <c r="B315" s="188"/>
      <c r="C315" s="188"/>
      <c r="D315" s="28" t="s">
        <v>30</v>
      </c>
      <c r="E315" s="29">
        <v>0</v>
      </c>
      <c r="F315" s="29">
        <v>35</v>
      </c>
      <c r="G315" s="29">
        <v>19.3</v>
      </c>
      <c r="H315" s="188"/>
      <c r="I315" s="182"/>
      <c r="J315" s="184"/>
      <c r="K315" s="165"/>
      <c r="L315" s="31"/>
      <c r="M315" s="31"/>
      <c r="N315" s="31"/>
      <c r="O315" s="31"/>
      <c r="P315" s="31"/>
      <c r="Q315" s="31"/>
      <c r="R315" s="188"/>
      <c r="S315" s="190"/>
    </row>
    <row r="316" spans="1:19" ht="24" customHeight="1" thickBot="1" x14ac:dyDescent="0.3">
      <c r="A316" s="12" t="s">
        <v>564</v>
      </c>
      <c r="B316" s="168" t="s">
        <v>565</v>
      </c>
      <c r="C316" s="169"/>
      <c r="D316" s="170"/>
      <c r="E316" s="15">
        <f>E317+E322+E325</f>
        <v>6690.7</v>
      </c>
      <c r="F316" s="15">
        <f>F317+F322+F325</f>
        <v>9590.7000000000007</v>
      </c>
      <c r="G316" s="15">
        <f>G317+G322+G325-0.1</f>
        <v>6793.2</v>
      </c>
      <c r="H316" s="171"/>
      <c r="I316" s="172"/>
      <c r="J316" s="172"/>
      <c r="K316" s="172"/>
      <c r="L316" s="172"/>
      <c r="M316" s="172"/>
      <c r="N316" s="172"/>
      <c r="O316" s="172"/>
      <c r="P316" s="172"/>
      <c r="Q316" s="172"/>
      <c r="R316" s="172"/>
      <c r="S316" s="173"/>
    </row>
    <row r="317" spans="1:19" ht="103.5" customHeight="1" x14ac:dyDescent="0.25">
      <c r="A317" s="210" t="s">
        <v>566</v>
      </c>
      <c r="B317" s="181" t="s">
        <v>567</v>
      </c>
      <c r="C317" s="181" t="s">
        <v>207</v>
      </c>
      <c r="D317" s="51"/>
      <c r="E317" s="52">
        <f>SUM(E318:E321)</f>
        <v>860.7</v>
      </c>
      <c r="F317" s="52">
        <f>SUM(F318:F321)</f>
        <v>1060.7</v>
      </c>
      <c r="G317" s="52">
        <f>SUM(G318:G321)</f>
        <v>580.20000000000005</v>
      </c>
      <c r="H317" s="21" t="s">
        <v>568</v>
      </c>
      <c r="I317" s="23" t="s">
        <v>21</v>
      </c>
      <c r="J317" s="50">
        <v>2</v>
      </c>
      <c r="K317" s="63">
        <v>0</v>
      </c>
      <c r="L317" s="24" t="s">
        <v>23</v>
      </c>
      <c r="M317" s="24" t="s">
        <v>23</v>
      </c>
      <c r="N317" s="24" t="s">
        <v>23</v>
      </c>
      <c r="O317" s="24" t="s">
        <v>23</v>
      </c>
      <c r="P317" s="24"/>
      <c r="Q317" s="24"/>
      <c r="R317" s="21"/>
      <c r="S317" s="25" t="s">
        <v>1662</v>
      </c>
    </row>
    <row r="318" spans="1:19" ht="75.75" customHeight="1" x14ac:dyDescent="0.25">
      <c r="A318" s="211"/>
      <c r="B318" s="204"/>
      <c r="C318" s="204"/>
      <c r="D318" s="28" t="s">
        <v>25</v>
      </c>
      <c r="E318" s="29">
        <v>53.6</v>
      </c>
      <c r="F318" s="29">
        <v>53.6</v>
      </c>
      <c r="G318" s="29">
        <v>59.8</v>
      </c>
      <c r="H318" s="28" t="s">
        <v>569</v>
      </c>
      <c r="I318" s="30" t="s">
        <v>21</v>
      </c>
      <c r="J318" s="62">
        <v>2</v>
      </c>
      <c r="K318" s="65">
        <v>2</v>
      </c>
      <c r="L318" s="31" t="s">
        <v>22</v>
      </c>
      <c r="M318" s="31" t="s">
        <v>23</v>
      </c>
      <c r="N318" s="31" t="s">
        <v>22</v>
      </c>
      <c r="O318" s="31" t="s">
        <v>23</v>
      </c>
      <c r="P318" s="31"/>
      <c r="Q318" s="31"/>
      <c r="R318" s="28" t="s">
        <v>570</v>
      </c>
      <c r="S318" s="32" t="s">
        <v>571</v>
      </c>
    </row>
    <row r="319" spans="1:19" ht="30" x14ac:dyDescent="0.25">
      <c r="A319" s="211"/>
      <c r="B319" s="204"/>
      <c r="C319" s="204"/>
      <c r="D319" s="28" t="s">
        <v>30</v>
      </c>
      <c r="E319" s="29">
        <v>207.1</v>
      </c>
      <c r="F319" s="29">
        <v>207.1</v>
      </c>
      <c r="G319" s="29">
        <v>235.5</v>
      </c>
      <c r="H319" s="28" t="s">
        <v>572</v>
      </c>
      <c r="I319" s="30" t="s">
        <v>392</v>
      </c>
      <c r="J319" s="62">
        <v>1.5</v>
      </c>
      <c r="K319" s="65">
        <v>1.5</v>
      </c>
      <c r="L319" s="31"/>
      <c r="M319" s="31"/>
      <c r="N319" s="31"/>
      <c r="O319" s="31"/>
      <c r="P319" s="31"/>
      <c r="Q319" s="31"/>
      <c r="R319" s="28" t="s">
        <v>573</v>
      </c>
      <c r="S319" s="32"/>
    </row>
    <row r="320" spans="1:19" ht="105" customHeight="1" x14ac:dyDescent="0.25">
      <c r="A320" s="211"/>
      <c r="B320" s="204"/>
      <c r="C320" s="204"/>
      <c r="D320" s="28" t="s">
        <v>217</v>
      </c>
      <c r="E320" s="29">
        <v>600</v>
      </c>
      <c r="F320" s="29">
        <v>600</v>
      </c>
      <c r="G320" s="29">
        <v>284.89999999999998</v>
      </c>
      <c r="H320" s="213" t="s">
        <v>415</v>
      </c>
      <c r="I320" s="214" t="s">
        <v>215</v>
      </c>
      <c r="J320" s="215">
        <v>80</v>
      </c>
      <c r="K320" s="218">
        <v>60</v>
      </c>
      <c r="L320" s="31" t="s">
        <v>42</v>
      </c>
      <c r="M320" s="31" t="s">
        <v>23</v>
      </c>
      <c r="N320" s="31"/>
      <c r="O320" s="31"/>
      <c r="P320" s="31"/>
      <c r="Q320" s="31"/>
      <c r="R320" s="213" t="s">
        <v>574</v>
      </c>
      <c r="S320" s="217" t="s">
        <v>1663</v>
      </c>
    </row>
    <row r="321" spans="1:19" ht="15.75" thickBot="1" x14ac:dyDescent="0.3">
      <c r="A321" s="212"/>
      <c r="B321" s="182"/>
      <c r="C321" s="182"/>
      <c r="D321" s="28" t="s">
        <v>201</v>
      </c>
      <c r="E321" s="29"/>
      <c r="F321" s="29">
        <v>200</v>
      </c>
      <c r="G321" s="29"/>
      <c r="H321" s="188"/>
      <c r="I321" s="182"/>
      <c r="J321" s="184"/>
      <c r="K321" s="186"/>
      <c r="L321" s="31"/>
      <c r="M321" s="31"/>
      <c r="N321" s="31"/>
      <c r="O321" s="31"/>
      <c r="P321" s="31"/>
      <c r="Q321" s="31"/>
      <c r="R321" s="188"/>
      <c r="S321" s="190"/>
    </row>
    <row r="322" spans="1:19" ht="43.5" customHeight="1" x14ac:dyDescent="0.25">
      <c r="A322" s="200" t="s">
        <v>575</v>
      </c>
      <c r="B322" s="187" t="s">
        <v>576</v>
      </c>
      <c r="C322" s="187" t="s">
        <v>523</v>
      </c>
      <c r="D322" s="51"/>
      <c r="E322" s="52">
        <f>SUM(E323:E324)</f>
        <v>210</v>
      </c>
      <c r="F322" s="52">
        <f>SUM(F323:F324)</f>
        <v>210</v>
      </c>
      <c r="G322" s="52">
        <f>SUM(G323:G324)</f>
        <v>210</v>
      </c>
      <c r="H322" s="187" t="s">
        <v>577</v>
      </c>
      <c r="I322" s="181" t="s">
        <v>215</v>
      </c>
      <c r="J322" s="183">
        <v>100</v>
      </c>
      <c r="K322" s="164">
        <v>100</v>
      </c>
      <c r="L322" s="24" t="s">
        <v>22</v>
      </c>
      <c r="M322" s="24" t="s">
        <v>23</v>
      </c>
      <c r="N322" s="24" t="s">
        <v>23</v>
      </c>
      <c r="O322" s="24" t="s">
        <v>23</v>
      </c>
      <c r="P322" s="24"/>
      <c r="Q322" s="24"/>
      <c r="R322" s="187" t="s">
        <v>578</v>
      </c>
      <c r="S322" s="209"/>
    </row>
    <row r="323" spans="1:19" ht="38.25" customHeight="1" x14ac:dyDescent="0.25">
      <c r="A323" s="201"/>
      <c r="B323" s="203"/>
      <c r="C323" s="203"/>
      <c r="D323" s="214" t="s">
        <v>25</v>
      </c>
      <c r="E323" s="270">
        <v>210</v>
      </c>
      <c r="F323" s="270">
        <v>210</v>
      </c>
      <c r="G323" s="270">
        <v>210</v>
      </c>
      <c r="H323" s="203"/>
      <c r="I323" s="204"/>
      <c r="J323" s="205"/>
      <c r="K323" s="206"/>
      <c r="L323" s="31" t="s">
        <v>42</v>
      </c>
      <c r="M323" s="31" t="s">
        <v>23</v>
      </c>
      <c r="N323" s="31" t="s">
        <v>23</v>
      </c>
      <c r="O323" s="31" t="s">
        <v>23</v>
      </c>
      <c r="P323" s="31"/>
      <c r="Q323" s="31"/>
      <c r="R323" s="203"/>
      <c r="S323" s="219"/>
    </row>
    <row r="324" spans="1:19" ht="6.75" customHeight="1" thickBot="1" x14ac:dyDescent="0.3">
      <c r="A324" s="201"/>
      <c r="B324" s="203"/>
      <c r="C324" s="203"/>
      <c r="D324" s="204"/>
      <c r="E324" s="271"/>
      <c r="F324" s="271"/>
      <c r="G324" s="271"/>
      <c r="H324" s="188"/>
      <c r="I324" s="204"/>
      <c r="J324" s="205"/>
      <c r="K324" s="206"/>
      <c r="L324" s="31" t="s">
        <v>22</v>
      </c>
      <c r="M324" s="31" t="s">
        <v>23</v>
      </c>
      <c r="N324" s="31" t="s">
        <v>22</v>
      </c>
      <c r="O324" s="31" t="s">
        <v>23</v>
      </c>
      <c r="P324" s="31"/>
      <c r="Q324" s="31"/>
      <c r="R324" s="188"/>
      <c r="S324" s="219"/>
    </row>
    <row r="325" spans="1:19" ht="93.75" customHeight="1" x14ac:dyDescent="0.25">
      <c r="A325" s="200" t="s">
        <v>579</v>
      </c>
      <c r="B325" s="187" t="s">
        <v>580</v>
      </c>
      <c r="C325" s="187" t="s">
        <v>523</v>
      </c>
      <c r="D325" s="51"/>
      <c r="E325" s="52">
        <f>SUM(E326:E330)</f>
        <v>5620</v>
      </c>
      <c r="F325" s="52">
        <f>SUM(F326:F330)</f>
        <v>8320</v>
      </c>
      <c r="G325" s="52">
        <f>SUM(G326:G330)</f>
        <v>6003.1</v>
      </c>
      <c r="H325" s="21" t="s">
        <v>581</v>
      </c>
      <c r="I325" s="23" t="s">
        <v>215</v>
      </c>
      <c r="J325" s="50">
        <v>70</v>
      </c>
      <c r="K325" s="66">
        <v>70</v>
      </c>
      <c r="L325" s="24" t="s">
        <v>42</v>
      </c>
      <c r="M325" s="24" t="s">
        <v>23</v>
      </c>
      <c r="N325" s="24" t="s">
        <v>23</v>
      </c>
      <c r="O325" s="24" t="s">
        <v>23</v>
      </c>
      <c r="P325" s="24"/>
      <c r="Q325" s="24"/>
      <c r="R325" s="21" t="s">
        <v>582</v>
      </c>
      <c r="S325" s="189" t="s">
        <v>583</v>
      </c>
    </row>
    <row r="326" spans="1:19" ht="72.75" customHeight="1" x14ac:dyDescent="0.25">
      <c r="A326" s="201"/>
      <c r="B326" s="203"/>
      <c r="C326" s="203"/>
      <c r="D326" s="28" t="s">
        <v>25</v>
      </c>
      <c r="E326" s="29">
        <v>2673.7</v>
      </c>
      <c r="F326" s="29">
        <v>1980.7</v>
      </c>
      <c r="G326" s="29">
        <v>0</v>
      </c>
      <c r="H326" s="28" t="s">
        <v>584</v>
      </c>
      <c r="I326" s="30" t="s">
        <v>215</v>
      </c>
      <c r="J326" s="62">
        <v>50</v>
      </c>
      <c r="K326" s="65">
        <v>50</v>
      </c>
      <c r="L326" s="31" t="s">
        <v>42</v>
      </c>
      <c r="M326" s="31" t="s">
        <v>23</v>
      </c>
      <c r="N326" s="31" t="s">
        <v>23</v>
      </c>
      <c r="O326" s="31" t="s">
        <v>23</v>
      </c>
      <c r="P326" s="31"/>
      <c r="Q326" s="31"/>
      <c r="R326" s="28" t="s">
        <v>585</v>
      </c>
      <c r="S326" s="191"/>
    </row>
    <row r="327" spans="1:19" ht="66.75" customHeight="1" x14ac:dyDescent="0.25">
      <c r="A327" s="201"/>
      <c r="B327" s="203"/>
      <c r="C327" s="203"/>
      <c r="D327" s="28" t="s">
        <v>217</v>
      </c>
      <c r="E327" s="29">
        <v>1500</v>
      </c>
      <c r="F327" s="29">
        <v>0</v>
      </c>
      <c r="G327" s="29">
        <v>0</v>
      </c>
      <c r="H327" s="28" t="s">
        <v>586</v>
      </c>
      <c r="I327" s="30" t="s">
        <v>215</v>
      </c>
      <c r="J327" s="62">
        <v>50</v>
      </c>
      <c r="K327" s="65">
        <v>50</v>
      </c>
      <c r="L327" s="31" t="s">
        <v>42</v>
      </c>
      <c r="M327" s="31" t="s">
        <v>23</v>
      </c>
      <c r="N327" s="31" t="s">
        <v>23</v>
      </c>
      <c r="O327" s="31" t="s">
        <v>23</v>
      </c>
      <c r="P327" s="31"/>
      <c r="Q327" s="31"/>
      <c r="R327" s="28" t="s">
        <v>585</v>
      </c>
      <c r="S327" s="191"/>
    </row>
    <row r="328" spans="1:19" ht="52.5" customHeight="1" x14ac:dyDescent="0.25">
      <c r="A328" s="201"/>
      <c r="B328" s="203"/>
      <c r="C328" s="203"/>
      <c r="D328" s="28" t="s">
        <v>30</v>
      </c>
      <c r="E328" s="29">
        <v>626.29999999999995</v>
      </c>
      <c r="F328" s="29">
        <v>184.3</v>
      </c>
      <c r="G328" s="29">
        <v>0</v>
      </c>
      <c r="H328" s="28" t="s">
        <v>587</v>
      </c>
      <c r="I328" s="30" t="s">
        <v>215</v>
      </c>
      <c r="J328" s="62">
        <v>50</v>
      </c>
      <c r="K328" s="65">
        <v>50</v>
      </c>
      <c r="L328" s="31" t="s">
        <v>42</v>
      </c>
      <c r="M328" s="31" t="s">
        <v>23</v>
      </c>
      <c r="N328" s="31" t="s">
        <v>23</v>
      </c>
      <c r="O328" s="31" t="s">
        <v>23</v>
      </c>
      <c r="P328" s="31"/>
      <c r="Q328" s="31"/>
      <c r="R328" s="28" t="s">
        <v>588</v>
      </c>
      <c r="S328" s="191"/>
    </row>
    <row r="329" spans="1:19" ht="58.5" customHeight="1" x14ac:dyDescent="0.25">
      <c r="A329" s="201"/>
      <c r="B329" s="203"/>
      <c r="C329" s="203"/>
      <c r="D329" s="28" t="s">
        <v>402</v>
      </c>
      <c r="E329" s="29">
        <v>700</v>
      </c>
      <c r="F329" s="29">
        <v>3200</v>
      </c>
      <c r="G329" s="29">
        <v>3148.7</v>
      </c>
      <c r="H329" s="214" t="s">
        <v>589</v>
      </c>
      <c r="I329" s="214" t="s">
        <v>215</v>
      </c>
      <c r="J329" s="215">
        <v>80</v>
      </c>
      <c r="K329" s="216">
        <v>80</v>
      </c>
      <c r="L329" s="31" t="s">
        <v>42</v>
      </c>
      <c r="M329" s="31" t="s">
        <v>23</v>
      </c>
      <c r="N329" s="31" t="s">
        <v>23</v>
      </c>
      <c r="O329" s="31" t="s">
        <v>23</v>
      </c>
      <c r="P329" s="31"/>
      <c r="Q329" s="31"/>
      <c r="R329" s="213" t="s">
        <v>590</v>
      </c>
      <c r="S329" s="191"/>
    </row>
    <row r="330" spans="1:19" ht="49.5" customHeight="1" thickBot="1" x14ac:dyDescent="0.3">
      <c r="A330" s="202"/>
      <c r="B330" s="188"/>
      <c r="C330" s="188"/>
      <c r="D330" s="28" t="s">
        <v>201</v>
      </c>
      <c r="E330" s="29">
        <v>120</v>
      </c>
      <c r="F330" s="29">
        <v>2955</v>
      </c>
      <c r="G330" s="29">
        <v>2854.4</v>
      </c>
      <c r="H330" s="182"/>
      <c r="I330" s="182"/>
      <c r="J330" s="184"/>
      <c r="K330" s="165"/>
      <c r="L330" s="31"/>
      <c r="M330" s="31"/>
      <c r="N330" s="31"/>
      <c r="O330" s="31"/>
      <c r="P330" s="31"/>
      <c r="Q330" s="31"/>
      <c r="R330" s="188"/>
      <c r="S330" s="190"/>
    </row>
    <row r="331" spans="1:19" ht="25.5" customHeight="1" thickBot="1" x14ac:dyDescent="0.3">
      <c r="A331" s="12" t="s">
        <v>591</v>
      </c>
      <c r="B331" s="168" t="s">
        <v>592</v>
      </c>
      <c r="C331" s="169"/>
      <c r="D331" s="170"/>
      <c r="E331" s="15">
        <f>E332+E334+E335</f>
        <v>34.4</v>
      </c>
      <c r="F331" s="15">
        <f>F332+F334+F335</f>
        <v>34.4</v>
      </c>
      <c r="G331" s="15">
        <f>G332+G334+G335</f>
        <v>8.5</v>
      </c>
      <c r="H331" s="171"/>
      <c r="I331" s="172"/>
      <c r="J331" s="172"/>
      <c r="K331" s="172"/>
      <c r="L331" s="172"/>
      <c r="M331" s="172"/>
      <c r="N331" s="172"/>
      <c r="O331" s="172"/>
      <c r="P331" s="172"/>
      <c r="Q331" s="172"/>
      <c r="R331" s="172"/>
      <c r="S331" s="173"/>
    </row>
    <row r="332" spans="1:19" ht="75" x14ac:dyDescent="0.25">
      <c r="A332" s="200" t="s">
        <v>593</v>
      </c>
      <c r="B332" s="187" t="s">
        <v>594</v>
      </c>
      <c r="C332" s="187" t="s">
        <v>523</v>
      </c>
      <c r="D332" s="187" t="s">
        <v>25</v>
      </c>
      <c r="E332" s="207">
        <f>SUM(E333:E333)+15.1</f>
        <v>15.1</v>
      </c>
      <c r="F332" s="207">
        <f>SUM(F333:F333)+15.1</f>
        <v>15.1</v>
      </c>
      <c r="G332" s="207">
        <f>SUM(G333:G333)+8.5</f>
        <v>8.5</v>
      </c>
      <c r="H332" s="21" t="s">
        <v>595</v>
      </c>
      <c r="I332" s="23" t="s">
        <v>21</v>
      </c>
      <c r="J332" s="50">
        <v>1</v>
      </c>
      <c r="K332" s="63">
        <v>0</v>
      </c>
      <c r="L332" s="24" t="s">
        <v>22</v>
      </c>
      <c r="M332" s="24" t="s">
        <v>23</v>
      </c>
      <c r="N332" s="24" t="s">
        <v>22</v>
      </c>
      <c r="O332" s="24" t="s">
        <v>23</v>
      </c>
      <c r="P332" s="24"/>
      <c r="Q332" s="24"/>
      <c r="R332" s="21"/>
      <c r="S332" s="25" t="s">
        <v>596</v>
      </c>
    </row>
    <row r="333" spans="1:19" ht="88.5" customHeight="1" thickBot="1" x14ac:dyDescent="0.3">
      <c r="A333" s="202"/>
      <c r="B333" s="188"/>
      <c r="C333" s="188"/>
      <c r="D333" s="188"/>
      <c r="E333" s="208"/>
      <c r="F333" s="208"/>
      <c r="G333" s="208"/>
      <c r="H333" s="28" t="s">
        <v>597</v>
      </c>
      <c r="I333" s="30" t="s">
        <v>21</v>
      </c>
      <c r="J333" s="62">
        <v>2</v>
      </c>
      <c r="K333" s="65">
        <v>3</v>
      </c>
      <c r="L333" s="31" t="s">
        <v>52</v>
      </c>
      <c r="M333" s="31" t="s">
        <v>23</v>
      </c>
      <c r="N333" s="31" t="s">
        <v>52</v>
      </c>
      <c r="O333" s="31" t="s">
        <v>23</v>
      </c>
      <c r="P333" s="31"/>
      <c r="Q333" s="31"/>
      <c r="R333" s="28" t="s">
        <v>598</v>
      </c>
      <c r="S333" s="32"/>
    </row>
    <row r="334" spans="1:19" ht="90.75" hidden="1" thickBot="1" x14ac:dyDescent="0.3">
      <c r="A334" s="19" t="s">
        <v>599</v>
      </c>
      <c r="B334" s="20" t="s">
        <v>600</v>
      </c>
      <c r="C334" s="21" t="s">
        <v>523</v>
      </c>
      <c r="D334" s="21"/>
      <c r="E334" s="33">
        <v>0</v>
      </c>
      <c r="F334" s="33">
        <v>0</v>
      </c>
      <c r="G334" s="33">
        <v>0</v>
      </c>
      <c r="H334" s="21"/>
      <c r="I334" s="23"/>
      <c r="J334" s="46"/>
      <c r="K334" s="46"/>
      <c r="L334" s="24"/>
      <c r="M334" s="24"/>
      <c r="N334" s="24"/>
      <c r="O334" s="24"/>
      <c r="P334" s="24"/>
      <c r="Q334" s="24"/>
      <c r="R334" s="21"/>
      <c r="S334" s="25"/>
    </row>
    <row r="335" spans="1:19" ht="82.5" customHeight="1" x14ac:dyDescent="0.25">
      <c r="A335" s="200" t="s">
        <v>601</v>
      </c>
      <c r="B335" s="187" t="s">
        <v>602</v>
      </c>
      <c r="C335" s="187" t="s">
        <v>523</v>
      </c>
      <c r="D335" s="51"/>
      <c r="E335" s="52">
        <f>SUM(E336:E337)</f>
        <v>19.3</v>
      </c>
      <c r="F335" s="52">
        <f>SUM(F336:F337)</f>
        <v>19.3</v>
      </c>
      <c r="G335" s="52">
        <f>SUM(G336:G337)</f>
        <v>0</v>
      </c>
      <c r="H335" s="187" t="s">
        <v>603</v>
      </c>
      <c r="I335" s="181" t="s">
        <v>21</v>
      </c>
      <c r="J335" s="183">
        <v>5</v>
      </c>
      <c r="K335" s="198">
        <v>0</v>
      </c>
      <c r="L335" s="24" t="s">
        <v>89</v>
      </c>
      <c r="M335" s="24" t="s">
        <v>23</v>
      </c>
      <c r="N335" s="24" t="s">
        <v>155</v>
      </c>
      <c r="O335" s="24" t="s">
        <v>23</v>
      </c>
      <c r="P335" s="24"/>
      <c r="Q335" s="24"/>
      <c r="R335" s="181"/>
      <c r="S335" s="189" t="s">
        <v>604</v>
      </c>
    </row>
    <row r="336" spans="1:19" ht="91.5" customHeight="1" x14ac:dyDescent="0.25">
      <c r="A336" s="201"/>
      <c r="B336" s="203"/>
      <c r="C336" s="203"/>
      <c r="D336" s="28" t="s">
        <v>180</v>
      </c>
      <c r="E336" s="29">
        <v>5</v>
      </c>
      <c r="F336" s="29">
        <v>5</v>
      </c>
      <c r="G336" s="29">
        <v>0</v>
      </c>
      <c r="H336" s="203"/>
      <c r="I336" s="204"/>
      <c r="J336" s="205"/>
      <c r="K336" s="221"/>
      <c r="L336" s="31"/>
      <c r="M336" s="31"/>
      <c r="N336" s="31"/>
      <c r="O336" s="31"/>
      <c r="P336" s="31"/>
      <c r="Q336" s="31"/>
      <c r="R336" s="204"/>
      <c r="S336" s="191"/>
    </row>
    <row r="337" spans="1:24" ht="114.75" customHeight="1" thickBot="1" x14ac:dyDescent="0.3">
      <c r="A337" s="202"/>
      <c r="B337" s="188"/>
      <c r="C337" s="188"/>
      <c r="D337" s="28" t="s">
        <v>25</v>
      </c>
      <c r="E337" s="29">
        <v>14.3</v>
      </c>
      <c r="F337" s="29">
        <v>14.3</v>
      </c>
      <c r="G337" s="29">
        <v>0</v>
      </c>
      <c r="H337" s="188"/>
      <c r="I337" s="182"/>
      <c r="J337" s="184"/>
      <c r="K337" s="199"/>
      <c r="L337" s="31"/>
      <c r="M337" s="31"/>
      <c r="N337" s="31"/>
      <c r="O337" s="31"/>
      <c r="P337" s="31"/>
      <c r="Q337" s="31"/>
      <c r="R337" s="182"/>
      <c r="S337" s="190"/>
    </row>
    <row r="338" spans="1:24" ht="35.25" customHeight="1" thickBot="1" x14ac:dyDescent="0.3">
      <c r="A338" s="4" t="s">
        <v>605</v>
      </c>
      <c r="B338" s="195" t="s">
        <v>606</v>
      </c>
      <c r="C338" s="196"/>
      <c r="D338" s="197"/>
      <c r="E338" s="7">
        <f>SUM(E339:E339)</f>
        <v>209</v>
      </c>
      <c r="F338" s="7">
        <f>SUM(F339:F339)</f>
        <v>209</v>
      </c>
      <c r="G338" s="7">
        <f>SUM(G339:G339)</f>
        <v>84.1</v>
      </c>
      <c r="H338" s="192"/>
      <c r="I338" s="193"/>
      <c r="J338" s="193"/>
      <c r="K338" s="193"/>
      <c r="L338" s="193"/>
      <c r="M338" s="193"/>
      <c r="N338" s="193"/>
      <c r="O338" s="193"/>
      <c r="P338" s="193"/>
      <c r="Q338" s="193"/>
      <c r="R338" s="193"/>
      <c r="S338" s="194"/>
    </row>
    <row r="339" spans="1:24" ht="34.5" customHeight="1" thickBot="1" x14ac:dyDescent="0.3">
      <c r="A339" s="8" t="s">
        <v>607</v>
      </c>
      <c r="B339" s="174" t="s">
        <v>608</v>
      </c>
      <c r="C339" s="175"/>
      <c r="D339" s="176"/>
      <c r="E339" s="11">
        <f>E340+E345+E351</f>
        <v>209</v>
      </c>
      <c r="F339" s="11">
        <f>F340+F345+F351</f>
        <v>209</v>
      </c>
      <c r="G339" s="11">
        <f>G340+G345+G351</f>
        <v>84.1</v>
      </c>
      <c r="H339" s="177"/>
      <c r="I339" s="178"/>
      <c r="J339" s="178"/>
      <c r="K339" s="178"/>
      <c r="L339" s="178"/>
      <c r="M339" s="178"/>
      <c r="N339" s="178"/>
      <c r="O339" s="178"/>
      <c r="P339" s="178"/>
      <c r="Q339" s="178"/>
      <c r="R339" s="178"/>
      <c r="S339" s="179"/>
      <c r="V339" s="110"/>
      <c r="W339" s="111" t="s">
        <v>1</v>
      </c>
      <c r="X339" s="111" t="s">
        <v>1813</v>
      </c>
    </row>
    <row r="340" spans="1:24" ht="49.5" customHeight="1" thickBot="1" x14ac:dyDescent="0.3">
      <c r="A340" s="12" t="s">
        <v>609</v>
      </c>
      <c r="B340" s="168" t="s">
        <v>610</v>
      </c>
      <c r="C340" s="169"/>
      <c r="D340" s="170"/>
      <c r="E340" s="15">
        <f>SUM(E341:E344)</f>
        <v>68.8</v>
      </c>
      <c r="F340" s="15">
        <f>SUM(F341:F344)</f>
        <v>93.8</v>
      </c>
      <c r="G340" s="15">
        <f>SUM(G341:G344)</f>
        <v>26.2</v>
      </c>
      <c r="H340" s="171"/>
      <c r="I340" s="172"/>
      <c r="J340" s="172"/>
      <c r="K340" s="172"/>
      <c r="L340" s="172"/>
      <c r="M340" s="172"/>
      <c r="N340" s="172"/>
      <c r="O340" s="172"/>
      <c r="P340" s="172"/>
      <c r="Q340" s="172"/>
      <c r="R340" s="172"/>
      <c r="S340" s="173"/>
      <c r="V340" s="117"/>
      <c r="W340" s="112" t="s">
        <v>1814</v>
      </c>
      <c r="X340" s="113">
        <v>5</v>
      </c>
    </row>
    <row r="341" spans="1:24" ht="181.5" customHeight="1" thickBot="1" x14ac:dyDescent="0.3">
      <c r="A341" s="19" t="s">
        <v>612</v>
      </c>
      <c r="B341" s="20" t="s">
        <v>613</v>
      </c>
      <c r="C341" s="21" t="s">
        <v>523</v>
      </c>
      <c r="D341" s="21" t="s">
        <v>25</v>
      </c>
      <c r="E341" s="33">
        <v>55</v>
      </c>
      <c r="F341" s="33">
        <v>55</v>
      </c>
      <c r="G341" s="33">
        <v>16.5</v>
      </c>
      <c r="H341" s="21" t="s">
        <v>611</v>
      </c>
      <c r="I341" s="23" t="s">
        <v>21</v>
      </c>
      <c r="J341" s="50">
        <v>50</v>
      </c>
      <c r="K341" s="66">
        <v>157</v>
      </c>
      <c r="L341" s="24" t="s">
        <v>237</v>
      </c>
      <c r="M341" s="24" t="s">
        <v>23</v>
      </c>
      <c r="N341" s="24" t="s">
        <v>237</v>
      </c>
      <c r="O341" s="24" t="s">
        <v>23</v>
      </c>
      <c r="P341" s="24"/>
      <c r="Q341" s="24"/>
      <c r="R341" s="21" t="s">
        <v>1665</v>
      </c>
      <c r="S341" s="25" t="s">
        <v>1664</v>
      </c>
      <c r="V341" s="118"/>
      <c r="W341" s="112" t="s">
        <v>1815</v>
      </c>
      <c r="X341" s="113"/>
    </row>
    <row r="342" spans="1:24" ht="157.5" customHeight="1" thickBot="1" x14ac:dyDescent="0.3">
      <c r="A342" s="19" t="s">
        <v>614</v>
      </c>
      <c r="B342" s="20" t="s">
        <v>615</v>
      </c>
      <c r="C342" s="21" t="s">
        <v>523</v>
      </c>
      <c r="D342" s="21" t="s">
        <v>25</v>
      </c>
      <c r="E342" s="33">
        <v>10</v>
      </c>
      <c r="F342" s="33">
        <v>35</v>
      </c>
      <c r="G342" s="33">
        <v>9.6999999999999993</v>
      </c>
      <c r="H342" s="21" t="s">
        <v>616</v>
      </c>
      <c r="I342" s="23" t="s">
        <v>215</v>
      </c>
      <c r="J342" s="50">
        <v>100</v>
      </c>
      <c r="K342" s="66">
        <v>100</v>
      </c>
      <c r="L342" s="24" t="s">
        <v>42</v>
      </c>
      <c r="M342" s="24" t="s">
        <v>23</v>
      </c>
      <c r="N342" s="24" t="s">
        <v>42</v>
      </c>
      <c r="O342" s="24" t="s">
        <v>23</v>
      </c>
      <c r="P342" s="24"/>
      <c r="Q342" s="24"/>
      <c r="R342" s="21" t="s">
        <v>617</v>
      </c>
      <c r="S342" s="25" t="s">
        <v>618</v>
      </c>
      <c r="V342" s="116"/>
      <c r="W342" s="112" t="s">
        <v>1816</v>
      </c>
      <c r="X342" s="113">
        <v>2</v>
      </c>
    </row>
    <row r="343" spans="1:24" ht="74.25" customHeight="1" thickBot="1" x14ac:dyDescent="0.3">
      <c r="A343" s="19" t="s">
        <v>619</v>
      </c>
      <c r="B343" s="20" t="s">
        <v>620</v>
      </c>
      <c r="C343" s="21" t="s">
        <v>207</v>
      </c>
      <c r="D343" s="21" t="s">
        <v>25</v>
      </c>
      <c r="E343" s="33">
        <v>3.8</v>
      </c>
      <c r="F343" s="33">
        <v>3.8</v>
      </c>
      <c r="G343" s="33">
        <v>0</v>
      </c>
      <c r="H343" s="21" t="s">
        <v>621</v>
      </c>
      <c r="I343" s="23" t="s">
        <v>21</v>
      </c>
      <c r="J343" s="50">
        <v>3</v>
      </c>
      <c r="K343" s="63">
        <v>0</v>
      </c>
      <c r="L343" s="24" t="s">
        <v>23</v>
      </c>
      <c r="M343" s="24" t="s">
        <v>23</v>
      </c>
      <c r="N343" s="24" t="s">
        <v>23</v>
      </c>
      <c r="O343" s="24" t="s">
        <v>23</v>
      </c>
      <c r="P343" s="24"/>
      <c r="Q343" s="24"/>
      <c r="R343" s="21"/>
      <c r="S343" s="25" t="s">
        <v>1666</v>
      </c>
      <c r="V343" s="114"/>
      <c r="W343" s="119" t="s">
        <v>1817</v>
      </c>
      <c r="X343" s="115">
        <v>7</v>
      </c>
    </row>
    <row r="344" spans="1:24" ht="60.75" hidden="1" thickBot="1" x14ac:dyDescent="0.3">
      <c r="A344" s="19" t="s">
        <v>622</v>
      </c>
      <c r="B344" s="20" t="s">
        <v>623</v>
      </c>
      <c r="C344" s="21" t="s">
        <v>523</v>
      </c>
      <c r="D344" s="21" t="s">
        <v>25</v>
      </c>
      <c r="E344" s="33">
        <v>0</v>
      </c>
      <c r="F344" s="33">
        <v>0</v>
      </c>
      <c r="G344" s="33">
        <v>0</v>
      </c>
      <c r="H344" s="21"/>
      <c r="I344" s="23"/>
      <c r="J344" s="46"/>
      <c r="K344" s="46"/>
      <c r="L344" s="24"/>
      <c r="M344" s="24"/>
      <c r="N344" s="24"/>
      <c r="O344" s="24"/>
      <c r="P344" s="24"/>
      <c r="Q344" s="24"/>
      <c r="R344" s="21"/>
      <c r="S344" s="25"/>
    </row>
    <row r="345" spans="1:24" ht="38.25" customHeight="1" thickBot="1" x14ac:dyDescent="0.3">
      <c r="A345" s="12" t="s">
        <v>624</v>
      </c>
      <c r="B345" s="168" t="s">
        <v>625</v>
      </c>
      <c r="C345" s="169"/>
      <c r="D345" s="170"/>
      <c r="E345" s="15">
        <f>SUM(E346:E348)</f>
        <v>138</v>
      </c>
      <c r="F345" s="15">
        <f>SUM(F346:F348)</f>
        <v>113</v>
      </c>
      <c r="G345" s="15">
        <f>SUM(G346:G348)</f>
        <v>57.1</v>
      </c>
      <c r="H345" s="171"/>
      <c r="I345" s="172"/>
      <c r="J345" s="172"/>
      <c r="K345" s="172"/>
      <c r="L345" s="172"/>
      <c r="M345" s="172"/>
      <c r="N345" s="172"/>
      <c r="O345" s="172"/>
      <c r="P345" s="172"/>
      <c r="Q345" s="172"/>
      <c r="R345" s="172"/>
      <c r="S345" s="173"/>
    </row>
    <row r="346" spans="1:24" ht="135.75" thickBot="1" x14ac:dyDescent="0.3">
      <c r="A346" s="19" t="s">
        <v>626</v>
      </c>
      <c r="B346" s="20" t="s">
        <v>627</v>
      </c>
      <c r="C346" s="21" t="s">
        <v>523</v>
      </c>
      <c r="D346" s="21" t="s">
        <v>25</v>
      </c>
      <c r="E346" s="33">
        <v>70</v>
      </c>
      <c r="F346" s="33">
        <v>70</v>
      </c>
      <c r="G346" s="33">
        <v>52.5</v>
      </c>
      <c r="H346" s="21" t="s">
        <v>628</v>
      </c>
      <c r="I346" s="23" t="s">
        <v>215</v>
      </c>
      <c r="J346" s="50">
        <v>100</v>
      </c>
      <c r="K346" s="66">
        <v>100</v>
      </c>
      <c r="L346" s="24" t="s">
        <v>42</v>
      </c>
      <c r="M346" s="24" t="s">
        <v>23</v>
      </c>
      <c r="N346" s="24" t="s">
        <v>42</v>
      </c>
      <c r="O346" s="24" t="s">
        <v>23</v>
      </c>
      <c r="P346" s="24"/>
      <c r="Q346" s="24"/>
      <c r="R346" s="21" t="s">
        <v>1667</v>
      </c>
      <c r="S346" s="25"/>
    </row>
    <row r="347" spans="1:24" ht="99.75" customHeight="1" thickBot="1" x14ac:dyDescent="0.3">
      <c r="A347" s="19" t="s">
        <v>629</v>
      </c>
      <c r="B347" s="20" t="s">
        <v>630</v>
      </c>
      <c r="C347" s="21" t="s">
        <v>523</v>
      </c>
      <c r="D347" s="21" t="s">
        <v>25</v>
      </c>
      <c r="E347" s="33">
        <v>50</v>
      </c>
      <c r="F347" s="33">
        <v>25</v>
      </c>
      <c r="G347" s="33">
        <v>4.5999999999999996</v>
      </c>
      <c r="H347" s="21" t="s">
        <v>631</v>
      </c>
      <c r="I347" s="23" t="s">
        <v>215</v>
      </c>
      <c r="J347" s="50">
        <v>100</v>
      </c>
      <c r="K347" s="66">
        <v>100</v>
      </c>
      <c r="L347" s="24" t="s">
        <v>42</v>
      </c>
      <c r="M347" s="24" t="s">
        <v>23</v>
      </c>
      <c r="N347" s="24" t="s">
        <v>42</v>
      </c>
      <c r="O347" s="24" t="s">
        <v>23</v>
      </c>
      <c r="P347" s="24"/>
      <c r="Q347" s="24"/>
      <c r="R347" s="21" t="s">
        <v>1668</v>
      </c>
      <c r="S347" s="25"/>
    </row>
    <row r="348" spans="1:24" ht="34.5" customHeight="1" x14ac:dyDescent="0.25">
      <c r="A348" s="200" t="s">
        <v>632</v>
      </c>
      <c r="B348" s="187" t="s">
        <v>633</v>
      </c>
      <c r="C348" s="187" t="s">
        <v>207</v>
      </c>
      <c r="D348" s="51"/>
      <c r="E348" s="52">
        <f>SUM(E349:E350)</f>
        <v>18</v>
      </c>
      <c r="F348" s="52">
        <f>SUM(F349:F350)</f>
        <v>18</v>
      </c>
      <c r="G348" s="52">
        <f>SUM(G349:G350)</f>
        <v>0</v>
      </c>
      <c r="H348" s="187" t="s">
        <v>634</v>
      </c>
      <c r="I348" s="181" t="s">
        <v>21</v>
      </c>
      <c r="J348" s="183">
        <v>2</v>
      </c>
      <c r="K348" s="198">
        <v>0</v>
      </c>
      <c r="L348" s="24" t="s">
        <v>23</v>
      </c>
      <c r="M348" s="24" t="s">
        <v>23</v>
      </c>
      <c r="N348" s="24" t="s">
        <v>23</v>
      </c>
      <c r="O348" s="24" t="s">
        <v>23</v>
      </c>
      <c r="P348" s="24"/>
      <c r="Q348" s="24"/>
      <c r="R348" s="187" t="s">
        <v>635</v>
      </c>
      <c r="S348" s="189" t="s">
        <v>1669</v>
      </c>
    </row>
    <row r="349" spans="1:24" ht="33.75" customHeight="1" x14ac:dyDescent="0.25">
      <c r="A349" s="201"/>
      <c r="B349" s="203"/>
      <c r="C349" s="203"/>
      <c r="D349" s="28" t="s">
        <v>217</v>
      </c>
      <c r="E349" s="29">
        <v>14</v>
      </c>
      <c r="F349" s="29">
        <v>14</v>
      </c>
      <c r="G349" s="29">
        <v>0</v>
      </c>
      <c r="H349" s="203"/>
      <c r="I349" s="204"/>
      <c r="J349" s="205"/>
      <c r="K349" s="221"/>
      <c r="L349" s="31"/>
      <c r="M349" s="31"/>
      <c r="N349" s="31"/>
      <c r="O349" s="31"/>
      <c r="P349" s="31"/>
      <c r="Q349" s="31"/>
      <c r="R349" s="203"/>
      <c r="S349" s="191"/>
    </row>
    <row r="350" spans="1:24" ht="57" customHeight="1" thickBot="1" x14ac:dyDescent="0.3">
      <c r="A350" s="202"/>
      <c r="B350" s="188"/>
      <c r="C350" s="188"/>
      <c r="D350" s="28" t="s">
        <v>25</v>
      </c>
      <c r="E350" s="29">
        <v>4</v>
      </c>
      <c r="F350" s="29">
        <v>4</v>
      </c>
      <c r="G350" s="29">
        <v>0</v>
      </c>
      <c r="H350" s="188"/>
      <c r="I350" s="182"/>
      <c r="J350" s="184"/>
      <c r="K350" s="199"/>
      <c r="L350" s="31"/>
      <c r="M350" s="31"/>
      <c r="N350" s="31"/>
      <c r="O350" s="31"/>
      <c r="P350" s="31"/>
      <c r="Q350" s="31"/>
      <c r="R350" s="188"/>
      <c r="S350" s="190"/>
    </row>
    <row r="351" spans="1:24" ht="34.5" customHeight="1" thickBot="1" x14ac:dyDescent="0.3">
      <c r="A351" s="12" t="s">
        <v>636</v>
      </c>
      <c r="B351" s="168" t="s">
        <v>637</v>
      </c>
      <c r="C351" s="169"/>
      <c r="D351" s="170"/>
      <c r="E351" s="15">
        <f>SUM(E352:E352)</f>
        <v>2.2000000000000002</v>
      </c>
      <c r="F351" s="15">
        <f>SUM(F352:F352)</f>
        <v>2.2000000000000002</v>
      </c>
      <c r="G351" s="15">
        <f>SUM(G352:G352)</f>
        <v>0.8</v>
      </c>
      <c r="H351" s="171"/>
      <c r="I351" s="172"/>
      <c r="J351" s="172"/>
      <c r="K351" s="172"/>
      <c r="L351" s="172"/>
      <c r="M351" s="172"/>
      <c r="N351" s="172"/>
      <c r="O351" s="172"/>
      <c r="P351" s="172"/>
      <c r="Q351" s="172"/>
      <c r="R351" s="172"/>
      <c r="S351" s="173"/>
    </row>
    <row r="352" spans="1:24" ht="119.25" customHeight="1" thickBot="1" x14ac:dyDescent="0.3">
      <c r="A352" s="19" t="s">
        <v>638</v>
      </c>
      <c r="B352" s="20" t="s">
        <v>639</v>
      </c>
      <c r="C352" s="21" t="s">
        <v>523</v>
      </c>
      <c r="D352" s="21" t="s">
        <v>25</v>
      </c>
      <c r="E352" s="33">
        <v>2.2000000000000002</v>
      </c>
      <c r="F352" s="33">
        <v>2.2000000000000002</v>
      </c>
      <c r="G352" s="33">
        <v>0.8</v>
      </c>
      <c r="H352" s="21" t="s">
        <v>640</v>
      </c>
      <c r="I352" s="23" t="s">
        <v>215</v>
      </c>
      <c r="J352" s="50">
        <v>100</v>
      </c>
      <c r="K352" s="66">
        <v>100</v>
      </c>
      <c r="L352" s="24" t="s">
        <v>42</v>
      </c>
      <c r="M352" s="24" t="s">
        <v>23</v>
      </c>
      <c r="N352" s="24" t="s">
        <v>42</v>
      </c>
      <c r="O352" s="24" t="s">
        <v>23</v>
      </c>
      <c r="P352" s="24"/>
      <c r="Q352" s="24"/>
      <c r="R352" s="21" t="s">
        <v>641</v>
      </c>
      <c r="S352" s="25" t="s">
        <v>642</v>
      </c>
    </row>
    <row r="353" spans="1:24" ht="23.25" customHeight="1" thickBot="1" x14ac:dyDescent="0.3">
      <c r="A353" s="4" t="s">
        <v>643</v>
      </c>
      <c r="B353" s="195" t="s">
        <v>644</v>
      </c>
      <c r="C353" s="196"/>
      <c r="D353" s="197"/>
      <c r="E353" s="7">
        <f>E354+E382+E407</f>
        <v>6854.4</v>
      </c>
      <c r="F353" s="7">
        <f>F354+F382+F407</f>
        <v>7143.4</v>
      </c>
      <c r="G353" s="7">
        <f>G354+G382+G407</f>
        <v>6724.2000000000007</v>
      </c>
      <c r="H353" s="192"/>
      <c r="I353" s="193"/>
      <c r="J353" s="193"/>
      <c r="K353" s="193"/>
      <c r="L353" s="193"/>
      <c r="M353" s="193"/>
      <c r="N353" s="193"/>
      <c r="O353" s="193"/>
      <c r="P353" s="193"/>
      <c r="Q353" s="193"/>
      <c r="R353" s="193"/>
      <c r="S353" s="194"/>
    </row>
    <row r="354" spans="1:24" ht="37.5" customHeight="1" thickBot="1" x14ac:dyDescent="0.3">
      <c r="A354" s="8" t="s">
        <v>646</v>
      </c>
      <c r="B354" s="174" t="s">
        <v>647</v>
      </c>
      <c r="C354" s="175"/>
      <c r="D354" s="176"/>
      <c r="E354" s="11">
        <f>E355+E370+E374</f>
        <v>6311</v>
      </c>
      <c r="F354" s="11">
        <f>F355+F370+F374-0.1</f>
        <v>6379.7</v>
      </c>
      <c r="G354" s="11">
        <f>G355+G370+G374</f>
        <v>6094.8</v>
      </c>
      <c r="H354" s="177"/>
      <c r="I354" s="178"/>
      <c r="J354" s="178"/>
      <c r="K354" s="178"/>
      <c r="L354" s="178"/>
      <c r="M354" s="178"/>
      <c r="N354" s="178"/>
      <c r="O354" s="178"/>
      <c r="P354" s="178"/>
      <c r="Q354" s="178"/>
      <c r="R354" s="178"/>
      <c r="S354" s="179"/>
      <c r="V354" s="110"/>
      <c r="W354" s="111" t="s">
        <v>1</v>
      </c>
      <c r="X354" s="111" t="s">
        <v>1813</v>
      </c>
    </row>
    <row r="355" spans="1:24" ht="51.75" customHeight="1" thickBot="1" x14ac:dyDescent="0.3">
      <c r="A355" s="12" t="s">
        <v>648</v>
      </c>
      <c r="B355" s="168" t="s">
        <v>649</v>
      </c>
      <c r="C355" s="169"/>
      <c r="D355" s="170"/>
      <c r="E355" s="15">
        <f>E356+E363+E367</f>
        <v>1010.7</v>
      </c>
      <c r="F355" s="15">
        <f>F356+F363+F367</f>
        <v>989.4</v>
      </c>
      <c r="G355" s="15">
        <f>G356+G363+G367</f>
        <v>947.3</v>
      </c>
      <c r="H355" s="171"/>
      <c r="I355" s="172"/>
      <c r="J355" s="172"/>
      <c r="K355" s="172"/>
      <c r="L355" s="172"/>
      <c r="M355" s="172"/>
      <c r="N355" s="172"/>
      <c r="O355" s="172"/>
      <c r="P355" s="172"/>
      <c r="Q355" s="172"/>
      <c r="R355" s="172"/>
      <c r="S355" s="173"/>
      <c r="V355" s="117"/>
      <c r="W355" s="112" t="s">
        <v>1814</v>
      </c>
      <c r="X355" s="113">
        <v>4</v>
      </c>
    </row>
    <row r="356" spans="1:24" ht="65.25" customHeight="1" x14ac:dyDescent="0.25">
      <c r="A356" s="200" t="s">
        <v>650</v>
      </c>
      <c r="B356" s="187" t="s">
        <v>651</v>
      </c>
      <c r="C356" s="187" t="s">
        <v>645</v>
      </c>
      <c r="D356" s="51"/>
      <c r="E356" s="52">
        <f>SUM(E357:E362)</f>
        <v>160.69999999999999</v>
      </c>
      <c r="F356" s="52">
        <f>SUM(F357:F362)</f>
        <v>149.4</v>
      </c>
      <c r="G356" s="52">
        <f>SUM(G357:G362)</f>
        <v>142.19999999999999</v>
      </c>
      <c r="H356" s="21" t="s">
        <v>652</v>
      </c>
      <c r="I356" s="23" t="s">
        <v>653</v>
      </c>
      <c r="J356" s="50">
        <v>2500</v>
      </c>
      <c r="K356" s="67">
        <v>2162</v>
      </c>
      <c r="L356" s="24" t="s">
        <v>654</v>
      </c>
      <c r="M356" s="24" t="s">
        <v>23</v>
      </c>
      <c r="N356" s="24" t="s">
        <v>655</v>
      </c>
      <c r="O356" s="24" t="s">
        <v>23</v>
      </c>
      <c r="P356" s="24"/>
      <c r="Q356" s="24"/>
      <c r="R356" s="21" t="s">
        <v>656</v>
      </c>
      <c r="S356" s="25" t="s">
        <v>1670</v>
      </c>
      <c r="V356" s="118"/>
      <c r="W356" s="112" t="s">
        <v>1815</v>
      </c>
      <c r="X356" s="113">
        <v>8</v>
      </c>
    </row>
    <row r="357" spans="1:24" ht="65.25" customHeight="1" x14ac:dyDescent="0.25">
      <c r="A357" s="201"/>
      <c r="B357" s="203"/>
      <c r="C357" s="203"/>
      <c r="D357" s="28" t="s">
        <v>25</v>
      </c>
      <c r="E357" s="29">
        <v>138.5</v>
      </c>
      <c r="F357" s="29">
        <v>127.2</v>
      </c>
      <c r="G357" s="29">
        <v>120</v>
      </c>
      <c r="H357" s="28" t="s">
        <v>657</v>
      </c>
      <c r="I357" s="30" t="s">
        <v>653</v>
      </c>
      <c r="J357" s="62">
        <v>40000</v>
      </c>
      <c r="K357" s="68">
        <v>14399</v>
      </c>
      <c r="L357" s="31" t="s">
        <v>659</v>
      </c>
      <c r="M357" s="31" t="s">
        <v>23</v>
      </c>
      <c r="N357" s="31" t="s">
        <v>660</v>
      </c>
      <c r="O357" s="31" t="s">
        <v>23</v>
      </c>
      <c r="P357" s="31"/>
      <c r="Q357" s="31"/>
      <c r="R357" s="28" t="s">
        <v>661</v>
      </c>
      <c r="S357" s="32" t="s">
        <v>1671</v>
      </c>
      <c r="V357" s="116"/>
      <c r="W357" s="112" t="s">
        <v>1816</v>
      </c>
      <c r="X357" s="113">
        <v>1</v>
      </c>
    </row>
    <row r="358" spans="1:24" ht="81.75" customHeight="1" x14ac:dyDescent="0.25">
      <c r="A358" s="201"/>
      <c r="B358" s="203"/>
      <c r="C358" s="203"/>
      <c r="D358" s="28" t="s">
        <v>201</v>
      </c>
      <c r="E358" s="29">
        <v>22.2</v>
      </c>
      <c r="F358" s="29">
        <v>0</v>
      </c>
      <c r="G358" s="29">
        <v>0</v>
      </c>
      <c r="H358" s="28" t="s">
        <v>662</v>
      </c>
      <c r="I358" s="30" t="s">
        <v>653</v>
      </c>
      <c r="J358" s="62">
        <v>715</v>
      </c>
      <c r="K358" s="68">
        <v>463</v>
      </c>
      <c r="L358" s="31" t="s">
        <v>663</v>
      </c>
      <c r="M358" s="31" t="s">
        <v>23</v>
      </c>
      <c r="N358" s="31" t="s">
        <v>664</v>
      </c>
      <c r="O358" s="31" t="s">
        <v>23</v>
      </c>
      <c r="P358" s="31"/>
      <c r="Q358" s="31"/>
      <c r="R358" s="28" t="s">
        <v>665</v>
      </c>
      <c r="S358" s="32" t="s">
        <v>1672</v>
      </c>
      <c r="V358" s="114"/>
      <c r="W358" s="119" t="s">
        <v>1817</v>
      </c>
      <c r="X358" s="115">
        <v>13</v>
      </c>
    </row>
    <row r="359" spans="1:24" ht="117.75" customHeight="1" x14ac:dyDescent="0.25">
      <c r="A359" s="201"/>
      <c r="B359" s="203"/>
      <c r="C359" s="203"/>
      <c r="D359" s="213" t="s">
        <v>192</v>
      </c>
      <c r="E359" s="256">
        <v>0</v>
      </c>
      <c r="F359" s="256">
        <v>22.2</v>
      </c>
      <c r="G359" s="256">
        <v>22.2</v>
      </c>
      <c r="H359" s="28" t="s">
        <v>666</v>
      </c>
      <c r="I359" s="30" t="s">
        <v>21</v>
      </c>
      <c r="J359" s="62">
        <v>7</v>
      </c>
      <c r="K359" s="65">
        <v>7</v>
      </c>
      <c r="L359" s="31" t="s">
        <v>127</v>
      </c>
      <c r="M359" s="31" t="s">
        <v>23</v>
      </c>
      <c r="N359" s="31" t="s">
        <v>127</v>
      </c>
      <c r="O359" s="31" t="s">
        <v>23</v>
      </c>
      <c r="P359" s="31"/>
      <c r="Q359" s="31"/>
      <c r="R359" s="28" t="s">
        <v>667</v>
      </c>
      <c r="S359" s="32" t="s">
        <v>1673</v>
      </c>
    </row>
    <row r="360" spans="1:24" ht="39.75" customHeight="1" x14ac:dyDescent="0.25">
      <c r="A360" s="201"/>
      <c r="B360" s="203"/>
      <c r="C360" s="203"/>
      <c r="D360" s="203"/>
      <c r="E360" s="275"/>
      <c r="F360" s="275"/>
      <c r="G360" s="275"/>
      <c r="H360" s="28" t="s">
        <v>668</v>
      </c>
      <c r="I360" s="30" t="s">
        <v>653</v>
      </c>
      <c r="J360" s="62">
        <v>135</v>
      </c>
      <c r="K360" s="68">
        <v>106</v>
      </c>
      <c r="L360" s="31" t="s">
        <v>669</v>
      </c>
      <c r="M360" s="31" t="s">
        <v>23</v>
      </c>
      <c r="N360" s="31" t="s">
        <v>670</v>
      </c>
      <c r="O360" s="31" t="s">
        <v>23</v>
      </c>
      <c r="P360" s="31"/>
      <c r="Q360" s="31"/>
      <c r="R360" s="28" t="s">
        <v>671</v>
      </c>
      <c r="S360" s="32" t="s">
        <v>1674</v>
      </c>
    </row>
    <row r="361" spans="1:24" ht="80.25" customHeight="1" x14ac:dyDescent="0.25">
      <c r="A361" s="201"/>
      <c r="B361" s="203"/>
      <c r="C361" s="203"/>
      <c r="D361" s="203"/>
      <c r="E361" s="275"/>
      <c r="F361" s="275"/>
      <c r="G361" s="275"/>
      <c r="H361" s="28" t="s">
        <v>672</v>
      </c>
      <c r="I361" s="30" t="s">
        <v>653</v>
      </c>
      <c r="J361" s="62">
        <v>149</v>
      </c>
      <c r="K361" s="68">
        <v>148</v>
      </c>
      <c r="L361" s="31" t="s">
        <v>673</v>
      </c>
      <c r="M361" s="31" t="s">
        <v>23</v>
      </c>
      <c r="N361" s="31" t="s">
        <v>674</v>
      </c>
      <c r="O361" s="31" t="s">
        <v>23</v>
      </c>
      <c r="P361" s="31"/>
      <c r="Q361" s="31"/>
      <c r="R361" s="28" t="s">
        <v>675</v>
      </c>
      <c r="S361" s="32" t="s">
        <v>1675</v>
      </c>
    </row>
    <row r="362" spans="1:24" ht="87.75" customHeight="1" thickBot="1" x14ac:dyDescent="0.3">
      <c r="A362" s="202"/>
      <c r="B362" s="188"/>
      <c r="C362" s="188"/>
      <c r="D362" s="188"/>
      <c r="E362" s="257"/>
      <c r="F362" s="257"/>
      <c r="G362" s="257"/>
      <c r="H362" s="28" t="s">
        <v>676</v>
      </c>
      <c r="I362" s="30" t="s">
        <v>653</v>
      </c>
      <c r="J362" s="62">
        <v>60</v>
      </c>
      <c r="K362" s="68">
        <v>7</v>
      </c>
      <c r="L362" s="31" t="s">
        <v>677</v>
      </c>
      <c r="M362" s="31" t="s">
        <v>23</v>
      </c>
      <c r="N362" s="31" t="s">
        <v>678</v>
      </c>
      <c r="O362" s="31" t="s">
        <v>23</v>
      </c>
      <c r="P362" s="31"/>
      <c r="Q362" s="31"/>
      <c r="R362" s="28" t="s">
        <v>679</v>
      </c>
      <c r="S362" s="32" t="s">
        <v>1676</v>
      </c>
    </row>
    <row r="363" spans="1:24" ht="116.25" customHeight="1" x14ac:dyDescent="0.25">
      <c r="A363" s="200" t="s">
        <v>680</v>
      </c>
      <c r="B363" s="187" t="s">
        <v>681</v>
      </c>
      <c r="C363" s="187" t="s">
        <v>645</v>
      </c>
      <c r="D363" s="187" t="s">
        <v>25</v>
      </c>
      <c r="E363" s="207">
        <f>SUM(E364:E366)+292</f>
        <v>292</v>
      </c>
      <c r="F363" s="207">
        <f>SUM(F364:F366)+292</f>
        <v>292</v>
      </c>
      <c r="G363" s="207">
        <f>SUM(G364:G366)+285.2</f>
        <v>285.2</v>
      </c>
      <c r="H363" s="21" t="s">
        <v>682</v>
      </c>
      <c r="I363" s="23" t="s">
        <v>653</v>
      </c>
      <c r="J363" s="50">
        <v>6</v>
      </c>
      <c r="K363" s="67">
        <v>5</v>
      </c>
      <c r="L363" s="24" t="s">
        <v>90</v>
      </c>
      <c r="M363" s="24" t="s">
        <v>23</v>
      </c>
      <c r="N363" s="24" t="s">
        <v>127</v>
      </c>
      <c r="O363" s="24" t="s">
        <v>23</v>
      </c>
      <c r="P363" s="24"/>
      <c r="Q363" s="24"/>
      <c r="R363" s="21" t="s">
        <v>683</v>
      </c>
      <c r="S363" s="25" t="s">
        <v>1677</v>
      </c>
    </row>
    <row r="364" spans="1:24" ht="199.5" customHeight="1" x14ac:dyDescent="0.25">
      <c r="A364" s="201"/>
      <c r="B364" s="203"/>
      <c r="C364" s="203"/>
      <c r="D364" s="203"/>
      <c r="E364" s="255"/>
      <c r="F364" s="255"/>
      <c r="G364" s="255"/>
      <c r="H364" s="28" t="s">
        <v>684</v>
      </c>
      <c r="I364" s="30" t="s">
        <v>653</v>
      </c>
      <c r="J364" s="62">
        <v>10</v>
      </c>
      <c r="K364" s="65">
        <v>11</v>
      </c>
      <c r="L364" s="31" t="s">
        <v>89</v>
      </c>
      <c r="M364" s="31" t="s">
        <v>23</v>
      </c>
      <c r="N364" s="31" t="s">
        <v>99</v>
      </c>
      <c r="O364" s="31" t="s">
        <v>23</v>
      </c>
      <c r="P364" s="31"/>
      <c r="Q364" s="31"/>
      <c r="R364" s="28" t="s">
        <v>685</v>
      </c>
      <c r="S364" s="32"/>
    </row>
    <row r="365" spans="1:24" ht="78" customHeight="1" x14ac:dyDescent="0.25">
      <c r="A365" s="201"/>
      <c r="B365" s="203"/>
      <c r="C365" s="203"/>
      <c r="D365" s="203"/>
      <c r="E365" s="255"/>
      <c r="F365" s="255"/>
      <c r="G365" s="255"/>
      <c r="H365" s="28" t="s">
        <v>686</v>
      </c>
      <c r="I365" s="30" t="s">
        <v>653</v>
      </c>
      <c r="J365" s="62">
        <v>2</v>
      </c>
      <c r="K365" s="65">
        <v>2</v>
      </c>
      <c r="L365" s="31" t="s">
        <v>34</v>
      </c>
      <c r="M365" s="31" t="s">
        <v>23</v>
      </c>
      <c r="N365" s="31" t="s">
        <v>34</v>
      </c>
      <c r="O365" s="31" t="s">
        <v>23</v>
      </c>
      <c r="P365" s="31"/>
      <c r="Q365" s="31"/>
      <c r="R365" s="28" t="s">
        <v>687</v>
      </c>
      <c r="S365" s="32"/>
    </row>
    <row r="366" spans="1:24" ht="110.25" customHeight="1" thickBot="1" x14ac:dyDescent="0.3">
      <c r="A366" s="202"/>
      <c r="B366" s="188"/>
      <c r="C366" s="188"/>
      <c r="D366" s="188"/>
      <c r="E366" s="208"/>
      <c r="F366" s="208"/>
      <c r="G366" s="208"/>
      <c r="H366" s="28" t="s">
        <v>688</v>
      </c>
      <c r="I366" s="30" t="s">
        <v>653</v>
      </c>
      <c r="J366" s="62">
        <v>8</v>
      </c>
      <c r="K366" s="68">
        <v>5</v>
      </c>
      <c r="L366" s="31" t="s">
        <v>128</v>
      </c>
      <c r="M366" s="31" t="s">
        <v>23</v>
      </c>
      <c r="N366" s="31" t="s">
        <v>129</v>
      </c>
      <c r="O366" s="31" t="s">
        <v>23</v>
      </c>
      <c r="P366" s="31"/>
      <c r="Q366" s="31"/>
      <c r="R366" s="28" t="s">
        <v>689</v>
      </c>
      <c r="S366" s="32" t="s">
        <v>1678</v>
      </c>
    </row>
    <row r="367" spans="1:24" ht="45" customHeight="1" x14ac:dyDescent="0.25">
      <c r="A367" s="200" t="s">
        <v>690</v>
      </c>
      <c r="B367" s="187" t="s">
        <v>691</v>
      </c>
      <c r="C367" s="187" t="s">
        <v>645</v>
      </c>
      <c r="D367" s="187" t="s">
        <v>25</v>
      </c>
      <c r="E367" s="207">
        <f>SUM(E368:E369)+558</f>
        <v>558</v>
      </c>
      <c r="F367" s="207">
        <f>SUM(F368:F369)+548</f>
        <v>548</v>
      </c>
      <c r="G367" s="207">
        <f>SUM(G368:G369)+519.9</f>
        <v>519.9</v>
      </c>
      <c r="H367" s="21" t="s">
        <v>657</v>
      </c>
      <c r="I367" s="23" t="s">
        <v>653</v>
      </c>
      <c r="J367" s="50">
        <v>2500</v>
      </c>
      <c r="K367" s="67">
        <v>1482</v>
      </c>
      <c r="L367" s="24" t="s">
        <v>692</v>
      </c>
      <c r="M367" s="24" t="s">
        <v>23</v>
      </c>
      <c r="N367" s="24" t="s">
        <v>693</v>
      </c>
      <c r="O367" s="24" t="s">
        <v>23</v>
      </c>
      <c r="P367" s="24"/>
      <c r="Q367" s="24"/>
      <c r="R367" s="21" t="s">
        <v>694</v>
      </c>
      <c r="S367" s="25" t="s">
        <v>1679</v>
      </c>
    </row>
    <row r="368" spans="1:24" ht="58.5" customHeight="1" x14ac:dyDescent="0.25">
      <c r="A368" s="201"/>
      <c r="B368" s="203"/>
      <c r="C368" s="203"/>
      <c r="D368" s="203"/>
      <c r="E368" s="255"/>
      <c r="F368" s="255"/>
      <c r="G368" s="255"/>
      <c r="H368" s="28" t="s">
        <v>695</v>
      </c>
      <c r="I368" s="30" t="s">
        <v>653</v>
      </c>
      <c r="J368" s="62">
        <v>93000</v>
      </c>
      <c r="K368" s="68">
        <v>20372</v>
      </c>
      <c r="L368" s="31" t="s">
        <v>696</v>
      </c>
      <c r="M368" s="31" t="s">
        <v>23</v>
      </c>
      <c r="N368" s="31" t="s">
        <v>697</v>
      </c>
      <c r="O368" s="31" t="s">
        <v>23</v>
      </c>
      <c r="P368" s="31"/>
      <c r="Q368" s="31"/>
      <c r="R368" s="28" t="s">
        <v>698</v>
      </c>
      <c r="S368" s="32" t="s">
        <v>1680</v>
      </c>
    </row>
    <row r="369" spans="1:19" ht="110.25" customHeight="1" thickBot="1" x14ac:dyDescent="0.3">
      <c r="A369" s="202"/>
      <c r="B369" s="188"/>
      <c r="C369" s="188"/>
      <c r="D369" s="188"/>
      <c r="E369" s="208"/>
      <c r="F369" s="208"/>
      <c r="G369" s="208"/>
      <c r="H369" s="28" t="s">
        <v>699</v>
      </c>
      <c r="I369" s="30" t="s">
        <v>653</v>
      </c>
      <c r="J369" s="62">
        <v>8</v>
      </c>
      <c r="K369" s="68">
        <v>4</v>
      </c>
      <c r="L369" s="31" t="s">
        <v>90</v>
      </c>
      <c r="M369" s="31" t="s">
        <v>23</v>
      </c>
      <c r="N369" s="31" t="s">
        <v>90</v>
      </c>
      <c r="O369" s="31" t="s">
        <v>23</v>
      </c>
      <c r="P369" s="31"/>
      <c r="Q369" s="31"/>
      <c r="R369" s="28" t="s">
        <v>700</v>
      </c>
      <c r="S369" s="32" t="s">
        <v>1681</v>
      </c>
    </row>
    <row r="370" spans="1:19" ht="33" customHeight="1" thickBot="1" x14ac:dyDescent="0.3">
      <c r="A370" s="12" t="s">
        <v>701</v>
      </c>
      <c r="B370" s="168" t="s">
        <v>702</v>
      </c>
      <c r="C370" s="169"/>
      <c r="D370" s="170"/>
      <c r="E370" s="15">
        <f>SUM(E371:E372)</f>
        <v>49.8</v>
      </c>
      <c r="F370" s="15">
        <f>SUM(F371:F372)</f>
        <v>49.8</v>
      </c>
      <c r="G370" s="15">
        <f>SUM(G371:G372)</f>
        <v>38</v>
      </c>
      <c r="H370" s="171"/>
      <c r="I370" s="172"/>
      <c r="J370" s="172"/>
      <c r="K370" s="172"/>
      <c r="L370" s="172"/>
      <c r="M370" s="172"/>
      <c r="N370" s="172"/>
      <c r="O370" s="172"/>
      <c r="P370" s="172"/>
      <c r="Q370" s="172"/>
      <c r="R370" s="172"/>
      <c r="S370" s="173"/>
    </row>
    <row r="371" spans="1:19" ht="102.75" customHeight="1" thickBot="1" x14ac:dyDescent="0.3">
      <c r="A371" s="19" t="s">
        <v>703</v>
      </c>
      <c r="B371" s="20" t="s">
        <v>704</v>
      </c>
      <c r="C371" s="21" t="s">
        <v>645</v>
      </c>
      <c r="D371" s="21" t="s">
        <v>25</v>
      </c>
      <c r="E371" s="33">
        <v>34.799999999999997</v>
      </c>
      <c r="F371" s="33">
        <v>34.799999999999997</v>
      </c>
      <c r="G371" s="33">
        <v>34.799999999999997</v>
      </c>
      <c r="H371" s="21" t="s">
        <v>705</v>
      </c>
      <c r="I371" s="23" t="s">
        <v>653</v>
      </c>
      <c r="J371" s="50">
        <v>10</v>
      </c>
      <c r="K371" s="66">
        <v>10</v>
      </c>
      <c r="L371" s="24" t="s">
        <v>89</v>
      </c>
      <c r="M371" s="24" t="s">
        <v>23</v>
      </c>
      <c r="N371" s="24" t="s">
        <v>89</v>
      </c>
      <c r="O371" s="24" t="s">
        <v>23</v>
      </c>
      <c r="P371" s="24"/>
      <c r="Q371" s="24"/>
      <c r="R371" s="21" t="s">
        <v>706</v>
      </c>
      <c r="S371" s="25"/>
    </row>
    <row r="372" spans="1:19" ht="87.75" customHeight="1" x14ac:dyDescent="0.25">
      <c r="A372" s="200" t="s">
        <v>707</v>
      </c>
      <c r="B372" s="187" t="s">
        <v>708</v>
      </c>
      <c r="C372" s="187" t="s">
        <v>645</v>
      </c>
      <c r="D372" s="187" t="s">
        <v>25</v>
      </c>
      <c r="E372" s="207">
        <f>SUM(E373:E373)+15</f>
        <v>15</v>
      </c>
      <c r="F372" s="207">
        <f>SUM(F373:F373)+15</f>
        <v>15</v>
      </c>
      <c r="G372" s="207">
        <f>SUM(G373:G373)+3.2</f>
        <v>3.2</v>
      </c>
      <c r="H372" s="21" t="s">
        <v>709</v>
      </c>
      <c r="I372" s="23" t="s">
        <v>215</v>
      </c>
      <c r="J372" s="50">
        <v>1.3</v>
      </c>
      <c r="K372" s="67">
        <v>0.1</v>
      </c>
      <c r="L372" s="24" t="s">
        <v>304</v>
      </c>
      <c r="M372" s="24" t="s">
        <v>23</v>
      </c>
      <c r="N372" s="24" t="s">
        <v>304</v>
      </c>
      <c r="O372" s="24" t="s">
        <v>23</v>
      </c>
      <c r="P372" s="24"/>
      <c r="Q372" s="24"/>
      <c r="R372" s="21" t="s">
        <v>710</v>
      </c>
      <c r="S372" s="189" t="s">
        <v>1682</v>
      </c>
    </row>
    <row r="373" spans="1:19" ht="75.75" thickBot="1" x14ac:dyDescent="0.3">
      <c r="A373" s="202"/>
      <c r="B373" s="188"/>
      <c r="C373" s="188"/>
      <c r="D373" s="188"/>
      <c r="E373" s="208"/>
      <c r="F373" s="208"/>
      <c r="G373" s="208"/>
      <c r="H373" s="28" t="s">
        <v>711</v>
      </c>
      <c r="I373" s="30" t="s">
        <v>215</v>
      </c>
      <c r="J373" s="62">
        <v>10</v>
      </c>
      <c r="K373" s="68">
        <v>2</v>
      </c>
      <c r="L373" s="31" t="s">
        <v>712</v>
      </c>
      <c r="M373" s="31" t="s">
        <v>23</v>
      </c>
      <c r="N373" s="31" t="s">
        <v>712</v>
      </c>
      <c r="O373" s="31" t="s">
        <v>23</v>
      </c>
      <c r="P373" s="31"/>
      <c r="Q373" s="31"/>
      <c r="R373" s="28" t="s">
        <v>713</v>
      </c>
      <c r="S373" s="190"/>
    </row>
    <row r="374" spans="1:19" ht="39.75" customHeight="1" thickBot="1" x14ac:dyDescent="0.3">
      <c r="A374" s="12" t="s">
        <v>714</v>
      </c>
      <c r="B374" s="168" t="s">
        <v>715</v>
      </c>
      <c r="C374" s="169"/>
      <c r="D374" s="170"/>
      <c r="E374" s="15">
        <f>SUM(E375:E375)</f>
        <v>5250.5</v>
      </c>
      <c r="F374" s="15">
        <f>SUM(F375:F375)</f>
        <v>5340.6</v>
      </c>
      <c r="G374" s="15">
        <f>SUM(G375:G375)</f>
        <v>5109.5</v>
      </c>
      <c r="H374" s="171"/>
      <c r="I374" s="172"/>
      <c r="J374" s="172"/>
      <c r="K374" s="172"/>
      <c r="L374" s="172"/>
      <c r="M374" s="172"/>
      <c r="N374" s="172"/>
      <c r="O374" s="172"/>
      <c r="P374" s="172"/>
      <c r="Q374" s="172"/>
      <c r="R374" s="172"/>
      <c r="S374" s="173"/>
    </row>
    <row r="375" spans="1:19" ht="121.5" customHeight="1" x14ac:dyDescent="0.25">
      <c r="A375" s="200" t="s">
        <v>716</v>
      </c>
      <c r="B375" s="187" t="s">
        <v>717</v>
      </c>
      <c r="C375" s="187" t="s">
        <v>645</v>
      </c>
      <c r="D375" s="51"/>
      <c r="E375" s="52">
        <f>SUM(E376:E381)</f>
        <v>5250.5</v>
      </c>
      <c r="F375" s="52">
        <f>SUM(F376:F381)</f>
        <v>5340.6</v>
      </c>
      <c r="G375" s="52">
        <f>SUM(G376:G381)</f>
        <v>5109.5</v>
      </c>
      <c r="H375" s="21" t="s">
        <v>718</v>
      </c>
      <c r="I375" s="23" t="s">
        <v>653</v>
      </c>
      <c r="J375" s="50">
        <v>8</v>
      </c>
      <c r="K375" s="66">
        <v>8</v>
      </c>
      <c r="L375" s="24" t="s">
        <v>128</v>
      </c>
      <c r="M375" s="24" t="s">
        <v>23</v>
      </c>
      <c r="N375" s="24" t="s">
        <v>128</v>
      </c>
      <c r="O375" s="24" t="s">
        <v>23</v>
      </c>
      <c r="P375" s="24"/>
      <c r="Q375" s="24"/>
      <c r="R375" s="21" t="s">
        <v>719</v>
      </c>
      <c r="S375" s="25"/>
    </row>
    <row r="376" spans="1:19" ht="75.75" customHeight="1" x14ac:dyDescent="0.25">
      <c r="A376" s="201"/>
      <c r="B376" s="203"/>
      <c r="C376" s="203"/>
      <c r="D376" s="28" t="s">
        <v>25</v>
      </c>
      <c r="E376" s="29">
        <v>4746.6000000000004</v>
      </c>
      <c r="F376" s="29">
        <v>4803.8</v>
      </c>
      <c r="G376" s="29">
        <v>4755.5</v>
      </c>
      <c r="H376" s="28" t="s">
        <v>720</v>
      </c>
      <c r="I376" s="30" t="s">
        <v>215</v>
      </c>
      <c r="J376" s="62">
        <v>20</v>
      </c>
      <c r="K376" s="65">
        <v>20.2</v>
      </c>
      <c r="L376" s="31" t="s">
        <v>721</v>
      </c>
      <c r="M376" s="31" t="s">
        <v>23</v>
      </c>
      <c r="N376" s="31" t="s">
        <v>722</v>
      </c>
      <c r="O376" s="31" t="s">
        <v>23</v>
      </c>
      <c r="P376" s="31"/>
      <c r="Q376" s="31"/>
      <c r="R376" s="28" t="s">
        <v>723</v>
      </c>
      <c r="S376" s="32"/>
    </row>
    <row r="377" spans="1:19" ht="135" x14ac:dyDescent="0.25">
      <c r="A377" s="201"/>
      <c r="B377" s="203"/>
      <c r="C377" s="203"/>
      <c r="D377" s="28" t="s">
        <v>175</v>
      </c>
      <c r="E377" s="29">
        <v>380.4</v>
      </c>
      <c r="F377" s="29">
        <v>389.4</v>
      </c>
      <c r="G377" s="29">
        <v>253.4</v>
      </c>
      <c r="H377" s="28" t="s">
        <v>724</v>
      </c>
      <c r="I377" s="30" t="s">
        <v>215</v>
      </c>
      <c r="J377" s="62">
        <v>9</v>
      </c>
      <c r="K377" s="68">
        <v>8.9</v>
      </c>
      <c r="L377" s="31" t="s">
        <v>129</v>
      </c>
      <c r="M377" s="31" t="s">
        <v>23</v>
      </c>
      <c r="N377" s="31" t="s">
        <v>725</v>
      </c>
      <c r="O377" s="31" t="s">
        <v>23</v>
      </c>
      <c r="P377" s="31"/>
      <c r="Q377" s="31"/>
      <c r="R377" s="28" t="s">
        <v>726</v>
      </c>
      <c r="S377" s="32"/>
    </row>
    <row r="378" spans="1:19" ht="60" x14ac:dyDescent="0.25">
      <c r="A378" s="201"/>
      <c r="B378" s="203"/>
      <c r="C378" s="203"/>
      <c r="D378" s="28" t="s">
        <v>30</v>
      </c>
      <c r="E378" s="29">
        <v>34.5</v>
      </c>
      <c r="F378" s="29">
        <v>34.5</v>
      </c>
      <c r="G378" s="29">
        <v>34.5</v>
      </c>
      <c r="H378" s="213" t="s">
        <v>727</v>
      </c>
      <c r="I378" s="214" t="s">
        <v>653</v>
      </c>
      <c r="J378" s="215">
        <v>1</v>
      </c>
      <c r="K378" s="216">
        <v>2</v>
      </c>
      <c r="L378" s="31" t="s">
        <v>22</v>
      </c>
      <c r="M378" s="31" t="s">
        <v>23</v>
      </c>
      <c r="N378" s="31" t="s">
        <v>22</v>
      </c>
      <c r="O378" s="31" t="s">
        <v>23</v>
      </c>
      <c r="P378" s="31"/>
      <c r="Q378" s="31"/>
      <c r="R378" s="213" t="s">
        <v>728</v>
      </c>
      <c r="S378" s="217" t="s">
        <v>1683</v>
      </c>
    </row>
    <row r="379" spans="1:19" x14ac:dyDescent="0.25">
      <c r="A379" s="201"/>
      <c r="B379" s="203"/>
      <c r="C379" s="203"/>
      <c r="D379" s="28" t="s">
        <v>180</v>
      </c>
      <c r="E379" s="29">
        <v>9.6999999999999993</v>
      </c>
      <c r="F379" s="29">
        <v>22.7</v>
      </c>
      <c r="G379" s="29">
        <v>7.2</v>
      </c>
      <c r="H379" s="203"/>
      <c r="I379" s="204"/>
      <c r="J379" s="205"/>
      <c r="K379" s="206"/>
      <c r="L379" s="31"/>
      <c r="M379" s="31"/>
      <c r="N379" s="31"/>
      <c r="O379" s="31"/>
      <c r="P379" s="31"/>
      <c r="Q379" s="31"/>
      <c r="R379" s="203"/>
      <c r="S379" s="191"/>
    </row>
    <row r="380" spans="1:19" x14ac:dyDescent="0.25">
      <c r="A380" s="201"/>
      <c r="B380" s="203"/>
      <c r="C380" s="203"/>
      <c r="D380" s="28" t="s">
        <v>192</v>
      </c>
      <c r="E380" s="29">
        <v>79.3</v>
      </c>
      <c r="F380" s="29">
        <v>85.6</v>
      </c>
      <c r="G380" s="29">
        <v>54.3</v>
      </c>
      <c r="H380" s="203"/>
      <c r="I380" s="204"/>
      <c r="J380" s="205"/>
      <c r="K380" s="206"/>
      <c r="L380" s="31"/>
      <c r="M380" s="31"/>
      <c r="N380" s="31"/>
      <c r="O380" s="31"/>
      <c r="P380" s="31"/>
      <c r="Q380" s="31"/>
      <c r="R380" s="203"/>
      <c r="S380" s="191"/>
    </row>
    <row r="381" spans="1:19" ht="15.75" thickBot="1" x14ac:dyDescent="0.3">
      <c r="A381" s="202"/>
      <c r="B381" s="188"/>
      <c r="C381" s="188"/>
      <c r="D381" s="28" t="s">
        <v>201</v>
      </c>
      <c r="E381" s="29"/>
      <c r="F381" s="29">
        <v>4.5999999999999996</v>
      </c>
      <c r="G381" s="29">
        <v>4.5999999999999996</v>
      </c>
      <c r="H381" s="188"/>
      <c r="I381" s="182"/>
      <c r="J381" s="184"/>
      <c r="K381" s="165"/>
      <c r="L381" s="31"/>
      <c r="M381" s="31"/>
      <c r="N381" s="31"/>
      <c r="O381" s="31"/>
      <c r="P381" s="31"/>
      <c r="Q381" s="31"/>
      <c r="R381" s="188"/>
      <c r="S381" s="190"/>
    </row>
    <row r="382" spans="1:19" ht="57.75" customHeight="1" thickBot="1" x14ac:dyDescent="0.3">
      <c r="A382" s="8" t="s">
        <v>729</v>
      </c>
      <c r="B382" s="174" t="s">
        <v>730</v>
      </c>
      <c r="C382" s="175"/>
      <c r="D382" s="176"/>
      <c r="E382" s="11">
        <f>E383+E395+E403</f>
        <v>508.2</v>
      </c>
      <c r="F382" s="11">
        <f>F383+F395+F403</f>
        <v>731.5</v>
      </c>
      <c r="G382" s="11">
        <f>G383+G395+G403</f>
        <v>608.29999999999995</v>
      </c>
      <c r="H382" s="177"/>
      <c r="I382" s="178"/>
      <c r="J382" s="178"/>
      <c r="K382" s="178"/>
      <c r="L382" s="178"/>
      <c r="M382" s="178"/>
      <c r="N382" s="178"/>
      <c r="O382" s="178"/>
      <c r="P382" s="178"/>
      <c r="Q382" s="178"/>
      <c r="R382" s="178"/>
      <c r="S382" s="179"/>
    </row>
    <row r="383" spans="1:19" ht="25.5" customHeight="1" thickBot="1" x14ac:dyDescent="0.3">
      <c r="A383" s="12" t="s">
        <v>731</v>
      </c>
      <c r="B383" s="168" t="s">
        <v>732</v>
      </c>
      <c r="C383" s="169"/>
      <c r="D383" s="170"/>
      <c r="E383" s="15">
        <f>E384+E386+E388+E389+E392+E394</f>
        <v>43</v>
      </c>
      <c r="F383" s="15">
        <f>F384+F386+F388+F389+F392+F394</f>
        <v>54.1</v>
      </c>
      <c r="G383" s="15">
        <f>G384+G386+G388+G389+G392+G394</f>
        <v>35.5</v>
      </c>
      <c r="H383" s="171"/>
      <c r="I383" s="172"/>
      <c r="J383" s="172"/>
      <c r="K383" s="172"/>
      <c r="L383" s="172"/>
      <c r="M383" s="172"/>
      <c r="N383" s="172"/>
      <c r="O383" s="172"/>
      <c r="P383" s="172"/>
      <c r="Q383" s="172"/>
      <c r="R383" s="172"/>
      <c r="S383" s="173"/>
    </row>
    <row r="384" spans="1:19" ht="32.25" customHeight="1" x14ac:dyDescent="0.25">
      <c r="A384" s="200" t="s">
        <v>733</v>
      </c>
      <c r="B384" s="187" t="s">
        <v>734</v>
      </c>
      <c r="C384" s="187" t="s">
        <v>645</v>
      </c>
      <c r="D384" s="51"/>
      <c r="E384" s="52">
        <f>SUM(E385:E385)</f>
        <v>30</v>
      </c>
      <c r="F384" s="52">
        <f>SUM(F385:F385)</f>
        <v>18.5</v>
      </c>
      <c r="G384" s="52">
        <f>SUM(G385:G385)</f>
        <v>0</v>
      </c>
      <c r="H384" s="187" t="s">
        <v>735</v>
      </c>
      <c r="I384" s="181" t="s">
        <v>215</v>
      </c>
      <c r="J384" s="183">
        <v>20</v>
      </c>
      <c r="K384" s="198">
        <v>0</v>
      </c>
      <c r="L384" s="24" t="s">
        <v>42</v>
      </c>
      <c r="M384" s="24" t="s">
        <v>23</v>
      </c>
      <c r="N384" s="24" t="s">
        <v>23</v>
      </c>
      <c r="O384" s="24" t="s">
        <v>23</v>
      </c>
      <c r="P384" s="24"/>
      <c r="Q384" s="24"/>
      <c r="R384" s="187" t="s">
        <v>1685</v>
      </c>
      <c r="S384" s="189" t="s">
        <v>1684</v>
      </c>
    </row>
    <row r="385" spans="1:19" ht="42" customHeight="1" thickBot="1" x14ac:dyDescent="0.3">
      <c r="A385" s="202"/>
      <c r="B385" s="188"/>
      <c r="C385" s="188"/>
      <c r="D385" s="28" t="s">
        <v>25</v>
      </c>
      <c r="E385" s="29">
        <v>30</v>
      </c>
      <c r="F385" s="29">
        <v>18.5</v>
      </c>
      <c r="G385" s="29">
        <v>0</v>
      </c>
      <c r="H385" s="188"/>
      <c r="I385" s="182"/>
      <c r="J385" s="184"/>
      <c r="K385" s="199"/>
      <c r="L385" s="31" t="s">
        <v>237</v>
      </c>
      <c r="M385" s="31" t="s">
        <v>23</v>
      </c>
      <c r="N385" s="31" t="s">
        <v>42</v>
      </c>
      <c r="O385" s="31" t="s">
        <v>23</v>
      </c>
      <c r="P385" s="31"/>
      <c r="Q385" s="31"/>
      <c r="R385" s="188"/>
      <c r="S385" s="190"/>
    </row>
    <row r="386" spans="1:19" ht="60.75" hidden="1" thickBot="1" x14ac:dyDescent="0.3">
      <c r="A386" s="19" t="s">
        <v>737</v>
      </c>
      <c r="B386" s="20" t="s">
        <v>738</v>
      </c>
      <c r="C386" s="21" t="s">
        <v>645</v>
      </c>
      <c r="D386" s="21"/>
      <c r="E386" s="22">
        <f>SUM(E387:E387)</f>
        <v>0</v>
      </c>
      <c r="F386" s="22">
        <f>SUM(F387:F387)</f>
        <v>0</v>
      </c>
      <c r="G386" s="22">
        <f>SUM(G387:G387)</f>
        <v>0</v>
      </c>
      <c r="H386" s="21" t="s">
        <v>739</v>
      </c>
      <c r="I386" s="23" t="s">
        <v>215</v>
      </c>
      <c r="J386" s="46">
        <v>0</v>
      </c>
      <c r="K386" s="46">
        <v>0</v>
      </c>
      <c r="L386" s="24" t="s">
        <v>23</v>
      </c>
      <c r="M386" s="24" t="s">
        <v>23</v>
      </c>
      <c r="N386" s="24" t="s">
        <v>42</v>
      </c>
      <c r="O386" s="24" t="s">
        <v>23</v>
      </c>
      <c r="P386" s="24"/>
      <c r="Q386" s="24"/>
      <c r="R386" s="21"/>
      <c r="S386" s="25"/>
    </row>
    <row r="387" spans="1:19" ht="75.75" hidden="1" thickBot="1" x14ac:dyDescent="0.3">
      <c r="A387" s="26"/>
      <c r="B387" s="27"/>
      <c r="C387" s="28"/>
      <c r="D387" s="28"/>
      <c r="E387" s="29">
        <v>0</v>
      </c>
      <c r="F387" s="29">
        <v>0</v>
      </c>
      <c r="G387" s="29">
        <v>0</v>
      </c>
      <c r="H387" s="28" t="s">
        <v>740</v>
      </c>
      <c r="I387" s="30" t="s">
        <v>215</v>
      </c>
      <c r="J387" s="47">
        <v>0</v>
      </c>
      <c r="K387" s="47">
        <v>0</v>
      </c>
      <c r="L387" s="31" t="s">
        <v>23</v>
      </c>
      <c r="M387" s="31" t="s">
        <v>23</v>
      </c>
      <c r="N387" s="31" t="s">
        <v>23</v>
      </c>
      <c r="O387" s="31" t="s">
        <v>23</v>
      </c>
      <c r="P387" s="31"/>
      <c r="Q387" s="31"/>
      <c r="R387" s="28"/>
      <c r="S387" s="32"/>
    </row>
    <row r="388" spans="1:19" ht="75.75" hidden="1" thickBot="1" x14ac:dyDescent="0.3">
      <c r="A388" s="19" t="s">
        <v>741</v>
      </c>
      <c r="B388" s="20" t="s">
        <v>742</v>
      </c>
      <c r="C388" s="21" t="s">
        <v>645</v>
      </c>
      <c r="D388" s="21" t="s">
        <v>25</v>
      </c>
      <c r="E388" s="33">
        <v>0</v>
      </c>
      <c r="F388" s="33">
        <v>0</v>
      </c>
      <c r="G388" s="33">
        <v>0</v>
      </c>
      <c r="H388" s="21" t="s">
        <v>743</v>
      </c>
      <c r="I388" s="23" t="s">
        <v>215</v>
      </c>
      <c r="J388" s="46">
        <v>0</v>
      </c>
      <c r="K388" s="46">
        <v>0</v>
      </c>
      <c r="L388" s="24" t="s">
        <v>23</v>
      </c>
      <c r="M388" s="24" t="s">
        <v>23</v>
      </c>
      <c r="N388" s="24" t="s">
        <v>42</v>
      </c>
      <c r="O388" s="24" t="s">
        <v>23</v>
      </c>
      <c r="P388" s="24"/>
      <c r="Q388" s="24"/>
      <c r="R388" s="21"/>
      <c r="S388" s="25"/>
    </row>
    <row r="389" spans="1:19" ht="30" customHeight="1" x14ac:dyDescent="0.25">
      <c r="A389" s="200" t="s">
        <v>744</v>
      </c>
      <c r="B389" s="187" t="s">
        <v>745</v>
      </c>
      <c r="C389" s="187" t="s">
        <v>645</v>
      </c>
      <c r="D389" s="51"/>
      <c r="E389" s="52">
        <f>SUM(E390:E391)</f>
        <v>13</v>
      </c>
      <c r="F389" s="52">
        <f>SUM(F390:F391)</f>
        <v>35.6</v>
      </c>
      <c r="G389" s="52">
        <f>SUM(G390:G391)</f>
        <v>35.5</v>
      </c>
      <c r="H389" s="187" t="s">
        <v>746</v>
      </c>
      <c r="I389" s="181" t="s">
        <v>215</v>
      </c>
      <c r="J389" s="183">
        <v>90</v>
      </c>
      <c r="K389" s="164">
        <v>100</v>
      </c>
      <c r="L389" s="24" t="s">
        <v>42</v>
      </c>
      <c r="M389" s="24" t="s">
        <v>23</v>
      </c>
      <c r="N389" s="24" t="s">
        <v>23</v>
      </c>
      <c r="O389" s="24" t="s">
        <v>23</v>
      </c>
      <c r="P389" s="24"/>
      <c r="Q389" s="24"/>
      <c r="R389" s="187" t="s">
        <v>1686</v>
      </c>
      <c r="S389" s="209"/>
    </row>
    <row r="390" spans="1:19" x14ac:dyDescent="0.25">
      <c r="A390" s="201"/>
      <c r="B390" s="203"/>
      <c r="C390" s="203"/>
      <c r="D390" s="28" t="s">
        <v>25</v>
      </c>
      <c r="E390" s="29">
        <v>0</v>
      </c>
      <c r="F390" s="29">
        <v>22.6</v>
      </c>
      <c r="G390" s="29">
        <v>22.5</v>
      </c>
      <c r="H390" s="203"/>
      <c r="I390" s="204"/>
      <c r="J390" s="205"/>
      <c r="K390" s="206"/>
      <c r="L390" s="31"/>
      <c r="M390" s="31"/>
      <c r="N390" s="31"/>
      <c r="O390" s="31"/>
      <c r="P390" s="31"/>
      <c r="Q390" s="31"/>
      <c r="R390" s="203"/>
      <c r="S390" s="219"/>
    </row>
    <row r="391" spans="1:19" ht="19.5" customHeight="1" thickBot="1" x14ac:dyDescent="0.3">
      <c r="A391" s="202"/>
      <c r="B391" s="188"/>
      <c r="C391" s="188"/>
      <c r="D391" s="28" t="s">
        <v>30</v>
      </c>
      <c r="E391" s="29">
        <v>13</v>
      </c>
      <c r="F391" s="29">
        <v>13</v>
      </c>
      <c r="G391" s="29">
        <v>13</v>
      </c>
      <c r="H391" s="188"/>
      <c r="I391" s="182"/>
      <c r="J391" s="184"/>
      <c r="K391" s="165"/>
      <c r="L391" s="31"/>
      <c r="M391" s="31"/>
      <c r="N391" s="31"/>
      <c r="O391" s="31"/>
      <c r="P391" s="31"/>
      <c r="Q391" s="31"/>
      <c r="R391" s="188"/>
      <c r="S391" s="157"/>
    </row>
    <row r="392" spans="1:19" ht="60.75" hidden="1" thickBot="1" x14ac:dyDescent="0.3">
      <c r="A392" s="200" t="s">
        <v>747</v>
      </c>
      <c r="B392" s="187" t="s">
        <v>748</v>
      </c>
      <c r="C392" s="187" t="s">
        <v>645</v>
      </c>
      <c r="D392" s="21" t="s">
        <v>25</v>
      </c>
      <c r="E392" s="22">
        <f>SUM(E393:E393)</f>
        <v>0</v>
      </c>
      <c r="F392" s="22">
        <f>SUM(F393:F393)</f>
        <v>0</v>
      </c>
      <c r="G392" s="22">
        <f>SUM(G393:G393)</f>
        <v>0</v>
      </c>
      <c r="H392" s="21" t="s">
        <v>736</v>
      </c>
      <c r="I392" s="23" t="s">
        <v>215</v>
      </c>
      <c r="J392" s="46">
        <v>0</v>
      </c>
      <c r="K392" s="46">
        <v>0</v>
      </c>
      <c r="L392" s="24" t="s">
        <v>23</v>
      </c>
      <c r="M392" s="24" t="s">
        <v>23</v>
      </c>
      <c r="N392" s="24" t="s">
        <v>42</v>
      </c>
      <c r="O392" s="24" t="s">
        <v>23</v>
      </c>
      <c r="P392" s="24"/>
      <c r="Q392" s="24"/>
      <c r="R392" s="21"/>
      <c r="S392" s="25"/>
    </row>
    <row r="393" spans="1:19" ht="60.75" hidden="1" thickBot="1" x14ac:dyDescent="0.3">
      <c r="A393" s="202"/>
      <c r="B393" s="188"/>
      <c r="C393" s="188"/>
      <c r="D393" s="28"/>
      <c r="E393" s="29">
        <v>0</v>
      </c>
      <c r="F393" s="29">
        <v>0</v>
      </c>
      <c r="G393" s="29">
        <v>0</v>
      </c>
      <c r="H393" s="28" t="s">
        <v>735</v>
      </c>
      <c r="I393" s="30" t="s">
        <v>21</v>
      </c>
      <c r="J393" s="47">
        <v>0</v>
      </c>
      <c r="K393" s="47">
        <v>0</v>
      </c>
      <c r="L393" s="31" t="s">
        <v>23</v>
      </c>
      <c r="M393" s="31" t="s">
        <v>23</v>
      </c>
      <c r="N393" s="31" t="s">
        <v>22</v>
      </c>
      <c r="O393" s="31" t="s">
        <v>23</v>
      </c>
      <c r="P393" s="31"/>
      <c r="Q393" s="31"/>
      <c r="R393" s="28"/>
      <c r="S393" s="32"/>
    </row>
    <row r="394" spans="1:19" ht="90.75" hidden="1" thickBot="1" x14ac:dyDescent="0.3">
      <c r="A394" s="19" t="s">
        <v>749</v>
      </c>
      <c r="B394" s="20" t="s">
        <v>750</v>
      </c>
      <c r="C394" s="21" t="s">
        <v>645</v>
      </c>
      <c r="D394" s="21"/>
      <c r="E394" s="33">
        <v>0</v>
      </c>
      <c r="F394" s="33">
        <v>0</v>
      </c>
      <c r="G394" s="33">
        <v>0</v>
      </c>
      <c r="H394" s="21" t="s">
        <v>751</v>
      </c>
      <c r="I394" s="23" t="s">
        <v>653</v>
      </c>
      <c r="J394" s="46">
        <v>0</v>
      </c>
      <c r="K394" s="46">
        <v>0</v>
      </c>
      <c r="L394" s="24" t="s">
        <v>237</v>
      </c>
      <c r="M394" s="24" t="s">
        <v>23</v>
      </c>
      <c r="N394" s="24" t="s">
        <v>42</v>
      </c>
      <c r="O394" s="24" t="s">
        <v>23</v>
      </c>
      <c r="P394" s="24"/>
      <c r="Q394" s="24"/>
      <c r="R394" s="21" t="s">
        <v>752</v>
      </c>
      <c r="S394" s="25"/>
    </row>
    <row r="395" spans="1:19" ht="33.75" customHeight="1" thickBot="1" x14ac:dyDescent="0.3">
      <c r="A395" s="12" t="s">
        <v>753</v>
      </c>
      <c r="B395" s="168" t="s">
        <v>754</v>
      </c>
      <c r="C395" s="169"/>
      <c r="D395" s="170"/>
      <c r="E395" s="15">
        <f>E396+E397+E401</f>
        <v>132.19999999999999</v>
      </c>
      <c r="F395" s="15">
        <f>F396+F397+F401</f>
        <v>323.59999999999997</v>
      </c>
      <c r="G395" s="15">
        <f>G396+G397+G401</f>
        <v>244</v>
      </c>
      <c r="H395" s="171"/>
      <c r="I395" s="172"/>
      <c r="J395" s="172"/>
      <c r="K395" s="172"/>
      <c r="L395" s="172"/>
      <c r="M395" s="172"/>
      <c r="N395" s="172"/>
      <c r="O395" s="172"/>
      <c r="P395" s="172"/>
      <c r="Q395" s="172"/>
      <c r="R395" s="172"/>
      <c r="S395" s="173"/>
    </row>
    <row r="396" spans="1:19" ht="90.75" hidden="1" thickBot="1" x14ac:dyDescent="0.3">
      <c r="A396" s="19" t="s">
        <v>755</v>
      </c>
      <c r="B396" s="20" t="s">
        <v>756</v>
      </c>
      <c r="C396" s="21" t="s">
        <v>645</v>
      </c>
      <c r="D396" s="21" t="s">
        <v>25</v>
      </c>
      <c r="E396" s="33">
        <v>0</v>
      </c>
      <c r="F396" s="33">
        <v>0</v>
      </c>
      <c r="G396" s="33">
        <v>0</v>
      </c>
      <c r="H396" s="21" t="s">
        <v>736</v>
      </c>
      <c r="I396" s="23" t="s">
        <v>215</v>
      </c>
      <c r="J396" s="46">
        <v>0</v>
      </c>
      <c r="K396" s="46">
        <v>0</v>
      </c>
      <c r="L396" s="24" t="s">
        <v>42</v>
      </c>
      <c r="M396" s="24" t="s">
        <v>23</v>
      </c>
      <c r="N396" s="24" t="s">
        <v>23</v>
      </c>
      <c r="O396" s="24" t="s">
        <v>23</v>
      </c>
      <c r="P396" s="24"/>
      <c r="Q396" s="24"/>
      <c r="R396" s="21"/>
      <c r="S396" s="25"/>
    </row>
    <row r="397" spans="1:19" ht="37.5" customHeight="1" x14ac:dyDescent="0.25">
      <c r="A397" s="200" t="s">
        <v>757</v>
      </c>
      <c r="B397" s="187" t="s">
        <v>758</v>
      </c>
      <c r="C397" s="187" t="s">
        <v>645</v>
      </c>
      <c r="D397" s="51"/>
      <c r="E397" s="52">
        <f>SUM(E398:E400)</f>
        <v>132.19999999999999</v>
      </c>
      <c r="F397" s="52">
        <f>SUM(F398:F400)</f>
        <v>276.89999999999998</v>
      </c>
      <c r="G397" s="52">
        <f>SUM(G398:G400)</f>
        <v>197.3</v>
      </c>
      <c r="H397" s="187" t="s">
        <v>759</v>
      </c>
      <c r="I397" s="181" t="s">
        <v>215</v>
      </c>
      <c r="J397" s="183">
        <v>100</v>
      </c>
      <c r="K397" s="185">
        <v>70</v>
      </c>
      <c r="L397" s="24" t="s">
        <v>23</v>
      </c>
      <c r="M397" s="24" t="s">
        <v>23</v>
      </c>
      <c r="N397" s="24" t="s">
        <v>23</v>
      </c>
      <c r="O397" s="24" t="s">
        <v>23</v>
      </c>
      <c r="P397" s="24"/>
      <c r="Q397" s="24"/>
      <c r="R397" s="187" t="s">
        <v>1687</v>
      </c>
      <c r="S397" s="189" t="s">
        <v>1688</v>
      </c>
    </row>
    <row r="398" spans="1:19" x14ac:dyDescent="0.25">
      <c r="A398" s="201"/>
      <c r="B398" s="203"/>
      <c r="C398" s="203"/>
      <c r="D398" s="28" t="s">
        <v>25</v>
      </c>
      <c r="E398" s="29">
        <v>102.2</v>
      </c>
      <c r="F398" s="29">
        <v>79.599999999999994</v>
      </c>
      <c r="G398" s="29">
        <v>0</v>
      </c>
      <c r="H398" s="203"/>
      <c r="I398" s="204"/>
      <c r="J398" s="205"/>
      <c r="K398" s="243"/>
      <c r="L398" s="31"/>
      <c r="M398" s="31"/>
      <c r="N398" s="31"/>
      <c r="O398" s="31"/>
      <c r="P398" s="31"/>
      <c r="Q398" s="31"/>
      <c r="R398" s="203"/>
      <c r="S398" s="191"/>
    </row>
    <row r="399" spans="1:19" x14ac:dyDescent="0.25">
      <c r="A399" s="201"/>
      <c r="B399" s="203"/>
      <c r="C399" s="203"/>
      <c r="D399" s="28" t="s">
        <v>192</v>
      </c>
      <c r="E399" s="29">
        <v>30</v>
      </c>
      <c r="F399" s="29">
        <v>0</v>
      </c>
      <c r="G399" s="29">
        <v>0</v>
      </c>
      <c r="H399" s="203"/>
      <c r="I399" s="204"/>
      <c r="J399" s="205"/>
      <c r="K399" s="243"/>
      <c r="L399" s="31"/>
      <c r="M399" s="31"/>
      <c r="N399" s="31"/>
      <c r="O399" s="31"/>
      <c r="P399" s="31"/>
      <c r="Q399" s="31"/>
      <c r="R399" s="203"/>
      <c r="S399" s="191"/>
    </row>
    <row r="400" spans="1:19" ht="30.75" customHeight="1" thickBot="1" x14ac:dyDescent="0.3">
      <c r="A400" s="202"/>
      <c r="B400" s="188"/>
      <c r="C400" s="188"/>
      <c r="D400" s="28" t="s">
        <v>201</v>
      </c>
      <c r="E400" s="29">
        <v>0</v>
      </c>
      <c r="F400" s="29">
        <v>197.3</v>
      </c>
      <c r="G400" s="29">
        <v>197.3</v>
      </c>
      <c r="H400" s="188"/>
      <c r="I400" s="182"/>
      <c r="J400" s="184"/>
      <c r="K400" s="186"/>
      <c r="L400" s="31"/>
      <c r="M400" s="31"/>
      <c r="N400" s="31"/>
      <c r="O400" s="31"/>
      <c r="P400" s="31"/>
      <c r="Q400" s="31"/>
      <c r="R400" s="188"/>
      <c r="S400" s="190"/>
    </row>
    <row r="401" spans="1:19" ht="33" customHeight="1" x14ac:dyDescent="0.25">
      <c r="A401" s="200" t="s">
        <v>760</v>
      </c>
      <c r="B401" s="187" t="s">
        <v>761</v>
      </c>
      <c r="C401" s="187" t="s">
        <v>645</v>
      </c>
      <c r="D401" s="51"/>
      <c r="E401" s="52">
        <f>SUM(E402:E402)</f>
        <v>0</v>
      </c>
      <c r="F401" s="52">
        <f>SUM(F402:F402)</f>
        <v>46.7</v>
      </c>
      <c r="G401" s="52">
        <f>SUM(G402:G402)</f>
        <v>46.7</v>
      </c>
      <c r="H401" s="187" t="s">
        <v>762</v>
      </c>
      <c r="I401" s="181" t="s">
        <v>215</v>
      </c>
      <c r="J401" s="183">
        <v>100</v>
      </c>
      <c r="K401" s="164">
        <v>100</v>
      </c>
      <c r="L401" s="24" t="s">
        <v>42</v>
      </c>
      <c r="M401" s="24" t="s">
        <v>23</v>
      </c>
      <c r="N401" s="24" t="s">
        <v>23</v>
      </c>
      <c r="O401" s="24" t="s">
        <v>23</v>
      </c>
      <c r="P401" s="24"/>
      <c r="Q401" s="24"/>
      <c r="R401" s="187" t="s">
        <v>1689</v>
      </c>
      <c r="S401" s="209"/>
    </row>
    <row r="402" spans="1:19" ht="38.25" customHeight="1" thickBot="1" x14ac:dyDescent="0.3">
      <c r="A402" s="202"/>
      <c r="B402" s="188"/>
      <c r="C402" s="188"/>
      <c r="D402" s="28" t="s">
        <v>201</v>
      </c>
      <c r="E402" s="29">
        <v>0</v>
      </c>
      <c r="F402" s="29">
        <v>46.7</v>
      </c>
      <c r="G402" s="29">
        <v>46.7</v>
      </c>
      <c r="H402" s="188"/>
      <c r="I402" s="182"/>
      <c r="J402" s="184"/>
      <c r="K402" s="165"/>
      <c r="L402" s="31"/>
      <c r="M402" s="31"/>
      <c r="N402" s="31"/>
      <c r="O402" s="31"/>
      <c r="P402" s="31"/>
      <c r="Q402" s="31"/>
      <c r="R402" s="188"/>
      <c r="S402" s="157"/>
    </row>
    <row r="403" spans="1:19" ht="25.5" customHeight="1" thickBot="1" x14ac:dyDescent="0.3">
      <c r="A403" s="12" t="s">
        <v>763</v>
      </c>
      <c r="B403" s="168" t="s">
        <v>764</v>
      </c>
      <c r="C403" s="169"/>
      <c r="D403" s="170"/>
      <c r="E403" s="15">
        <f>SUM(E404:E404)</f>
        <v>333</v>
      </c>
      <c r="F403" s="15">
        <f>SUM(F404:F404)</f>
        <v>353.8</v>
      </c>
      <c r="G403" s="15">
        <f>SUM(G404:G404)</f>
        <v>328.8</v>
      </c>
      <c r="H403" s="171"/>
      <c r="I403" s="172"/>
      <c r="J403" s="172"/>
      <c r="K403" s="172"/>
      <c r="L403" s="172"/>
      <c r="M403" s="172"/>
      <c r="N403" s="172"/>
      <c r="O403" s="172"/>
      <c r="P403" s="172"/>
      <c r="Q403" s="172"/>
      <c r="R403" s="172"/>
      <c r="S403" s="173"/>
    </row>
    <row r="404" spans="1:19" ht="38.25" customHeight="1" x14ac:dyDescent="0.25">
      <c r="A404" s="200" t="s">
        <v>765</v>
      </c>
      <c r="B404" s="187" t="s">
        <v>766</v>
      </c>
      <c r="C404" s="187" t="s">
        <v>399</v>
      </c>
      <c r="D404" s="51"/>
      <c r="E404" s="52">
        <f>SUM(E405:E406)</f>
        <v>333</v>
      </c>
      <c r="F404" s="52">
        <f>SUM(F405:F406)</f>
        <v>353.8</v>
      </c>
      <c r="G404" s="52">
        <f>SUM(G405:G406)+0.1</f>
        <v>328.8</v>
      </c>
      <c r="H404" s="187" t="s">
        <v>767</v>
      </c>
      <c r="I404" s="181" t="s">
        <v>215</v>
      </c>
      <c r="J404" s="183">
        <v>100</v>
      </c>
      <c r="K404" s="164">
        <v>100</v>
      </c>
      <c r="L404" s="24" t="s">
        <v>23</v>
      </c>
      <c r="M404" s="24" t="s">
        <v>23</v>
      </c>
      <c r="N404" s="24" t="s">
        <v>23</v>
      </c>
      <c r="O404" s="24" t="s">
        <v>23</v>
      </c>
      <c r="P404" s="24"/>
      <c r="Q404" s="24"/>
      <c r="R404" s="187" t="s">
        <v>1690</v>
      </c>
      <c r="S404" s="209"/>
    </row>
    <row r="405" spans="1:19" ht="28.5" customHeight="1" x14ac:dyDescent="0.25">
      <c r="A405" s="201"/>
      <c r="B405" s="203"/>
      <c r="C405" s="203"/>
      <c r="D405" s="28" t="s">
        <v>25</v>
      </c>
      <c r="E405" s="29">
        <v>0</v>
      </c>
      <c r="F405" s="29">
        <v>20.8</v>
      </c>
      <c r="G405" s="29">
        <v>20.7</v>
      </c>
      <c r="H405" s="203"/>
      <c r="I405" s="204"/>
      <c r="J405" s="205"/>
      <c r="K405" s="206"/>
      <c r="L405" s="31"/>
      <c r="M405" s="31"/>
      <c r="N405" s="31"/>
      <c r="O405" s="31"/>
      <c r="P405" s="31"/>
      <c r="Q405" s="31"/>
      <c r="R405" s="203"/>
      <c r="S405" s="219"/>
    </row>
    <row r="406" spans="1:19" ht="31.5" customHeight="1" thickBot="1" x14ac:dyDescent="0.3">
      <c r="A406" s="202"/>
      <c r="B406" s="188"/>
      <c r="C406" s="188"/>
      <c r="D406" s="28" t="s">
        <v>402</v>
      </c>
      <c r="E406" s="29">
        <v>333</v>
      </c>
      <c r="F406" s="29">
        <v>333</v>
      </c>
      <c r="G406" s="29">
        <v>308</v>
      </c>
      <c r="H406" s="188"/>
      <c r="I406" s="182"/>
      <c r="J406" s="184"/>
      <c r="K406" s="165"/>
      <c r="L406" s="31"/>
      <c r="M406" s="31"/>
      <c r="N406" s="31"/>
      <c r="O406" s="31"/>
      <c r="P406" s="31"/>
      <c r="Q406" s="31"/>
      <c r="R406" s="188"/>
      <c r="S406" s="157"/>
    </row>
    <row r="407" spans="1:19" ht="34.5" customHeight="1" thickBot="1" x14ac:dyDescent="0.3">
      <c r="A407" s="8" t="s">
        <v>768</v>
      </c>
      <c r="B407" s="174" t="s">
        <v>769</v>
      </c>
      <c r="C407" s="175"/>
      <c r="D407" s="176"/>
      <c r="E407" s="11">
        <f>E408+E410</f>
        <v>35.200000000000003</v>
      </c>
      <c r="F407" s="11">
        <f>F408+F410</f>
        <v>32.200000000000003</v>
      </c>
      <c r="G407" s="11">
        <f>G408+G410</f>
        <v>21.1</v>
      </c>
      <c r="H407" s="177"/>
      <c r="I407" s="178"/>
      <c r="J407" s="178"/>
      <c r="K407" s="178"/>
      <c r="L407" s="178"/>
      <c r="M407" s="178"/>
      <c r="N407" s="178"/>
      <c r="O407" s="178"/>
      <c r="P407" s="178"/>
      <c r="Q407" s="178"/>
      <c r="R407" s="178"/>
      <c r="S407" s="179"/>
    </row>
    <row r="408" spans="1:19" ht="51.75" customHeight="1" thickBot="1" x14ac:dyDescent="0.3">
      <c r="A408" s="12" t="s">
        <v>770</v>
      </c>
      <c r="B408" s="168" t="s">
        <v>771</v>
      </c>
      <c r="C408" s="169"/>
      <c r="D408" s="170"/>
      <c r="E408" s="15">
        <f>SUM(E409:E409)</f>
        <v>15.8</v>
      </c>
      <c r="F408" s="15">
        <f>SUM(F409:F409)</f>
        <v>15.8</v>
      </c>
      <c r="G408" s="15">
        <f>SUM(G409:G409)</f>
        <v>5.7</v>
      </c>
      <c r="H408" s="171"/>
      <c r="I408" s="172"/>
      <c r="J408" s="172"/>
      <c r="K408" s="172"/>
      <c r="L408" s="172"/>
      <c r="M408" s="172"/>
      <c r="N408" s="172"/>
      <c r="O408" s="172"/>
      <c r="P408" s="172"/>
      <c r="Q408" s="172"/>
      <c r="R408" s="172"/>
      <c r="S408" s="173"/>
    </row>
    <row r="409" spans="1:19" ht="111.75" customHeight="1" thickBot="1" x14ac:dyDescent="0.3">
      <c r="A409" s="19" t="s">
        <v>772</v>
      </c>
      <c r="B409" s="20" t="s">
        <v>773</v>
      </c>
      <c r="C409" s="21" t="s">
        <v>645</v>
      </c>
      <c r="D409" s="21" t="s">
        <v>25</v>
      </c>
      <c r="E409" s="33">
        <v>15.8</v>
      </c>
      <c r="F409" s="33">
        <v>15.8</v>
      </c>
      <c r="G409" s="33">
        <v>5.7</v>
      </c>
      <c r="H409" s="21" t="s">
        <v>774</v>
      </c>
      <c r="I409" s="23" t="s">
        <v>215</v>
      </c>
      <c r="J409" s="50">
        <v>18</v>
      </c>
      <c r="K409" s="67">
        <v>16.5</v>
      </c>
      <c r="L409" s="24" t="s">
        <v>153</v>
      </c>
      <c r="M409" s="24" t="s">
        <v>23</v>
      </c>
      <c r="N409" s="24" t="s">
        <v>153</v>
      </c>
      <c r="O409" s="24" t="s">
        <v>23</v>
      </c>
      <c r="P409" s="24"/>
      <c r="Q409" s="24"/>
      <c r="R409" s="21" t="s">
        <v>775</v>
      </c>
      <c r="S409" s="25" t="s">
        <v>1691</v>
      </c>
    </row>
    <row r="410" spans="1:19" ht="65.25" customHeight="1" thickBot="1" x14ac:dyDescent="0.3">
      <c r="A410" s="12" t="s">
        <v>776</v>
      </c>
      <c r="B410" s="168" t="s">
        <v>777</v>
      </c>
      <c r="C410" s="169"/>
      <c r="D410" s="170"/>
      <c r="E410" s="15">
        <f>E411+E412+E415</f>
        <v>19.399999999999999</v>
      </c>
      <c r="F410" s="15">
        <f>F411+F412+F415</f>
        <v>16.399999999999999</v>
      </c>
      <c r="G410" s="15">
        <f>G411+G412+G415</f>
        <v>15.4</v>
      </c>
      <c r="H410" s="171"/>
      <c r="I410" s="172"/>
      <c r="J410" s="172"/>
      <c r="K410" s="172"/>
      <c r="L410" s="172"/>
      <c r="M410" s="172"/>
      <c r="N410" s="172"/>
      <c r="O410" s="172"/>
      <c r="P410" s="172"/>
      <c r="Q410" s="172"/>
      <c r="R410" s="172"/>
      <c r="S410" s="173"/>
    </row>
    <row r="411" spans="1:19" ht="94.5" customHeight="1" thickBot="1" x14ac:dyDescent="0.3">
      <c r="A411" s="19" t="s">
        <v>778</v>
      </c>
      <c r="B411" s="20" t="s">
        <v>779</v>
      </c>
      <c r="C411" s="21" t="s">
        <v>645</v>
      </c>
      <c r="D411" s="21" t="s">
        <v>25</v>
      </c>
      <c r="E411" s="33">
        <v>19.399999999999999</v>
      </c>
      <c r="F411" s="33">
        <v>16.399999999999999</v>
      </c>
      <c r="G411" s="33">
        <v>15.4</v>
      </c>
      <c r="H411" s="21" t="s">
        <v>780</v>
      </c>
      <c r="I411" s="23" t="s">
        <v>215</v>
      </c>
      <c r="J411" s="50">
        <v>11</v>
      </c>
      <c r="K411" s="67">
        <v>6</v>
      </c>
      <c r="L411" s="24" t="s">
        <v>781</v>
      </c>
      <c r="M411" s="24" t="s">
        <v>23</v>
      </c>
      <c r="N411" s="24" t="s">
        <v>367</v>
      </c>
      <c r="O411" s="24" t="s">
        <v>23</v>
      </c>
      <c r="P411" s="24"/>
      <c r="Q411" s="24"/>
      <c r="R411" s="21" t="s">
        <v>782</v>
      </c>
      <c r="S411" s="25" t="s">
        <v>1692</v>
      </c>
    </row>
    <row r="412" spans="1:19" ht="75" hidden="1" customHeight="1" thickBot="1" x14ac:dyDescent="0.3">
      <c r="A412" s="200" t="s">
        <v>783</v>
      </c>
      <c r="B412" s="187" t="s">
        <v>784</v>
      </c>
      <c r="C412" s="181" t="s">
        <v>645</v>
      </c>
      <c r="D412" s="21"/>
      <c r="E412" s="22">
        <f>SUM(E413:E414)</f>
        <v>0</v>
      </c>
      <c r="F412" s="22">
        <f>SUM(F413:F414)</f>
        <v>0</v>
      </c>
      <c r="G412" s="22">
        <f>SUM(G413:G414)</f>
        <v>0</v>
      </c>
      <c r="H412" s="21" t="s">
        <v>785</v>
      </c>
      <c r="I412" s="23" t="s">
        <v>21</v>
      </c>
      <c r="J412" s="46">
        <v>0</v>
      </c>
      <c r="K412" s="46">
        <v>0</v>
      </c>
      <c r="L412" s="24" t="s">
        <v>23</v>
      </c>
      <c r="M412" s="24" t="s">
        <v>23</v>
      </c>
      <c r="N412" s="24" t="s">
        <v>23</v>
      </c>
      <c r="O412" s="24" t="s">
        <v>23</v>
      </c>
      <c r="P412" s="24"/>
      <c r="Q412" s="24"/>
      <c r="R412" s="21"/>
      <c r="S412" s="25"/>
    </row>
    <row r="413" spans="1:19" ht="90.75" hidden="1" thickBot="1" x14ac:dyDescent="0.3">
      <c r="A413" s="201"/>
      <c r="B413" s="203"/>
      <c r="C413" s="204"/>
      <c r="D413" s="28"/>
      <c r="E413" s="29">
        <v>0</v>
      </c>
      <c r="F413" s="29">
        <v>0</v>
      </c>
      <c r="G413" s="29">
        <v>0</v>
      </c>
      <c r="H413" s="28" t="s">
        <v>786</v>
      </c>
      <c r="I413" s="30" t="s">
        <v>215</v>
      </c>
      <c r="J413" s="47">
        <v>0</v>
      </c>
      <c r="K413" s="47">
        <v>0</v>
      </c>
      <c r="L413" s="31" t="s">
        <v>23</v>
      </c>
      <c r="M413" s="31" t="s">
        <v>23</v>
      </c>
      <c r="N413" s="31" t="s">
        <v>23</v>
      </c>
      <c r="O413" s="31" t="s">
        <v>23</v>
      </c>
      <c r="P413" s="31"/>
      <c r="Q413" s="31"/>
      <c r="R413" s="28"/>
      <c r="S413" s="32"/>
    </row>
    <row r="414" spans="1:19" ht="60.75" hidden="1" thickBot="1" x14ac:dyDescent="0.3">
      <c r="A414" s="202"/>
      <c r="B414" s="188"/>
      <c r="C414" s="182"/>
      <c r="D414" s="28"/>
      <c r="E414" s="29">
        <v>0</v>
      </c>
      <c r="F414" s="29">
        <v>0</v>
      </c>
      <c r="G414" s="29">
        <v>0</v>
      </c>
      <c r="H414" s="28" t="s">
        <v>787</v>
      </c>
      <c r="I414" s="30" t="s">
        <v>215</v>
      </c>
      <c r="J414" s="47">
        <v>0</v>
      </c>
      <c r="K414" s="47">
        <v>0</v>
      </c>
      <c r="L414" s="31" t="s">
        <v>23</v>
      </c>
      <c r="M414" s="31" t="s">
        <v>23</v>
      </c>
      <c r="N414" s="31" t="s">
        <v>23</v>
      </c>
      <c r="O414" s="31" t="s">
        <v>23</v>
      </c>
      <c r="P414" s="31"/>
      <c r="Q414" s="31"/>
      <c r="R414" s="28"/>
      <c r="S414" s="32"/>
    </row>
    <row r="415" spans="1:19" ht="60.75" hidden="1" thickBot="1" x14ac:dyDescent="0.3">
      <c r="A415" s="19" t="s">
        <v>788</v>
      </c>
      <c r="B415" s="20" t="s">
        <v>789</v>
      </c>
      <c r="C415" s="21" t="s">
        <v>207</v>
      </c>
      <c r="D415" s="21"/>
      <c r="E415" s="22">
        <f>SUM(E416:E417)</f>
        <v>0</v>
      </c>
      <c r="F415" s="22">
        <f>SUM(F416:F417)</f>
        <v>0</v>
      </c>
      <c r="G415" s="22">
        <f>SUM(G416:G417)</f>
        <v>0</v>
      </c>
      <c r="H415" s="21" t="s">
        <v>790</v>
      </c>
      <c r="I415" s="23" t="s">
        <v>215</v>
      </c>
      <c r="J415" s="46">
        <v>0</v>
      </c>
      <c r="K415" s="46">
        <v>0</v>
      </c>
      <c r="L415" s="24" t="s">
        <v>23</v>
      </c>
      <c r="M415" s="24" t="s">
        <v>23</v>
      </c>
      <c r="N415" s="24" t="s">
        <v>23</v>
      </c>
      <c r="O415" s="24" t="s">
        <v>23</v>
      </c>
      <c r="P415" s="24"/>
      <c r="Q415" s="24"/>
      <c r="R415" s="21"/>
      <c r="S415" s="25"/>
    </row>
    <row r="416" spans="1:19" ht="60.75" hidden="1" thickBot="1" x14ac:dyDescent="0.3">
      <c r="A416" s="26"/>
      <c r="B416" s="27"/>
      <c r="C416" s="28"/>
      <c r="D416" s="28"/>
      <c r="E416" s="29">
        <v>0</v>
      </c>
      <c r="F416" s="29">
        <v>0</v>
      </c>
      <c r="G416" s="29">
        <v>0</v>
      </c>
      <c r="H416" s="28" t="s">
        <v>791</v>
      </c>
      <c r="I416" s="30" t="s">
        <v>21</v>
      </c>
      <c r="J416" s="47">
        <v>0</v>
      </c>
      <c r="K416" s="47">
        <v>0</v>
      </c>
      <c r="L416" s="31" t="s">
        <v>23</v>
      </c>
      <c r="M416" s="31" t="s">
        <v>23</v>
      </c>
      <c r="N416" s="31" t="s">
        <v>23</v>
      </c>
      <c r="O416" s="31" t="s">
        <v>23</v>
      </c>
      <c r="P416" s="31"/>
      <c r="Q416" s="31"/>
      <c r="R416" s="28"/>
      <c r="S416" s="32"/>
    </row>
    <row r="417" spans="1:24" ht="60.75" hidden="1" thickBot="1" x14ac:dyDescent="0.3">
      <c r="A417" s="26"/>
      <c r="B417" s="27"/>
      <c r="C417" s="28"/>
      <c r="D417" s="28"/>
      <c r="E417" s="29">
        <v>0</v>
      </c>
      <c r="F417" s="29">
        <v>0</v>
      </c>
      <c r="G417" s="29">
        <v>0</v>
      </c>
      <c r="H417" s="28" t="s">
        <v>792</v>
      </c>
      <c r="I417" s="30" t="s">
        <v>21</v>
      </c>
      <c r="J417" s="47">
        <v>0</v>
      </c>
      <c r="K417" s="47">
        <v>0</v>
      </c>
      <c r="L417" s="31" t="s">
        <v>23</v>
      </c>
      <c r="M417" s="31" t="s">
        <v>23</v>
      </c>
      <c r="N417" s="31" t="s">
        <v>23</v>
      </c>
      <c r="O417" s="31" t="s">
        <v>23</v>
      </c>
      <c r="P417" s="31"/>
      <c r="Q417" s="31"/>
      <c r="R417" s="28"/>
      <c r="S417" s="32"/>
    </row>
    <row r="418" spans="1:24" ht="38.25" customHeight="1" thickBot="1" x14ac:dyDescent="0.3">
      <c r="A418" s="4" t="s">
        <v>793</v>
      </c>
      <c r="B418" s="195" t="s">
        <v>794</v>
      </c>
      <c r="C418" s="196"/>
      <c r="D418" s="197"/>
      <c r="E418" s="7">
        <f>E419+E440+E471+E482+E496-0.1</f>
        <v>68605.299999999988</v>
      </c>
      <c r="F418" s="7">
        <f>F419+F440+F471+F482+F496</f>
        <v>73431.8</v>
      </c>
      <c r="G418" s="7">
        <f>G419+G440+G471+G482+G496</f>
        <v>68613.600000000006</v>
      </c>
      <c r="H418" s="192"/>
      <c r="I418" s="193"/>
      <c r="J418" s="193"/>
      <c r="K418" s="193"/>
      <c r="L418" s="193"/>
      <c r="M418" s="193"/>
      <c r="N418" s="193"/>
      <c r="O418" s="193"/>
      <c r="P418" s="193"/>
      <c r="Q418" s="193"/>
      <c r="R418" s="193"/>
      <c r="S418" s="194"/>
    </row>
    <row r="419" spans="1:24" ht="30.75" customHeight="1" thickBot="1" x14ac:dyDescent="0.3">
      <c r="A419" s="8" t="s">
        <v>796</v>
      </c>
      <c r="B419" s="174" t="s">
        <v>797</v>
      </c>
      <c r="C419" s="175"/>
      <c r="D419" s="176"/>
      <c r="E419" s="11">
        <f>E420+E426</f>
        <v>765.6</v>
      </c>
      <c r="F419" s="11">
        <f>F420+F426</f>
        <v>633</v>
      </c>
      <c r="G419" s="11">
        <f>G420+G426</f>
        <v>501.3</v>
      </c>
      <c r="H419" s="177"/>
      <c r="I419" s="178"/>
      <c r="J419" s="178"/>
      <c r="K419" s="178"/>
      <c r="L419" s="178"/>
      <c r="M419" s="178"/>
      <c r="N419" s="178"/>
      <c r="O419" s="178"/>
      <c r="P419" s="178"/>
      <c r="Q419" s="178"/>
      <c r="R419" s="178"/>
      <c r="S419" s="179"/>
      <c r="V419" s="110"/>
      <c r="W419" s="111" t="s">
        <v>1</v>
      </c>
      <c r="X419" s="111" t="s">
        <v>1813</v>
      </c>
    </row>
    <row r="420" spans="1:24" ht="36.75" customHeight="1" thickBot="1" x14ac:dyDescent="0.3">
      <c r="A420" s="12" t="s">
        <v>798</v>
      </c>
      <c r="B420" s="168" t="s">
        <v>799</v>
      </c>
      <c r="C420" s="169"/>
      <c r="D420" s="170"/>
      <c r="E420" s="15">
        <f>E421+E425</f>
        <v>265.60000000000002</v>
      </c>
      <c r="F420" s="15">
        <f>F421+F425</f>
        <v>240.2</v>
      </c>
      <c r="G420" s="15">
        <f>G421+G425</f>
        <v>232</v>
      </c>
      <c r="H420" s="171"/>
      <c r="I420" s="172"/>
      <c r="J420" s="172"/>
      <c r="K420" s="172"/>
      <c r="L420" s="172"/>
      <c r="M420" s="172"/>
      <c r="N420" s="172"/>
      <c r="O420" s="172"/>
      <c r="P420" s="172"/>
      <c r="Q420" s="172"/>
      <c r="R420" s="172"/>
      <c r="S420" s="173"/>
      <c r="V420" s="117"/>
      <c r="W420" s="112" t="s">
        <v>1814</v>
      </c>
      <c r="X420" s="113">
        <v>15</v>
      </c>
    </row>
    <row r="421" spans="1:24" ht="60.75" customHeight="1" x14ac:dyDescent="0.25">
      <c r="A421" s="200" t="s">
        <v>800</v>
      </c>
      <c r="B421" s="187" t="s">
        <v>801</v>
      </c>
      <c r="C421" s="187" t="s">
        <v>795</v>
      </c>
      <c r="D421" s="51"/>
      <c r="E421" s="52">
        <f>SUM(E422:E424)</f>
        <v>119</v>
      </c>
      <c r="F421" s="52">
        <f>SUM(F422:F424)</f>
        <v>93.6</v>
      </c>
      <c r="G421" s="52">
        <f>SUM(G422:G424)</f>
        <v>85.4</v>
      </c>
      <c r="H421" s="21" t="s">
        <v>802</v>
      </c>
      <c r="I421" s="23" t="s">
        <v>653</v>
      </c>
      <c r="J421" s="50">
        <v>5</v>
      </c>
      <c r="K421" s="67">
        <v>4</v>
      </c>
      <c r="L421" s="24" t="s">
        <v>128</v>
      </c>
      <c r="M421" s="24" t="s">
        <v>23</v>
      </c>
      <c r="N421" s="24" t="s">
        <v>128</v>
      </c>
      <c r="O421" s="24" t="s">
        <v>23</v>
      </c>
      <c r="P421" s="24"/>
      <c r="Q421" s="24"/>
      <c r="R421" s="21" t="s">
        <v>1693</v>
      </c>
      <c r="S421" s="25" t="s">
        <v>1695</v>
      </c>
      <c r="V421" s="118"/>
      <c r="W421" s="112" t="s">
        <v>1815</v>
      </c>
      <c r="X421" s="113">
        <v>14</v>
      </c>
    </row>
    <row r="422" spans="1:24" ht="39" customHeight="1" x14ac:dyDescent="0.25">
      <c r="A422" s="201"/>
      <c r="B422" s="203"/>
      <c r="C422" s="203"/>
      <c r="D422" s="28" t="s">
        <v>25</v>
      </c>
      <c r="E422" s="29">
        <v>107</v>
      </c>
      <c r="F422" s="29">
        <v>81.599999999999994</v>
      </c>
      <c r="G422" s="29">
        <v>73.400000000000006</v>
      </c>
      <c r="H422" s="28" t="s">
        <v>803</v>
      </c>
      <c r="I422" s="30" t="s">
        <v>653</v>
      </c>
      <c r="J422" s="62">
        <v>10</v>
      </c>
      <c r="K422" s="65">
        <v>10</v>
      </c>
      <c r="L422" s="31" t="s">
        <v>89</v>
      </c>
      <c r="M422" s="31" t="s">
        <v>23</v>
      </c>
      <c r="N422" s="31" t="s">
        <v>89</v>
      </c>
      <c r="O422" s="31" t="s">
        <v>23</v>
      </c>
      <c r="P422" s="31"/>
      <c r="Q422" s="31"/>
      <c r="R422" s="28" t="s">
        <v>804</v>
      </c>
      <c r="S422" s="32"/>
      <c r="V422" s="116"/>
      <c r="W422" s="112" t="s">
        <v>1816</v>
      </c>
      <c r="X422" s="113">
        <v>1</v>
      </c>
    </row>
    <row r="423" spans="1:24" ht="75.75" customHeight="1" x14ac:dyDescent="0.25">
      <c r="A423" s="201"/>
      <c r="B423" s="203"/>
      <c r="C423" s="203"/>
      <c r="D423" s="214" t="s">
        <v>30</v>
      </c>
      <c r="E423" s="270">
        <v>12</v>
      </c>
      <c r="F423" s="270">
        <v>12</v>
      </c>
      <c r="G423" s="270">
        <v>12</v>
      </c>
      <c r="H423" s="28" t="s">
        <v>805</v>
      </c>
      <c r="I423" s="30" t="s">
        <v>653</v>
      </c>
      <c r="J423" s="62">
        <v>5</v>
      </c>
      <c r="K423" s="68">
        <v>4</v>
      </c>
      <c r="L423" s="31" t="s">
        <v>82</v>
      </c>
      <c r="M423" s="31" t="s">
        <v>23</v>
      </c>
      <c r="N423" s="31" t="s">
        <v>82</v>
      </c>
      <c r="O423" s="31" t="s">
        <v>23</v>
      </c>
      <c r="P423" s="31"/>
      <c r="Q423" s="31"/>
      <c r="R423" s="28" t="s">
        <v>806</v>
      </c>
      <c r="S423" s="32" t="s">
        <v>1696</v>
      </c>
      <c r="V423" s="114"/>
      <c r="W423" s="119" t="s">
        <v>1817</v>
      </c>
      <c r="X423" s="115">
        <v>30</v>
      </c>
    </row>
    <row r="424" spans="1:24" ht="65.25" customHeight="1" thickBot="1" x14ac:dyDescent="0.3">
      <c r="A424" s="202"/>
      <c r="B424" s="188"/>
      <c r="C424" s="188"/>
      <c r="D424" s="182"/>
      <c r="E424" s="274"/>
      <c r="F424" s="274"/>
      <c r="G424" s="274"/>
      <c r="H424" s="28" t="s">
        <v>807</v>
      </c>
      <c r="I424" s="30" t="s">
        <v>653</v>
      </c>
      <c r="J424" s="62">
        <v>1500</v>
      </c>
      <c r="K424" s="68">
        <v>698</v>
      </c>
      <c r="L424" s="31" t="s">
        <v>673</v>
      </c>
      <c r="M424" s="31" t="s">
        <v>23</v>
      </c>
      <c r="N424" s="31" t="s">
        <v>673</v>
      </c>
      <c r="O424" s="31" t="s">
        <v>23</v>
      </c>
      <c r="P424" s="31"/>
      <c r="Q424" s="31"/>
      <c r="R424" s="28" t="s">
        <v>1694</v>
      </c>
      <c r="S424" s="32"/>
    </row>
    <row r="425" spans="1:24" ht="117" customHeight="1" thickBot="1" x14ac:dyDescent="0.3">
      <c r="A425" s="19" t="s">
        <v>808</v>
      </c>
      <c r="B425" s="20" t="s">
        <v>809</v>
      </c>
      <c r="C425" s="21" t="s">
        <v>795</v>
      </c>
      <c r="D425" s="21" t="s">
        <v>25</v>
      </c>
      <c r="E425" s="33">
        <v>146.6</v>
      </c>
      <c r="F425" s="33">
        <v>146.6</v>
      </c>
      <c r="G425" s="33">
        <v>146.6</v>
      </c>
      <c r="H425" s="21" t="s">
        <v>810</v>
      </c>
      <c r="I425" s="23" t="s">
        <v>21</v>
      </c>
      <c r="J425" s="50">
        <v>20</v>
      </c>
      <c r="K425" s="66">
        <v>32</v>
      </c>
      <c r="L425" s="24" t="s">
        <v>811</v>
      </c>
      <c r="M425" s="24" t="s">
        <v>23</v>
      </c>
      <c r="N425" s="24" t="s">
        <v>811</v>
      </c>
      <c r="O425" s="24" t="s">
        <v>23</v>
      </c>
      <c r="P425" s="24"/>
      <c r="Q425" s="24"/>
      <c r="R425" s="21" t="s">
        <v>812</v>
      </c>
      <c r="S425" s="25"/>
    </row>
    <row r="426" spans="1:24" ht="37.5" customHeight="1" thickBot="1" x14ac:dyDescent="0.3">
      <c r="A426" s="12" t="s">
        <v>813</v>
      </c>
      <c r="B426" s="168" t="s">
        <v>814</v>
      </c>
      <c r="C426" s="169"/>
      <c r="D426" s="170"/>
      <c r="E426" s="15">
        <f>E427+E430+E431</f>
        <v>500</v>
      </c>
      <c r="F426" s="15">
        <f>F427+F430+F431</f>
        <v>392.8</v>
      </c>
      <c r="G426" s="15">
        <f>G427+G430+G431</f>
        <v>269.3</v>
      </c>
      <c r="H426" s="171"/>
      <c r="I426" s="172"/>
      <c r="J426" s="172"/>
      <c r="K426" s="172"/>
      <c r="L426" s="172"/>
      <c r="M426" s="172"/>
      <c r="N426" s="172"/>
      <c r="O426" s="172"/>
      <c r="P426" s="172"/>
      <c r="Q426" s="172"/>
      <c r="R426" s="172"/>
      <c r="S426" s="173"/>
    </row>
    <row r="427" spans="1:24" ht="57" customHeight="1" x14ac:dyDescent="0.25">
      <c r="A427" s="200" t="s">
        <v>815</v>
      </c>
      <c r="B427" s="187" t="s">
        <v>816</v>
      </c>
      <c r="C427" s="187" t="s">
        <v>795</v>
      </c>
      <c r="D427" s="187" t="s">
        <v>25</v>
      </c>
      <c r="E427" s="207">
        <f>SUM(E428:E429)+90</f>
        <v>90</v>
      </c>
      <c r="F427" s="207">
        <f>SUM(F428:F429)+90</f>
        <v>90</v>
      </c>
      <c r="G427" s="207">
        <f>SUM(G428:G429)+52.9</f>
        <v>52.9</v>
      </c>
      <c r="H427" s="21" t="s">
        <v>817</v>
      </c>
      <c r="I427" s="23" t="s">
        <v>653</v>
      </c>
      <c r="J427" s="50">
        <v>24</v>
      </c>
      <c r="K427" s="66">
        <v>24</v>
      </c>
      <c r="L427" s="24" t="s">
        <v>116</v>
      </c>
      <c r="M427" s="24" t="s">
        <v>23</v>
      </c>
      <c r="N427" s="24" t="s">
        <v>116</v>
      </c>
      <c r="O427" s="24" t="s">
        <v>23</v>
      </c>
      <c r="P427" s="24"/>
      <c r="Q427" s="24"/>
      <c r="R427" s="21" t="s">
        <v>818</v>
      </c>
      <c r="S427" s="25"/>
    </row>
    <row r="428" spans="1:24" ht="71.25" customHeight="1" x14ac:dyDescent="0.25">
      <c r="A428" s="201"/>
      <c r="B428" s="203"/>
      <c r="C428" s="203"/>
      <c r="D428" s="203"/>
      <c r="E428" s="255"/>
      <c r="F428" s="255"/>
      <c r="G428" s="255"/>
      <c r="H428" s="28" t="s">
        <v>819</v>
      </c>
      <c r="I428" s="30" t="s">
        <v>653</v>
      </c>
      <c r="J428" s="62">
        <v>2500</v>
      </c>
      <c r="K428" s="68">
        <v>1958</v>
      </c>
      <c r="L428" s="31" t="s">
        <v>654</v>
      </c>
      <c r="M428" s="31" t="s">
        <v>23</v>
      </c>
      <c r="N428" s="31" t="s">
        <v>654</v>
      </c>
      <c r="O428" s="31" t="s">
        <v>23</v>
      </c>
      <c r="P428" s="31"/>
      <c r="Q428" s="31"/>
      <c r="R428" s="28" t="s">
        <v>820</v>
      </c>
      <c r="S428" s="32"/>
    </row>
    <row r="429" spans="1:24" ht="75.75" thickBot="1" x14ac:dyDescent="0.3">
      <c r="A429" s="202"/>
      <c r="B429" s="188"/>
      <c r="C429" s="188"/>
      <c r="D429" s="188"/>
      <c r="E429" s="208"/>
      <c r="F429" s="208"/>
      <c r="G429" s="208"/>
      <c r="H429" s="28" t="s">
        <v>821</v>
      </c>
      <c r="I429" s="30" t="s">
        <v>21</v>
      </c>
      <c r="J429" s="62">
        <v>1</v>
      </c>
      <c r="K429" s="65">
        <v>1</v>
      </c>
      <c r="L429" s="31" t="s">
        <v>22</v>
      </c>
      <c r="M429" s="31" t="s">
        <v>23</v>
      </c>
      <c r="N429" s="31" t="s">
        <v>22</v>
      </c>
      <c r="O429" s="31" t="s">
        <v>23</v>
      </c>
      <c r="P429" s="31"/>
      <c r="Q429" s="31"/>
      <c r="R429" s="28" t="s">
        <v>822</v>
      </c>
      <c r="S429" s="32"/>
    </row>
    <row r="430" spans="1:24" ht="82.5" customHeight="1" thickBot="1" x14ac:dyDescent="0.3">
      <c r="A430" s="19" t="s">
        <v>823</v>
      </c>
      <c r="B430" s="20" t="s">
        <v>824</v>
      </c>
      <c r="C430" s="21" t="s">
        <v>795</v>
      </c>
      <c r="D430" s="21" t="s">
        <v>25</v>
      </c>
      <c r="E430" s="33">
        <v>20</v>
      </c>
      <c r="F430" s="33">
        <v>20</v>
      </c>
      <c r="G430" s="33">
        <v>9.5</v>
      </c>
      <c r="H430" s="21" t="s">
        <v>825</v>
      </c>
      <c r="I430" s="23" t="s">
        <v>549</v>
      </c>
      <c r="J430" s="50">
        <v>1200</v>
      </c>
      <c r="K430" s="67">
        <v>65</v>
      </c>
      <c r="L430" s="24" t="s">
        <v>459</v>
      </c>
      <c r="M430" s="24" t="s">
        <v>23</v>
      </c>
      <c r="N430" s="24" t="s">
        <v>459</v>
      </c>
      <c r="O430" s="24" t="s">
        <v>23</v>
      </c>
      <c r="P430" s="24"/>
      <c r="Q430" s="24"/>
      <c r="R430" s="21" t="s">
        <v>826</v>
      </c>
      <c r="S430" s="25" t="s">
        <v>1697</v>
      </c>
    </row>
    <row r="431" spans="1:24" ht="118.5" customHeight="1" x14ac:dyDescent="0.25">
      <c r="A431" s="200" t="s">
        <v>827</v>
      </c>
      <c r="B431" s="187" t="s">
        <v>828</v>
      </c>
      <c r="C431" s="187" t="s">
        <v>795</v>
      </c>
      <c r="D431" s="51"/>
      <c r="E431" s="52">
        <f>SUM(E432:E439)</f>
        <v>390</v>
      </c>
      <c r="F431" s="52">
        <f>SUM(F432:F439)</f>
        <v>282.8</v>
      </c>
      <c r="G431" s="52">
        <f>SUM(G432:G439)</f>
        <v>206.9</v>
      </c>
      <c r="H431" s="21" t="s">
        <v>829</v>
      </c>
      <c r="I431" s="23" t="s">
        <v>653</v>
      </c>
      <c r="J431" s="50">
        <v>1</v>
      </c>
      <c r="K431" s="66">
        <v>1</v>
      </c>
      <c r="L431" s="24" t="s">
        <v>22</v>
      </c>
      <c r="M431" s="24" t="s">
        <v>23</v>
      </c>
      <c r="N431" s="24" t="s">
        <v>22</v>
      </c>
      <c r="O431" s="24" t="s">
        <v>23</v>
      </c>
      <c r="P431" s="24"/>
      <c r="Q431" s="24"/>
      <c r="R431" s="21" t="s">
        <v>830</v>
      </c>
      <c r="S431" s="25"/>
    </row>
    <row r="432" spans="1:24" ht="156" customHeight="1" x14ac:dyDescent="0.25">
      <c r="A432" s="201"/>
      <c r="B432" s="203"/>
      <c r="C432" s="203"/>
      <c r="D432" s="214" t="s">
        <v>25</v>
      </c>
      <c r="E432" s="270">
        <v>390</v>
      </c>
      <c r="F432" s="270">
        <v>282.8</v>
      </c>
      <c r="G432" s="270">
        <v>206.9</v>
      </c>
      <c r="H432" s="28" t="s">
        <v>831</v>
      </c>
      <c r="I432" s="30" t="s">
        <v>653</v>
      </c>
      <c r="J432" s="62">
        <v>8</v>
      </c>
      <c r="K432" s="68">
        <v>4</v>
      </c>
      <c r="L432" s="31" t="s">
        <v>128</v>
      </c>
      <c r="M432" s="31" t="s">
        <v>23</v>
      </c>
      <c r="N432" s="31" t="s">
        <v>128</v>
      </c>
      <c r="O432" s="31" t="s">
        <v>23</v>
      </c>
      <c r="P432" s="31"/>
      <c r="Q432" s="31"/>
      <c r="R432" s="28" t="s">
        <v>832</v>
      </c>
      <c r="S432" s="32"/>
    </row>
    <row r="433" spans="1:19" ht="330" customHeight="1" x14ac:dyDescent="0.25">
      <c r="A433" s="201"/>
      <c r="B433" s="203"/>
      <c r="C433" s="203"/>
      <c r="D433" s="204"/>
      <c r="E433" s="271"/>
      <c r="F433" s="271"/>
      <c r="G433" s="271"/>
      <c r="H433" s="28" t="s">
        <v>833</v>
      </c>
      <c r="I433" s="30" t="s">
        <v>653</v>
      </c>
      <c r="J433" s="62">
        <v>190</v>
      </c>
      <c r="K433" s="68">
        <v>73</v>
      </c>
      <c r="L433" s="31" t="s">
        <v>834</v>
      </c>
      <c r="M433" s="31" t="s">
        <v>23</v>
      </c>
      <c r="N433" s="31" t="s">
        <v>834</v>
      </c>
      <c r="O433" s="31" t="s">
        <v>23</v>
      </c>
      <c r="P433" s="31"/>
      <c r="Q433" s="31"/>
      <c r="R433" s="28" t="s">
        <v>1698</v>
      </c>
      <c r="S433" s="32" t="s">
        <v>1699</v>
      </c>
    </row>
    <row r="434" spans="1:19" ht="57" customHeight="1" x14ac:dyDescent="0.25">
      <c r="A434" s="201"/>
      <c r="B434" s="203"/>
      <c r="C434" s="203"/>
      <c r="D434" s="204"/>
      <c r="E434" s="271"/>
      <c r="F434" s="271"/>
      <c r="G434" s="271"/>
      <c r="H434" s="28" t="s">
        <v>835</v>
      </c>
      <c r="I434" s="30" t="s">
        <v>653</v>
      </c>
      <c r="J434" s="62">
        <v>33</v>
      </c>
      <c r="K434" s="68">
        <v>22</v>
      </c>
      <c r="L434" s="31" t="s">
        <v>811</v>
      </c>
      <c r="M434" s="31" t="s">
        <v>23</v>
      </c>
      <c r="N434" s="31" t="s">
        <v>836</v>
      </c>
      <c r="O434" s="31" t="s">
        <v>23</v>
      </c>
      <c r="P434" s="31"/>
      <c r="Q434" s="31"/>
      <c r="R434" s="28" t="s">
        <v>837</v>
      </c>
      <c r="S434" s="32"/>
    </row>
    <row r="435" spans="1:19" ht="114.75" customHeight="1" x14ac:dyDescent="0.25">
      <c r="A435" s="201"/>
      <c r="B435" s="203"/>
      <c r="C435" s="203"/>
      <c r="D435" s="204"/>
      <c r="E435" s="271"/>
      <c r="F435" s="271"/>
      <c r="G435" s="271"/>
      <c r="H435" s="28" t="s">
        <v>838</v>
      </c>
      <c r="I435" s="30" t="s">
        <v>653</v>
      </c>
      <c r="J435" s="62">
        <v>7</v>
      </c>
      <c r="K435" s="68">
        <v>3</v>
      </c>
      <c r="L435" s="31" t="s">
        <v>127</v>
      </c>
      <c r="M435" s="31" t="s">
        <v>23</v>
      </c>
      <c r="N435" s="31" t="s">
        <v>127</v>
      </c>
      <c r="O435" s="31" t="s">
        <v>23</v>
      </c>
      <c r="P435" s="31"/>
      <c r="Q435" s="31"/>
      <c r="R435" s="28" t="s">
        <v>839</v>
      </c>
      <c r="S435" s="32"/>
    </row>
    <row r="436" spans="1:19" ht="42.75" customHeight="1" x14ac:dyDescent="0.25">
      <c r="A436" s="201"/>
      <c r="B436" s="203"/>
      <c r="C436" s="203"/>
      <c r="D436" s="204"/>
      <c r="E436" s="271"/>
      <c r="F436" s="271"/>
      <c r="G436" s="271"/>
      <c r="H436" s="28" t="s">
        <v>840</v>
      </c>
      <c r="I436" s="30" t="s">
        <v>653</v>
      </c>
      <c r="J436" s="62">
        <v>2</v>
      </c>
      <c r="K436" s="68">
        <v>1</v>
      </c>
      <c r="L436" s="31" t="s">
        <v>52</v>
      </c>
      <c r="M436" s="31" t="s">
        <v>23</v>
      </c>
      <c r="N436" s="31" t="s">
        <v>52</v>
      </c>
      <c r="O436" s="31" t="s">
        <v>23</v>
      </c>
      <c r="P436" s="31"/>
      <c r="Q436" s="31"/>
      <c r="R436" s="28" t="s">
        <v>841</v>
      </c>
      <c r="S436" s="32" t="s">
        <v>1700</v>
      </c>
    </row>
    <row r="437" spans="1:19" ht="69" customHeight="1" x14ac:dyDescent="0.25">
      <c r="A437" s="201"/>
      <c r="B437" s="203"/>
      <c r="C437" s="203"/>
      <c r="D437" s="204"/>
      <c r="E437" s="271"/>
      <c r="F437" s="271"/>
      <c r="G437" s="271"/>
      <c r="H437" s="28" t="s">
        <v>842</v>
      </c>
      <c r="I437" s="30" t="s">
        <v>653</v>
      </c>
      <c r="J437" s="62">
        <v>10</v>
      </c>
      <c r="K437" s="68">
        <v>8</v>
      </c>
      <c r="L437" s="31" t="s">
        <v>89</v>
      </c>
      <c r="M437" s="31" t="s">
        <v>23</v>
      </c>
      <c r="N437" s="31" t="s">
        <v>89</v>
      </c>
      <c r="O437" s="31" t="s">
        <v>23</v>
      </c>
      <c r="P437" s="31"/>
      <c r="Q437" s="31"/>
      <c r="R437" s="28" t="s">
        <v>843</v>
      </c>
      <c r="S437" s="32"/>
    </row>
    <row r="438" spans="1:19" ht="120.75" customHeight="1" x14ac:dyDescent="0.25">
      <c r="A438" s="201"/>
      <c r="B438" s="203"/>
      <c r="C438" s="203"/>
      <c r="D438" s="204"/>
      <c r="E438" s="271"/>
      <c r="F438" s="271"/>
      <c r="G438" s="271"/>
      <c r="H438" s="28" t="s">
        <v>844</v>
      </c>
      <c r="I438" s="30" t="s">
        <v>21</v>
      </c>
      <c r="J438" s="62">
        <v>0</v>
      </c>
      <c r="K438" s="133" t="s">
        <v>1701</v>
      </c>
      <c r="L438" s="31" t="s">
        <v>22</v>
      </c>
      <c r="M438" s="31" t="s">
        <v>23</v>
      </c>
      <c r="N438" s="31" t="s">
        <v>22</v>
      </c>
      <c r="O438" s="31" t="s">
        <v>23</v>
      </c>
      <c r="P438" s="31"/>
      <c r="Q438" s="31"/>
      <c r="R438" s="28" t="s">
        <v>845</v>
      </c>
      <c r="S438" s="32" t="s">
        <v>846</v>
      </c>
    </row>
    <row r="439" spans="1:19" ht="104.25" customHeight="1" thickBot="1" x14ac:dyDescent="0.3">
      <c r="A439" s="202"/>
      <c r="B439" s="188"/>
      <c r="C439" s="188"/>
      <c r="D439" s="182"/>
      <c r="E439" s="274"/>
      <c r="F439" s="274"/>
      <c r="G439" s="274"/>
      <c r="H439" s="28" t="s">
        <v>847</v>
      </c>
      <c r="I439" s="30" t="s">
        <v>653</v>
      </c>
      <c r="J439" s="62">
        <v>2</v>
      </c>
      <c r="K439" s="133">
        <v>3</v>
      </c>
      <c r="L439" s="31" t="s">
        <v>23</v>
      </c>
      <c r="M439" s="31" t="s">
        <v>23</v>
      </c>
      <c r="N439" s="31" t="s">
        <v>23</v>
      </c>
      <c r="O439" s="31" t="s">
        <v>23</v>
      </c>
      <c r="P439" s="31"/>
      <c r="Q439" s="31"/>
      <c r="R439" s="28" t="s">
        <v>848</v>
      </c>
      <c r="S439" s="32"/>
    </row>
    <row r="440" spans="1:19" ht="51.75" customHeight="1" thickBot="1" x14ac:dyDescent="0.3">
      <c r="A440" s="8" t="s">
        <v>849</v>
      </c>
      <c r="B440" s="174" t="s">
        <v>850</v>
      </c>
      <c r="C440" s="175"/>
      <c r="D440" s="176"/>
      <c r="E440" s="11">
        <f>SUM(E441:E441)</f>
        <v>41604.699999999997</v>
      </c>
      <c r="F440" s="11">
        <f>SUM(F441:F441)</f>
        <v>43016.4</v>
      </c>
      <c r="G440" s="11">
        <f>SUM(G441:G441)</f>
        <v>41064.799999999996</v>
      </c>
      <c r="H440" s="177"/>
      <c r="I440" s="178"/>
      <c r="J440" s="178"/>
      <c r="K440" s="178"/>
      <c r="L440" s="178"/>
      <c r="M440" s="178"/>
      <c r="N440" s="178"/>
      <c r="O440" s="178"/>
      <c r="P440" s="178"/>
      <c r="Q440" s="178"/>
      <c r="R440" s="178"/>
      <c r="S440" s="179"/>
    </row>
    <row r="441" spans="1:19" ht="50.25" customHeight="1" thickBot="1" x14ac:dyDescent="0.3">
      <c r="A441" s="12" t="s">
        <v>851</v>
      </c>
      <c r="B441" s="168" t="s">
        <v>852</v>
      </c>
      <c r="C441" s="169"/>
      <c r="D441" s="170"/>
      <c r="E441" s="15">
        <f>E442+E453+E456+E458+E462+E466+E468</f>
        <v>41604.699999999997</v>
      </c>
      <c r="F441" s="15">
        <f>F442+F453+F456+F458+F462+F466+F468</f>
        <v>43016.4</v>
      </c>
      <c r="G441" s="15">
        <f>G442+G453+G456+G458+G462+G466+G468+0.1</f>
        <v>41064.799999999996</v>
      </c>
      <c r="H441" s="171"/>
      <c r="I441" s="172"/>
      <c r="J441" s="172"/>
      <c r="K441" s="172"/>
      <c r="L441" s="172"/>
      <c r="M441" s="172"/>
      <c r="N441" s="172"/>
      <c r="O441" s="172"/>
      <c r="P441" s="172"/>
      <c r="Q441" s="172"/>
      <c r="R441" s="172"/>
      <c r="S441" s="173"/>
    </row>
    <row r="442" spans="1:19" ht="87" customHeight="1" x14ac:dyDescent="0.25">
      <c r="A442" s="200" t="s">
        <v>853</v>
      </c>
      <c r="B442" s="187" t="s">
        <v>854</v>
      </c>
      <c r="C442" s="187" t="s">
        <v>795</v>
      </c>
      <c r="D442" s="51"/>
      <c r="E442" s="52">
        <f>SUM(E443:E452)</f>
        <v>38890.999999999993</v>
      </c>
      <c r="F442" s="52">
        <f>SUM(F443:F452)</f>
        <v>41068.199999999997</v>
      </c>
      <c r="G442" s="52">
        <f>SUM(G443:G452)</f>
        <v>39195.699999999997</v>
      </c>
      <c r="H442" s="21" t="s">
        <v>855</v>
      </c>
      <c r="I442" s="23" t="s">
        <v>653</v>
      </c>
      <c r="J442" s="50">
        <v>5500</v>
      </c>
      <c r="K442" s="67">
        <v>5400</v>
      </c>
      <c r="L442" s="24" t="s">
        <v>856</v>
      </c>
      <c r="M442" s="24" t="s">
        <v>23</v>
      </c>
      <c r="N442" s="24" t="s">
        <v>856</v>
      </c>
      <c r="O442" s="24" t="s">
        <v>23</v>
      </c>
      <c r="P442" s="24"/>
      <c r="Q442" s="24"/>
      <c r="R442" s="21" t="s">
        <v>857</v>
      </c>
      <c r="S442" s="25"/>
    </row>
    <row r="443" spans="1:19" ht="26.25" customHeight="1" x14ac:dyDescent="0.25">
      <c r="A443" s="201"/>
      <c r="B443" s="203"/>
      <c r="C443" s="203"/>
      <c r="D443" s="28" t="s">
        <v>196</v>
      </c>
      <c r="E443" s="29">
        <v>457.4</v>
      </c>
      <c r="F443" s="29">
        <v>775.8</v>
      </c>
      <c r="G443" s="29">
        <v>220.4</v>
      </c>
      <c r="H443" s="28" t="s">
        <v>858</v>
      </c>
      <c r="I443" s="30" t="s">
        <v>21</v>
      </c>
      <c r="J443" s="62">
        <v>1</v>
      </c>
      <c r="K443" s="65">
        <v>1</v>
      </c>
      <c r="L443" s="31" t="s">
        <v>22</v>
      </c>
      <c r="M443" s="31" t="s">
        <v>23</v>
      </c>
      <c r="N443" s="31" t="s">
        <v>22</v>
      </c>
      <c r="O443" s="31" t="s">
        <v>23</v>
      </c>
      <c r="P443" s="31"/>
      <c r="Q443" s="31"/>
      <c r="R443" s="28"/>
      <c r="S443" s="32"/>
    </row>
    <row r="444" spans="1:19" ht="53.25" customHeight="1" x14ac:dyDescent="0.25">
      <c r="A444" s="201"/>
      <c r="B444" s="203"/>
      <c r="C444" s="203"/>
      <c r="D444" s="28" t="s">
        <v>175</v>
      </c>
      <c r="E444" s="29">
        <v>1135.8</v>
      </c>
      <c r="F444" s="29">
        <v>1144.3</v>
      </c>
      <c r="G444" s="29">
        <v>574.29999999999995</v>
      </c>
      <c r="H444" s="28" t="s">
        <v>859</v>
      </c>
      <c r="I444" s="30" t="s">
        <v>417</v>
      </c>
      <c r="J444" s="62">
        <v>12.4</v>
      </c>
      <c r="K444" s="65">
        <v>12.4</v>
      </c>
      <c r="L444" s="31" t="s">
        <v>860</v>
      </c>
      <c r="M444" s="31" t="s">
        <v>23</v>
      </c>
      <c r="N444" s="31" t="s">
        <v>860</v>
      </c>
      <c r="O444" s="31" t="s">
        <v>23</v>
      </c>
      <c r="P444" s="31"/>
      <c r="Q444" s="31"/>
      <c r="R444" s="28" t="s">
        <v>861</v>
      </c>
      <c r="S444" s="32"/>
    </row>
    <row r="445" spans="1:19" ht="48" customHeight="1" x14ac:dyDescent="0.25">
      <c r="A445" s="201"/>
      <c r="B445" s="203"/>
      <c r="C445" s="203"/>
      <c r="D445" s="28" t="s">
        <v>201</v>
      </c>
      <c r="E445" s="29">
        <v>4098.3999999999996</v>
      </c>
      <c r="F445" s="29">
        <v>4307.8</v>
      </c>
      <c r="G445" s="29">
        <v>4292.6000000000004</v>
      </c>
      <c r="H445" s="28" t="s">
        <v>862</v>
      </c>
      <c r="I445" s="30" t="s">
        <v>21</v>
      </c>
      <c r="J445" s="62">
        <v>1</v>
      </c>
      <c r="K445" s="65">
        <v>1</v>
      </c>
      <c r="L445" s="31" t="s">
        <v>22</v>
      </c>
      <c r="M445" s="31" t="s">
        <v>23</v>
      </c>
      <c r="N445" s="31" t="s">
        <v>22</v>
      </c>
      <c r="O445" s="31" t="s">
        <v>23</v>
      </c>
      <c r="P445" s="31"/>
      <c r="Q445" s="31"/>
      <c r="R445" s="28"/>
      <c r="S445" s="32"/>
    </row>
    <row r="446" spans="1:19" ht="40.5" customHeight="1" x14ac:dyDescent="0.25">
      <c r="A446" s="201"/>
      <c r="B446" s="203"/>
      <c r="C446" s="203"/>
      <c r="D446" s="28" t="s">
        <v>863</v>
      </c>
      <c r="E446" s="29">
        <v>23378</v>
      </c>
      <c r="F446" s="29">
        <v>24579.200000000001</v>
      </c>
      <c r="G446" s="29">
        <v>24569.7</v>
      </c>
      <c r="H446" s="213" t="s">
        <v>864</v>
      </c>
      <c r="I446" s="214" t="s">
        <v>653</v>
      </c>
      <c r="J446" s="215">
        <v>27</v>
      </c>
      <c r="K446" s="216">
        <v>27</v>
      </c>
      <c r="L446" s="31" t="s">
        <v>865</v>
      </c>
      <c r="M446" s="31" t="s">
        <v>23</v>
      </c>
      <c r="N446" s="31" t="s">
        <v>865</v>
      </c>
      <c r="O446" s="31" t="s">
        <v>23</v>
      </c>
      <c r="P446" s="31"/>
      <c r="Q446" s="31"/>
      <c r="R446" s="213" t="s">
        <v>866</v>
      </c>
      <c r="S446" s="156"/>
    </row>
    <row r="447" spans="1:19" ht="44.25" customHeight="1" x14ac:dyDescent="0.25">
      <c r="A447" s="201"/>
      <c r="B447" s="203"/>
      <c r="C447" s="203"/>
      <c r="D447" s="28" t="s">
        <v>30</v>
      </c>
      <c r="E447" s="29">
        <v>108.2</v>
      </c>
      <c r="F447" s="29">
        <v>252.6</v>
      </c>
      <c r="G447" s="29">
        <v>110.6</v>
      </c>
      <c r="H447" s="228"/>
      <c r="I447" s="229"/>
      <c r="J447" s="230"/>
      <c r="K447" s="272"/>
      <c r="L447" s="31" t="s">
        <v>867</v>
      </c>
      <c r="M447" s="31" t="s">
        <v>23</v>
      </c>
      <c r="N447" s="31" t="s">
        <v>867</v>
      </c>
      <c r="O447" s="31" t="s">
        <v>23</v>
      </c>
      <c r="P447" s="31"/>
      <c r="Q447" s="31"/>
      <c r="R447" s="228"/>
      <c r="S447" s="273"/>
    </row>
    <row r="448" spans="1:19" ht="99" customHeight="1" x14ac:dyDescent="0.25">
      <c r="A448" s="201"/>
      <c r="B448" s="203"/>
      <c r="C448" s="203"/>
      <c r="D448" s="28" t="s">
        <v>25</v>
      </c>
      <c r="E448" s="29">
        <v>8794.9</v>
      </c>
      <c r="F448" s="29">
        <v>8937.9</v>
      </c>
      <c r="G448" s="29">
        <v>8707</v>
      </c>
      <c r="H448" s="28" t="s">
        <v>868</v>
      </c>
      <c r="I448" s="30" t="s">
        <v>653</v>
      </c>
      <c r="J448" s="62">
        <v>12643</v>
      </c>
      <c r="K448" s="65">
        <v>12643</v>
      </c>
      <c r="L448" s="31" t="s">
        <v>869</v>
      </c>
      <c r="M448" s="31" t="s">
        <v>23</v>
      </c>
      <c r="N448" s="31" t="s">
        <v>869</v>
      </c>
      <c r="O448" s="31" t="s">
        <v>23</v>
      </c>
      <c r="P448" s="31"/>
      <c r="Q448" s="31"/>
      <c r="R448" s="28" t="s">
        <v>870</v>
      </c>
      <c r="S448" s="32"/>
    </row>
    <row r="449" spans="1:19" ht="57" customHeight="1" x14ac:dyDescent="0.25">
      <c r="A449" s="201"/>
      <c r="B449" s="203"/>
      <c r="C449" s="203"/>
      <c r="D449" s="28" t="s">
        <v>180</v>
      </c>
      <c r="E449" s="29">
        <v>763.1</v>
      </c>
      <c r="F449" s="29">
        <v>932.7</v>
      </c>
      <c r="G449" s="29">
        <v>583.20000000000005</v>
      </c>
      <c r="H449" s="28" t="s">
        <v>871</v>
      </c>
      <c r="I449" s="30" t="s">
        <v>653</v>
      </c>
      <c r="J449" s="62">
        <v>62</v>
      </c>
      <c r="K449" s="65">
        <v>62</v>
      </c>
      <c r="L449" s="31" t="s">
        <v>677</v>
      </c>
      <c r="M449" s="31" t="s">
        <v>23</v>
      </c>
      <c r="N449" s="31" t="s">
        <v>677</v>
      </c>
      <c r="O449" s="31" t="s">
        <v>23</v>
      </c>
      <c r="P449" s="31"/>
      <c r="Q449" s="31"/>
      <c r="R449" s="28" t="s">
        <v>872</v>
      </c>
      <c r="S449" s="32"/>
    </row>
    <row r="450" spans="1:19" ht="48" customHeight="1" x14ac:dyDescent="0.25">
      <c r="A450" s="201"/>
      <c r="B450" s="203"/>
      <c r="C450" s="203"/>
      <c r="D450" s="214" t="s">
        <v>192</v>
      </c>
      <c r="E450" s="270">
        <v>155.19999999999999</v>
      </c>
      <c r="F450" s="270">
        <v>137.9</v>
      </c>
      <c r="G450" s="270">
        <v>137.9</v>
      </c>
      <c r="H450" s="28" t="s">
        <v>873</v>
      </c>
      <c r="I450" s="30" t="s">
        <v>653</v>
      </c>
      <c r="J450" s="62">
        <v>32</v>
      </c>
      <c r="K450" s="65">
        <v>32</v>
      </c>
      <c r="L450" s="31" t="s">
        <v>115</v>
      </c>
      <c r="M450" s="31" t="s">
        <v>23</v>
      </c>
      <c r="N450" s="31" t="s">
        <v>115</v>
      </c>
      <c r="O450" s="31" t="s">
        <v>23</v>
      </c>
      <c r="P450" s="31"/>
      <c r="Q450" s="31"/>
      <c r="R450" s="28" t="s">
        <v>874</v>
      </c>
      <c r="S450" s="32"/>
    </row>
    <row r="451" spans="1:19" ht="53.25" customHeight="1" x14ac:dyDescent="0.25">
      <c r="A451" s="201"/>
      <c r="B451" s="203"/>
      <c r="C451" s="203"/>
      <c r="D451" s="204"/>
      <c r="E451" s="271"/>
      <c r="F451" s="271"/>
      <c r="G451" s="271"/>
      <c r="H451" s="28" t="s">
        <v>875</v>
      </c>
      <c r="I451" s="30" t="s">
        <v>653</v>
      </c>
      <c r="J451" s="62">
        <v>12700</v>
      </c>
      <c r="K451" s="65">
        <v>12989</v>
      </c>
      <c r="L451" s="31" t="s">
        <v>869</v>
      </c>
      <c r="M451" s="31" t="s">
        <v>23</v>
      </c>
      <c r="N451" s="31" t="s">
        <v>869</v>
      </c>
      <c r="O451" s="31" t="s">
        <v>23</v>
      </c>
      <c r="P451" s="31"/>
      <c r="Q451" s="31"/>
      <c r="R451" s="28" t="s">
        <v>876</v>
      </c>
      <c r="S451" s="32"/>
    </row>
    <row r="452" spans="1:19" ht="75.75" thickBot="1" x14ac:dyDescent="0.3">
      <c r="A452" s="201"/>
      <c r="B452" s="203"/>
      <c r="C452" s="203"/>
      <c r="D452" s="204"/>
      <c r="E452" s="271"/>
      <c r="F452" s="271"/>
      <c r="G452" s="271"/>
      <c r="H452" s="28" t="s">
        <v>877</v>
      </c>
      <c r="I452" s="30" t="s">
        <v>215</v>
      </c>
      <c r="J452" s="62">
        <v>10</v>
      </c>
      <c r="K452" s="65">
        <v>10</v>
      </c>
      <c r="L452" s="31" t="s">
        <v>89</v>
      </c>
      <c r="M452" s="31" t="s">
        <v>23</v>
      </c>
      <c r="N452" s="31" t="s">
        <v>89</v>
      </c>
      <c r="O452" s="31" t="s">
        <v>23</v>
      </c>
      <c r="P452" s="31"/>
      <c r="Q452" s="31"/>
      <c r="R452" s="28" t="s">
        <v>878</v>
      </c>
      <c r="S452" s="32"/>
    </row>
    <row r="453" spans="1:19" ht="409.5" customHeight="1" x14ac:dyDescent="0.25">
      <c r="A453" s="200" t="s">
        <v>879</v>
      </c>
      <c r="B453" s="187" t="s">
        <v>1702</v>
      </c>
      <c r="C453" s="187" t="s">
        <v>795</v>
      </c>
      <c r="D453" s="51"/>
      <c r="E453" s="52">
        <f>SUM(E454:E455)</f>
        <v>835.9</v>
      </c>
      <c r="F453" s="52">
        <f>SUM(F454:F455)</f>
        <v>35.1</v>
      </c>
      <c r="G453" s="52">
        <f>SUM(G454:G455)</f>
        <v>29.900000000000002</v>
      </c>
      <c r="H453" s="21" t="s">
        <v>880</v>
      </c>
      <c r="I453" s="23" t="s">
        <v>549</v>
      </c>
      <c r="J453" s="50">
        <v>970</v>
      </c>
      <c r="K453" s="66">
        <v>970</v>
      </c>
      <c r="L453" s="24"/>
      <c r="M453" s="24"/>
      <c r="N453" s="24"/>
      <c r="O453" s="24"/>
      <c r="P453" s="24"/>
      <c r="Q453" s="24"/>
      <c r="R453" s="21" t="s">
        <v>881</v>
      </c>
      <c r="S453" s="25"/>
    </row>
    <row r="454" spans="1:19" ht="61.5" customHeight="1" x14ac:dyDescent="0.25">
      <c r="A454" s="201"/>
      <c r="B454" s="203"/>
      <c r="C454" s="203"/>
      <c r="D454" s="28" t="s">
        <v>863</v>
      </c>
      <c r="E454" s="29">
        <v>835.9</v>
      </c>
      <c r="F454" s="29">
        <v>29.4</v>
      </c>
      <c r="G454" s="29">
        <v>29.1</v>
      </c>
      <c r="H454" s="213" t="s">
        <v>882</v>
      </c>
      <c r="I454" s="214" t="s">
        <v>653</v>
      </c>
      <c r="J454" s="215">
        <v>7</v>
      </c>
      <c r="K454" s="218">
        <v>2</v>
      </c>
      <c r="L454" s="31"/>
      <c r="M454" s="31"/>
      <c r="N454" s="31"/>
      <c r="O454" s="31"/>
      <c r="P454" s="31"/>
      <c r="Q454" s="31"/>
      <c r="R454" s="213" t="s">
        <v>883</v>
      </c>
      <c r="S454" s="268"/>
    </row>
    <row r="455" spans="1:19" ht="62.25" customHeight="1" thickBot="1" x14ac:dyDescent="0.3">
      <c r="A455" s="202"/>
      <c r="B455" s="188"/>
      <c r="C455" s="188"/>
      <c r="D455" s="28" t="s">
        <v>201</v>
      </c>
      <c r="E455" s="29"/>
      <c r="F455" s="29">
        <v>5.7</v>
      </c>
      <c r="G455" s="29">
        <v>0.8</v>
      </c>
      <c r="H455" s="188"/>
      <c r="I455" s="182"/>
      <c r="J455" s="184"/>
      <c r="K455" s="186"/>
      <c r="L455" s="31"/>
      <c r="M455" s="31"/>
      <c r="N455" s="31"/>
      <c r="O455" s="31"/>
      <c r="P455" s="31"/>
      <c r="Q455" s="31"/>
      <c r="R455" s="188"/>
      <c r="S455" s="269"/>
    </row>
    <row r="456" spans="1:19" ht="45.75" customHeight="1" x14ac:dyDescent="0.25">
      <c r="A456" s="200" t="s">
        <v>884</v>
      </c>
      <c r="B456" s="187" t="s">
        <v>885</v>
      </c>
      <c r="C456" s="187" t="s">
        <v>795</v>
      </c>
      <c r="D456" s="51"/>
      <c r="E456" s="52">
        <f>SUM(E457:E457)</f>
        <v>80</v>
      </c>
      <c r="F456" s="52">
        <f>SUM(F457:F457)</f>
        <v>65.400000000000006</v>
      </c>
      <c r="G456" s="52">
        <f>SUM(G457:G457)</f>
        <v>36.1</v>
      </c>
      <c r="H456" s="187" t="s">
        <v>886</v>
      </c>
      <c r="I456" s="181" t="s">
        <v>653</v>
      </c>
      <c r="J456" s="183">
        <v>700</v>
      </c>
      <c r="K456" s="185">
        <v>390</v>
      </c>
      <c r="L456" s="24" t="s">
        <v>887</v>
      </c>
      <c r="M456" s="24" t="s">
        <v>23</v>
      </c>
      <c r="N456" s="24" t="s">
        <v>887</v>
      </c>
      <c r="O456" s="24" t="s">
        <v>23</v>
      </c>
      <c r="P456" s="24"/>
      <c r="Q456" s="24"/>
      <c r="R456" s="187" t="s">
        <v>888</v>
      </c>
      <c r="S456" s="189" t="s">
        <v>1703</v>
      </c>
    </row>
    <row r="457" spans="1:19" ht="33.75" customHeight="1" thickBot="1" x14ac:dyDescent="0.3">
      <c r="A457" s="202"/>
      <c r="B457" s="188"/>
      <c r="C457" s="188"/>
      <c r="D457" s="28" t="s">
        <v>25</v>
      </c>
      <c r="E457" s="29">
        <v>80</v>
      </c>
      <c r="F457" s="29">
        <v>65.400000000000006</v>
      </c>
      <c r="G457" s="29">
        <v>36.1</v>
      </c>
      <c r="H457" s="188"/>
      <c r="I457" s="182"/>
      <c r="J457" s="184"/>
      <c r="K457" s="186"/>
      <c r="L457" s="31"/>
      <c r="M457" s="31"/>
      <c r="N457" s="31"/>
      <c r="O457" s="31"/>
      <c r="P457" s="31"/>
      <c r="Q457" s="31"/>
      <c r="R457" s="188"/>
      <c r="S457" s="190"/>
    </row>
    <row r="458" spans="1:19" ht="62.25" customHeight="1" x14ac:dyDescent="0.25">
      <c r="A458" s="200" t="s">
        <v>889</v>
      </c>
      <c r="B458" s="187" t="s">
        <v>890</v>
      </c>
      <c r="C458" s="181" t="s">
        <v>795</v>
      </c>
      <c r="D458" s="51"/>
      <c r="E458" s="52">
        <f>SUM(E459:E461)</f>
        <v>1299</v>
      </c>
      <c r="F458" s="52">
        <f>SUM(F459:F461)</f>
        <v>1124.3</v>
      </c>
      <c r="G458" s="52">
        <f>SUM(G459:G461)</f>
        <v>1123.5999999999999</v>
      </c>
      <c r="H458" s="21" t="s">
        <v>891</v>
      </c>
      <c r="I458" s="23" t="s">
        <v>653</v>
      </c>
      <c r="J458" s="50">
        <v>1</v>
      </c>
      <c r="K458" s="66">
        <v>1</v>
      </c>
      <c r="L458" s="24" t="s">
        <v>22</v>
      </c>
      <c r="M458" s="24" t="s">
        <v>23</v>
      </c>
      <c r="N458" s="24" t="s">
        <v>22</v>
      </c>
      <c r="O458" s="24" t="s">
        <v>23</v>
      </c>
      <c r="P458" s="24"/>
      <c r="Q458" s="24"/>
      <c r="R458" s="21" t="s">
        <v>892</v>
      </c>
      <c r="S458" s="25"/>
    </row>
    <row r="459" spans="1:19" ht="60" x14ac:dyDescent="0.25">
      <c r="A459" s="201"/>
      <c r="B459" s="203"/>
      <c r="C459" s="204"/>
      <c r="D459" s="28" t="s">
        <v>863</v>
      </c>
      <c r="E459" s="29">
        <v>1006.5</v>
      </c>
      <c r="F459" s="29">
        <v>915.3</v>
      </c>
      <c r="G459" s="29">
        <v>915.3</v>
      </c>
      <c r="H459" s="28" t="s">
        <v>893</v>
      </c>
      <c r="I459" s="30" t="s">
        <v>653</v>
      </c>
      <c r="J459" s="62">
        <v>3</v>
      </c>
      <c r="K459" s="68">
        <v>2</v>
      </c>
      <c r="L459" s="31" t="s">
        <v>34</v>
      </c>
      <c r="M459" s="31" t="s">
        <v>23</v>
      </c>
      <c r="N459" s="31" t="s">
        <v>34</v>
      </c>
      <c r="O459" s="31" t="s">
        <v>23</v>
      </c>
      <c r="P459" s="31"/>
      <c r="Q459" s="31"/>
      <c r="R459" s="28" t="s">
        <v>894</v>
      </c>
      <c r="S459" s="32"/>
    </row>
    <row r="460" spans="1:19" ht="30.75" customHeight="1" x14ac:dyDescent="0.25">
      <c r="A460" s="201"/>
      <c r="B460" s="203"/>
      <c r="C460" s="204"/>
      <c r="D460" s="28" t="s">
        <v>25</v>
      </c>
      <c r="E460" s="29">
        <v>292.5</v>
      </c>
      <c r="F460" s="29">
        <v>207</v>
      </c>
      <c r="G460" s="29">
        <v>206.3</v>
      </c>
      <c r="H460" s="213" t="s">
        <v>895</v>
      </c>
      <c r="I460" s="214" t="s">
        <v>21</v>
      </c>
      <c r="J460" s="215">
        <v>1</v>
      </c>
      <c r="K460" s="267">
        <v>0</v>
      </c>
      <c r="L460" s="31" t="s">
        <v>22</v>
      </c>
      <c r="M460" s="31" t="s">
        <v>23</v>
      </c>
      <c r="N460" s="31" t="s">
        <v>22</v>
      </c>
      <c r="O460" s="31" t="s">
        <v>23</v>
      </c>
      <c r="P460" s="31"/>
      <c r="Q460" s="31"/>
      <c r="R460" s="213"/>
      <c r="S460" s="217" t="s">
        <v>896</v>
      </c>
    </row>
    <row r="461" spans="1:19" ht="29.25" customHeight="1" thickBot="1" x14ac:dyDescent="0.3">
      <c r="A461" s="202"/>
      <c r="B461" s="188"/>
      <c r="C461" s="182"/>
      <c r="D461" s="28" t="s">
        <v>201</v>
      </c>
      <c r="E461" s="29"/>
      <c r="F461" s="29">
        <v>2</v>
      </c>
      <c r="G461" s="29">
        <v>2</v>
      </c>
      <c r="H461" s="188"/>
      <c r="I461" s="182"/>
      <c r="J461" s="184"/>
      <c r="K461" s="199"/>
      <c r="L461" s="31"/>
      <c r="M461" s="31"/>
      <c r="N461" s="31"/>
      <c r="O461" s="31"/>
      <c r="P461" s="31"/>
      <c r="Q461" s="31"/>
      <c r="R461" s="188"/>
      <c r="S461" s="190"/>
    </row>
    <row r="462" spans="1:19" ht="32.25" customHeight="1" x14ac:dyDescent="0.25">
      <c r="A462" s="200" t="s">
        <v>897</v>
      </c>
      <c r="B462" s="187" t="s">
        <v>898</v>
      </c>
      <c r="C462" s="187" t="s">
        <v>795</v>
      </c>
      <c r="D462" s="51"/>
      <c r="E462" s="52">
        <f>SUM(E463:E465)</f>
        <v>365.5</v>
      </c>
      <c r="F462" s="52">
        <f>SUM(F463:F465)</f>
        <v>414.90000000000003</v>
      </c>
      <c r="G462" s="52">
        <f>SUM(G463:G465)-0.1</f>
        <v>414.8</v>
      </c>
      <c r="H462" s="187" t="s">
        <v>899</v>
      </c>
      <c r="I462" s="181" t="s">
        <v>653</v>
      </c>
      <c r="J462" s="183">
        <v>6</v>
      </c>
      <c r="K462" s="164">
        <v>6</v>
      </c>
      <c r="L462" s="24" t="s">
        <v>23</v>
      </c>
      <c r="M462" s="24" t="s">
        <v>23</v>
      </c>
      <c r="N462" s="24" t="s">
        <v>23</v>
      </c>
      <c r="O462" s="24" t="s">
        <v>23</v>
      </c>
      <c r="P462" s="24"/>
      <c r="Q462" s="24"/>
      <c r="R462" s="187" t="s">
        <v>900</v>
      </c>
      <c r="S462" s="189"/>
    </row>
    <row r="463" spans="1:19" x14ac:dyDescent="0.25">
      <c r="A463" s="201"/>
      <c r="B463" s="203"/>
      <c r="C463" s="203"/>
      <c r="D463" s="28" t="s">
        <v>25</v>
      </c>
      <c r="E463" s="29">
        <v>0</v>
      </c>
      <c r="F463" s="29">
        <v>1.8</v>
      </c>
      <c r="G463" s="29">
        <v>1.8</v>
      </c>
      <c r="H463" s="203"/>
      <c r="I463" s="204"/>
      <c r="J463" s="205"/>
      <c r="K463" s="206"/>
      <c r="L463" s="31"/>
      <c r="M463" s="31"/>
      <c r="N463" s="31"/>
      <c r="O463" s="31"/>
      <c r="P463" s="31"/>
      <c r="Q463" s="31"/>
      <c r="R463" s="203"/>
      <c r="S463" s="191"/>
    </row>
    <row r="464" spans="1:19" x14ac:dyDescent="0.25">
      <c r="A464" s="201"/>
      <c r="B464" s="203"/>
      <c r="C464" s="203"/>
      <c r="D464" s="28" t="s">
        <v>217</v>
      </c>
      <c r="E464" s="29">
        <v>310.7</v>
      </c>
      <c r="F464" s="29">
        <v>358.3</v>
      </c>
      <c r="G464" s="29">
        <v>358.3</v>
      </c>
      <c r="H464" s="203"/>
      <c r="I464" s="204"/>
      <c r="J464" s="205"/>
      <c r="K464" s="206"/>
      <c r="L464" s="31"/>
      <c r="M464" s="31"/>
      <c r="N464" s="31"/>
      <c r="O464" s="31"/>
      <c r="P464" s="31"/>
      <c r="Q464" s="31"/>
      <c r="R464" s="203"/>
      <c r="S464" s="191"/>
    </row>
    <row r="465" spans="1:19" ht="15.75" thickBot="1" x14ac:dyDescent="0.3">
      <c r="A465" s="202"/>
      <c r="B465" s="188"/>
      <c r="C465" s="188"/>
      <c r="D465" s="28" t="s">
        <v>30</v>
      </c>
      <c r="E465" s="29">
        <v>54.8</v>
      </c>
      <c r="F465" s="29">
        <v>54.8</v>
      </c>
      <c r="G465" s="29">
        <v>54.8</v>
      </c>
      <c r="H465" s="188"/>
      <c r="I465" s="182"/>
      <c r="J465" s="184"/>
      <c r="K465" s="165"/>
      <c r="L465" s="31"/>
      <c r="M465" s="31"/>
      <c r="N465" s="31"/>
      <c r="O465" s="31"/>
      <c r="P465" s="31"/>
      <c r="Q465" s="31"/>
      <c r="R465" s="188"/>
      <c r="S465" s="190"/>
    </row>
    <row r="466" spans="1:19" ht="34.5" customHeight="1" x14ac:dyDescent="0.25">
      <c r="A466" s="265" t="s">
        <v>901</v>
      </c>
      <c r="B466" s="244" t="s">
        <v>902</v>
      </c>
      <c r="C466" s="244" t="s">
        <v>795</v>
      </c>
      <c r="D466" s="51"/>
      <c r="E466" s="52">
        <f>SUM(E467:E467)</f>
        <v>69.900000000000006</v>
      </c>
      <c r="F466" s="52">
        <f>SUM(F467:F467)</f>
        <v>245.1</v>
      </c>
      <c r="G466" s="52">
        <f>SUM(G467:G467)</f>
        <v>245.1</v>
      </c>
      <c r="H466" s="187" t="s">
        <v>903</v>
      </c>
      <c r="I466" s="181" t="s">
        <v>21</v>
      </c>
      <c r="J466" s="183">
        <v>17</v>
      </c>
      <c r="K466" s="164">
        <v>17</v>
      </c>
      <c r="L466" s="24"/>
      <c r="M466" s="24"/>
      <c r="N466" s="24"/>
      <c r="O466" s="24"/>
      <c r="P466" s="24"/>
      <c r="Q466" s="24"/>
      <c r="R466" s="187" t="s">
        <v>904</v>
      </c>
      <c r="S466" s="209"/>
    </row>
    <row r="467" spans="1:19" ht="31.5" customHeight="1" thickBot="1" x14ac:dyDescent="0.3">
      <c r="A467" s="266"/>
      <c r="B467" s="246"/>
      <c r="C467" s="246"/>
      <c r="D467" s="28" t="s">
        <v>196</v>
      </c>
      <c r="E467" s="29">
        <v>69.900000000000006</v>
      </c>
      <c r="F467" s="29">
        <v>245.1</v>
      </c>
      <c r="G467" s="29">
        <v>245.1</v>
      </c>
      <c r="H467" s="188"/>
      <c r="I467" s="182"/>
      <c r="J467" s="184"/>
      <c r="K467" s="165"/>
      <c r="L467" s="31"/>
      <c r="M467" s="31"/>
      <c r="N467" s="31"/>
      <c r="O467" s="31"/>
      <c r="P467" s="31"/>
      <c r="Q467" s="31"/>
      <c r="R467" s="188"/>
      <c r="S467" s="157"/>
    </row>
    <row r="468" spans="1:19" ht="80.25" customHeight="1" x14ac:dyDescent="0.25">
      <c r="A468" s="200" t="s">
        <v>905</v>
      </c>
      <c r="B468" s="187" t="s">
        <v>906</v>
      </c>
      <c r="C468" s="187" t="s">
        <v>207</v>
      </c>
      <c r="D468" s="51"/>
      <c r="E468" s="52">
        <f>SUM(E469:E470)</f>
        <v>63.4</v>
      </c>
      <c r="F468" s="52">
        <f>SUM(F469:F470)</f>
        <v>63.4</v>
      </c>
      <c r="G468" s="52">
        <f>SUM(G469:G470)</f>
        <v>19.5</v>
      </c>
      <c r="H468" s="187" t="s">
        <v>907</v>
      </c>
      <c r="I468" s="181" t="s">
        <v>653</v>
      </c>
      <c r="J468" s="183">
        <v>33</v>
      </c>
      <c r="K468" s="185" t="s">
        <v>1704</v>
      </c>
      <c r="L468" s="24" t="s">
        <v>248</v>
      </c>
      <c r="M468" s="24" t="s">
        <v>23</v>
      </c>
      <c r="N468" s="24"/>
      <c r="O468" s="24"/>
      <c r="P468" s="24"/>
      <c r="Q468" s="24"/>
      <c r="R468" s="187" t="s">
        <v>908</v>
      </c>
      <c r="S468" s="189" t="s">
        <v>1705</v>
      </c>
    </row>
    <row r="469" spans="1:19" ht="86.25" customHeight="1" x14ac:dyDescent="0.25">
      <c r="A469" s="201"/>
      <c r="B469" s="203"/>
      <c r="C469" s="203"/>
      <c r="D469" s="28" t="s">
        <v>217</v>
      </c>
      <c r="E469" s="29">
        <v>21.5</v>
      </c>
      <c r="F469" s="29">
        <v>21.5</v>
      </c>
      <c r="G469" s="29">
        <v>0</v>
      </c>
      <c r="H469" s="203"/>
      <c r="I469" s="204"/>
      <c r="J469" s="205"/>
      <c r="K469" s="243"/>
      <c r="L469" s="31"/>
      <c r="M469" s="31"/>
      <c r="N469" s="31"/>
      <c r="O469" s="31"/>
      <c r="P469" s="31"/>
      <c r="Q469" s="31"/>
      <c r="R469" s="203"/>
      <c r="S469" s="191"/>
    </row>
    <row r="470" spans="1:19" ht="89.25" customHeight="1" thickBot="1" x14ac:dyDescent="0.3">
      <c r="A470" s="202"/>
      <c r="B470" s="188"/>
      <c r="C470" s="188"/>
      <c r="D470" s="28" t="s">
        <v>30</v>
      </c>
      <c r="E470" s="29">
        <v>41.9</v>
      </c>
      <c r="F470" s="29">
        <v>41.9</v>
      </c>
      <c r="G470" s="29">
        <v>19.5</v>
      </c>
      <c r="H470" s="188"/>
      <c r="I470" s="182"/>
      <c r="J470" s="184"/>
      <c r="K470" s="186"/>
      <c r="L470" s="31"/>
      <c r="M470" s="31"/>
      <c r="N470" s="31"/>
      <c r="O470" s="31"/>
      <c r="P470" s="31"/>
      <c r="Q470" s="31"/>
      <c r="R470" s="188"/>
      <c r="S470" s="190"/>
    </row>
    <row r="471" spans="1:19" ht="69.75" customHeight="1" thickBot="1" x14ac:dyDescent="0.3">
      <c r="A471" s="8" t="s">
        <v>909</v>
      </c>
      <c r="B471" s="174" t="s">
        <v>910</v>
      </c>
      <c r="C471" s="175"/>
      <c r="D471" s="176"/>
      <c r="E471" s="11">
        <f>SUM(E472:E472)</f>
        <v>17684.8</v>
      </c>
      <c r="F471" s="11">
        <f>SUM(F472:F472)</f>
        <v>18962.100000000002</v>
      </c>
      <c r="G471" s="11">
        <f>SUM(G472:G472)</f>
        <v>18114.600000000006</v>
      </c>
      <c r="H471" s="87"/>
      <c r="I471" s="88"/>
      <c r="J471" s="88"/>
      <c r="K471" s="88"/>
      <c r="L471" s="88"/>
      <c r="M471" s="88"/>
      <c r="N471" s="88"/>
      <c r="O471" s="88"/>
      <c r="P471" s="88"/>
      <c r="Q471" s="88"/>
      <c r="R471" s="88"/>
      <c r="S471" s="89"/>
    </row>
    <row r="472" spans="1:19" ht="41.25" customHeight="1" thickBot="1" x14ac:dyDescent="0.3">
      <c r="A472" s="12" t="s">
        <v>911</v>
      </c>
      <c r="B472" s="168" t="s">
        <v>912</v>
      </c>
      <c r="C472" s="169"/>
      <c r="D472" s="170"/>
      <c r="E472" s="15">
        <f>E473+E481</f>
        <v>17684.8</v>
      </c>
      <c r="F472" s="15">
        <f>F473+F481</f>
        <v>18962.100000000002</v>
      </c>
      <c r="G472" s="15">
        <f>G473+G481</f>
        <v>18114.600000000006</v>
      </c>
      <c r="H472" s="171"/>
      <c r="I472" s="172"/>
      <c r="J472" s="172"/>
      <c r="K472" s="172"/>
      <c r="L472" s="172"/>
      <c r="M472" s="172"/>
      <c r="N472" s="172"/>
      <c r="O472" s="172"/>
      <c r="P472" s="172"/>
      <c r="Q472" s="172"/>
      <c r="R472" s="172"/>
      <c r="S472" s="173"/>
    </row>
    <row r="473" spans="1:19" ht="110.25" customHeight="1" x14ac:dyDescent="0.25">
      <c r="A473" s="200" t="s">
        <v>913</v>
      </c>
      <c r="B473" s="187" t="s">
        <v>914</v>
      </c>
      <c r="C473" s="187" t="s">
        <v>795</v>
      </c>
      <c r="D473" s="51"/>
      <c r="E473" s="52">
        <f>SUM(E474:E480)+0.1</f>
        <v>17250.599999999999</v>
      </c>
      <c r="F473" s="52">
        <f>SUM(F474:F480)+0.1</f>
        <v>18471.400000000001</v>
      </c>
      <c r="G473" s="52">
        <f>SUM(G474:G480)-0.1</f>
        <v>17623.900000000005</v>
      </c>
      <c r="H473" s="21" t="s">
        <v>915</v>
      </c>
      <c r="I473" s="23" t="s">
        <v>653</v>
      </c>
      <c r="J473" s="50">
        <v>730</v>
      </c>
      <c r="K473" s="66">
        <v>730</v>
      </c>
      <c r="L473" s="24" t="s">
        <v>916</v>
      </c>
      <c r="M473" s="24" t="s">
        <v>23</v>
      </c>
      <c r="N473" s="24" t="s">
        <v>916</v>
      </c>
      <c r="O473" s="24" t="s">
        <v>23</v>
      </c>
      <c r="P473" s="24"/>
      <c r="Q473" s="24"/>
      <c r="R473" s="21" t="s">
        <v>917</v>
      </c>
      <c r="S473" s="25"/>
    </row>
    <row r="474" spans="1:19" ht="75" customHeight="1" x14ac:dyDescent="0.25">
      <c r="A474" s="201"/>
      <c r="B474" s="203"/>
      <c r="C474" s="203"/>
      <c r="D474" s="28" t="s">
        <v>180</v>
      </c>
      <c r="E474" s="29">
        <v>61.8</v>
      </c>
      <c r="F474" s="29">
        <v>103.3</v>
      </c>
      <c r="G474" s="29">
        <v>37.700000000000003</v>
      </c>
      <c r="H474" s="28" t="s">
        <v>918</v>
      </c>
      <c r="I474" s="30" t="s">
        <v>653</v>
      </c>
      <c r="J474" s="62">
        <v>540</v>
      </c>
      <c r="K474" s="68" t="s">
        <v>1706</v>
      </c>
      <c r="L474" s="31" t="s">
        <v>919</v>
      </c>
      <c r="M474" s="31" t="s">
        <v>23</v>
      </c>
      <c r="N474" s="31" t="s">
        <v>919</v>
      </c>
      <c r="O474" s="31" t="s">
        <v>23</v>
      </c>
      <c r="P474" s="31"/>
      <c r="Q474" s="31"/>
      <c r="R474" s="28" t="s">
        <v>920</v>
      </c>
      <c r="S474" s="32"/>
    </row>
    <row r="475" spans="1:19" ht="42" customHeight="1" x14ac:dyDescent="0.25">
      <c r="A475" s="201"/>
      <c r="B475" s="203"/>
      <c r="C475" s="203"/>
      <c r="D475" s="28" t="s">
        <v>196</v>
      </c>
      <c r="E475" s="29">
        <v>72.400000000000006</v>
      </c>
      <c r="F475" s="29">
        <v>74.5</v>
      </c>
      <c r="G475" s="29">
        <v>38.299999999999997</v>
      </c>
      <c r="H475" s="213" t="s">
        <v>921</v>
      </c>
      <c r="I475" s="214" t="s">
        <v>653</v>
      </c>
      <c r="J475" s="215">
        <v>280</v>
      </c>
      <c r="K475" s="216">
        <v>300</v>
      </c>
      <c r="L475" s="31" t="s">
        <v>922</v>
      </c>
      <c r="M475" s="31" t="s">
        <v>23</v>
      </c>
      <c r="N475" s="31" t="s">
        <v>923</v>
      </c>
      <c r="O475" s="31" t="s">
        <v>23</v>
      </c>
      <c r="P475" s="31"/>
      <c r="Q475" s="31"/>
      <c r="R475" s="213" t="s">
        <v>924</v>
      </c>
      <c r="S475" s="217" t="s">
        <v>1707</v>
      </c>
    </row>
    <row r="476" spans="1:19" x14ac:dyDescent="0.25">
      <c r="A476" s="201"/>
      <c r="B476" s="203"/>
      <c r="C476" s="203"/>
      <c r="D476" s="28" t="s">
        <v>175</v>
      </c>
      <c r="E476" s="29">
        <v>2082.6</v>
      </c>
      <c r="F476" s="29">
        <v>2084</v>
      </c>
      <c r="G476" s="29">
        <v>1498.4</v>
      </c>
      <c r="H476" s="203"/>
      <c r="I476" s="204"/>
      <c r="J476" s="205"/>
      <c r="K476" s="206"/>
      <c r="L476" s="31"/>
      <c r="M476" s="31"/>
      <c r="N476" s="31"/>
      <c r="O476" s="31"/>
      <c r="P476" s="31"/>
      <c r="Q476" s="31"/>
      <c r="R476" s="203"/>
      <c r="S476" s="191"/>
    </row>
    <row r="477" spans="1:19" x14ac:dyDescent="0.25">
      <c r="A477" s="201"/>
      <c r="B477" s="203"/>
      <c r="C477" s="203"/>
      <c r="D477" s="28" t="s">
        <v>863</v>
      </c>
      <c r="E477" s="29">
        <v>6078.7</v>
      </c>
      <c r="F477" s="29">
        <v>7010.8</v>
      </c>
      <c r="G477" s="29">
        <v>7001</v>
      </c>
      <c r="H477" s="203"/>
      <c r="I477" s="204"/>
      <c r="J477" s="205"/>
      <c r="K477" s="206"/>
      <c r="L477" s="31"/>
      <c r="M477" s="31"/>
      <c r="N477" s="31"/>
      <c r="O477" s="31"/>
      <c r="P477" s="31"/>
      <c r="Q477" s="31"/>
      <c r="R477" s="203"/>
      <c r="S477" s="191"/>
    </row>
    <row r="478" spans="1:19" x14ac:dyDescent="0.25">
      <c r="A478" s="201"/>
      <c r="B478" s="203"/>
      <c r="C478" s="203"/>
      <c r="D478" s="28" t="s">
        <v>25</v>
      </c>
      <c r="E478" s="29">
        <v>8811.2999999999993</v>
      </c>
      <c r="F478" s="29">
        <v>8926.1</v>
      </c>
      <c r="G478" s="29">
        <v>8776</v>
      </c>
      <c r="H478" s="203"/>
      <c r="I478" s="204"/>
      <c r="J478" s="205"/>
      <c r="K478" s="206"/>
      <c r="L478" s="31"/>
      <c r="M478" s="31"/>
      <c r="N478" s="31"/>
      <c r="O478" s="31"/>
      <c r="P478" s="31"/>
      <c r="Q478" s="31"/>
      <c r="R478" s="203"/>
      <c r="S478" s="191"/>
    </row>
    <row r="479" spans="1:19" x14ac:dyDescent="0.25">
      <c r="A479" s="201"/>
      <c r="B479" s="203"/>
      <c r="C479" s="203"/>
      <c r="D479" s="28" t="s">
        <v>30</v>
      </c>
      <c r="E479" s="29">
        <v>143.69999999999999</v>
      </c>
      <c r="F479" s="29">
        <v>149.69999999999999</v>
      </c>
      <c r="G479" s="29">
        <v>149.69999999999999</v>
      </c>
      <c r="H479" s="203"/>
      <c r="I479" s="204"/>
      <c r="J479" s="205"/>
      <c r="K479" s="206"/>
      <c r="L479" s="31"/>
      <c r="M479" s="31"/>
      <c r="N479" s="31"/>
      <c r="O479" s="31"/>
      <c r="P479" s="31"/>
      <c r="Q479" s="31"/>
      <c r="R479" s="203"/>
      <c r="S479" s="191"/>
    </row>
    <row r="480" spans="1:19" ht="15.75" thickBot="1" x14ac:dyDescent="0.3">
      <c r="A480" s="202"/>
      <c r="B480" s="188"/>
      <c r="C480" s="188"/>
      <c r="D480" s="28" t="s">
        <v>201</v>
      </c>
      <c r="E480" s="29"/>
      <c r="F480" s="29">
        <v>122.9</v>
      </c>
      <c r="G480" s="29">
        <v>122.9</v>
      </c>
      <c r="H480" s="188"/>
      <c r="I480" s="182"/>
      <c r="J480" s="184"/>
      <c r="K480" s="165"/>
      <c r="L480" s="31"/>
      <c r="M480" s="31"/>
      <c r="N480" s="31"/>
      <c r="O480" s="31"/>
      <c r="P480" s="31"/>
      <c r="Q480" s="31"/>
      <c r="R480" s="188"/>
      <c r="S480" s="190"/>
    </row>
    <row r="481" spans="1:19" ht="105.75" thickBot="1" x14ac:dyDescent="0.3">
      <c r="A481" s="19" t="s">
        <v>925</v>
      </c>
      <c r="B481" s="20" t="s">
        <v>926</v>
      </c>
      <c r="C481" s="21" t="s">
        <v>795</v>
      </c>
      <c r="D481" s="21" t="s">
        <v>863</v>
      </c>
      <c r="E481" s="33">
        <v>434.2</v>
      </c>
      <c r="F481" s="33">
        <v>490.7</v>
      </c>
      <c r="G481" s="33">
        <v>490.7</v>
      </c>
      <c r="H481" s="21" t="s">
        <v>927</v>
      </c>
      <c r="I481" s="23" t="s">
        <v>653</v>
      </c>
      <c r="J481" s="50">
        <v>4</v>
      </c>
      <c r="K481" s="66">
        <v>5</v>
      </c>
      <c r="L481" s="24" t="s">
        <v>161</v>
      </c>
      <c r="M481" s="24" t="s">
        <v>23</v>
      </c>
      <c r="N481" s="24" t="s">
        <v>161</v>
      </c>
      <c r="O481" s="24" t="s">
        <v>23</v>
      </c>
      <c r="P481" s="24"/>
      <c r="Q481" s="24"/>
      <c r="R481" s="21" t="s">
        <v>928</v>
      </c>
      <c r="S481" s="25"/>
    </row>
    <row r="482" spans="1:19" ht="48.75" customHeight="1" thickBot="1" x14ac:dyDescent="0.3">
      <c r="A482" s="8" t="s">
        <v>929</v>
      </c>
      <c r="B482" s="174" t="s">
        <v>930</v>
      </c>
      <c r="C482" s="175"/>
      <c r="D482" s="176"/>
      <c r="E482" s="11">
        <f>SUM(E483:E483)</f>
        <v>4869.5</v>
      </c>
      <c r="F482" s="11">
        <f>SUM(F483:F483)</f>
        <v>5643.2999999999993</v>
      </c>
      <c r="G482" s="11">
        <f>SUM(G483:G483)</f>
        <v>4838.6000000000004</v>
      </c>
      <c r="H482" s="177"/>
      <c r="I482" s="178"/>
      <c r="J482" s="178"/>
      <c r="K482" s="178"/>
      <c r="L482" s="178"/>
      <c r="M482" s="178"/>
      <c r="N482" s="178"/>
      <c r="O482" s="178"/>
      <c r="P482" s="178"/>
      <c r="Q482" s="178"/>
      <c r="R482" s="178"/>
      <c r="S482" s="179"/>
    </row>
    <row r="483" spans="1:19" ht="33" customHeight="1" thickBot="1" x14ac:dyDescent="0.3">
      <c r="A483" s="12" t="s">
        <v>931</v>
      </c>
      <c r="B483" s="168" t="s">
        <v>932</v>
      </c>
      <c r="C483" s="169"/>
      <c r="D483" s="170"/>
      <c r="E483" s="15">
        <f>E484+E493</f>
        <v>4869.5</v>
      </c>
      <c r="F483" s="15">
        <f>F484+F493</f>
        <v>5643.2999999999993</v>
      </c>
      <c r="G483" s="15">
        <f>G484+G493</f>
        <v>4838.6000000000004</v>
      </c>
      <c r="H483" s="171"/>
      <c r="I483" s="172"/>
      <c r="J483" s="172"/>
      <c r="K483" s="172"/>
      <c r="L483" s="172"/>
      <c r="M483" s="172"/>
      <c r="N483" s="172"/>
      <c r="O483" s="172"/>
      <c r="P483" s="172"/>
      <c r="Q483" s="172"/>
      <c r="R483" s="172"/>
      <c r="S483" s="173"/>
    </row>
    <row r="484" spans="1:19" ht="138.75" customHeight="1" x14ac:dyDescent="0.25">
      <c r="A484" s="210" t="s">
        <v>933</v>
      </c>
      <c r="B484" s="181" t="s">
        <v>934</v>
      </c>
      <c r="C484" s="181" t="s">
        <v>795</v>
      </c>
      <c r="D484" s="51"/>
      <c r="E484" s="52">
        <f>SUM(E485:E492)</f>
        <v>4770.5</v>
      </c>
      <c r="F484" s="52">
        <f>SUM(F485:F492)-0.1</f>
        <v>5232.9999999999991</v>
      </c>
      <c r="G484" s="52">
        <f>SUM(G485:G492)+0.1</f>
        <v>4717.4000000000005</v>
      </c>
      <c r="H484" s="83" t="s">
        <v>935</v>
      </c>
      <c r="I484" s="23" t="s">
        <v>653</v>
      </c>
      <c r="J484" s="50">
        <v>140</v>
      </c>
      <c r="K484" s="67">
        <v>96</v>
      </c>
      <c r="L484" s="24" t="s">
        <v>669</v>
      </c>
      <c r="M484" s="24" t="s">
        <v>23</v>
      </c>
      <c r="N484" s="24" t="s">
        <v>669</v>
      </c>
      <c r="O484" s="24" t="s">
        <v>23</v>
      </c>
      <c r="P484" s="24"/>
      <c r="Q484" s="24"/>
      <c r="R484" s="21" t="s">
        <v>936</v>
      </c>
      <c r="S484" s="25" t="s">
        <v>1708</v>
      </c>
    </row>
    <row r="485" spans="1:19" ht="69.75" customHeight="1" x14ac:dyDescent="0.25">
      <c r="A485" s="211"/>
      <c r="B485" s="204"/>
      <c r="C485" s="204"/>
      <c r="D485" s="28" t="s">
        <v>175</v>
      </c>
      <c r="E485" s="29">
        <v>296.7</v>
      </c>
      <c r="F485" s="29">
        <v>324.10000000000002</v>
      </c>
      <c r="G485" s="29">
        <v>143.6</v>
      </c>
      <c r="H485" s="101" t="s">
        <v>937</v>
      </c>
      <c r="I485" s="30" t="s">
        <v>653</v>
      </c>
      <c r="J485" s="62">
        <v>3790</v>
      </c>
      <c r="K485" s="68" t="s">
        <v>1709</v>
      </c>
      <c r="L485" s="31" t="s">
        <v>938</v>
      </c>
      <c r="M485" s="31" t="s">
        <v>23</v>
      </c>
      <c r="N485" s="31" t="s">
        <v>938</v>
      </c>
      <c r="O485" s="31" t="s">
        <v>23</v>
      </c>
      <c r="P485" s="31"/>
      <c r="Q485" s="31"/>
      <c r="R485" s="28" t="s">
        <v>939</v>
      </c>
      <c r="S485" s="32" t="s">
        <v>1710</v>
      </c>
    </row>
    <row r="486" spans="1:19" ht="90.75" customHeight="1" x14ac:dyDescent="0.25">
      <c r="A486" s="211"/>
      <c r="B486" s="204"/>
      <c r="C486" s="204"/>
      <c r="D486" s="28" t="s">
        <v>863</v>
      </c>
      <c r="E486" s="29">
        <v>0</v>
      </c>
      <c r="F486" s="29">
        <v>240</v>
      </c>
      <c r="G486" s="29">
        <v>240</v>
      </c>
      <c r="H486" s="28" t="s">
        <v>819</v>
      </c>
      <c r="I486" s="30" t="s">
        <v>653</v>
      </c>
      <c r="J486" s="62">
        <v>2500</v>
      </c>
      <c r="K486" s="68">
        <v>1958</v>
      </c>
      <c r="L486" s="31" t="s">
        <v>654</v>
      </c>
      <c r="M486" s="31" t="s">
        <v>23</v>
      </c>
      <c r="N486" s="31" t="s">
        <v>654</v>
      </c>
      <c r="O486" s="31" t="s">
        <v>23</v>
      </c>
      <c r="P486" s="31"/>
      <c r="Q486" s="31"/>
      <c r="R486" s="28" t="s">
        <v>940</v>
      </c>
      <c r="S486" s="32"/>
    </row>
    <row r="487" spans="1:19" ht="48" customHeight="1" x14ac:dyDescent="0.25">
      <c r="A487" s="211"/>
      <c r="B487" s="204"/>
      <c r="C487" s="204"/>
      <c r="D487" s="28" t="s">
        <v>201</v>
      </c>
      <c r="E487" s="29">
        <v>0</v>
      </c>
      <c r="F487" s="29">
        <v>181.7</v>
      </c>
      <c r="G487" s="29">
        <v>181.7</v>
      </c>
      <c r="H487" s="28" t="s">
        <v>941</v>
      </c>
      <c r="I487" s="30" t="s">
        <v>653</v>
      </c>
      <c r="J487" s="62">
        <v>39</v>
      </c>
      <c r="K487" s="65">
        <v>47</v>
      </c>
      <c r="L487" s="31" t="s">
        <v>942</v>
      </c>
      <c r="M487" s="31" t="s">
        <v>23</v>
      </c>
      <c r="N487" s="31" t="s">
        <v>942</v>
      </c>
      <c r="O487" s="31" t="s">
        <v>23</v>
      </c>
      <c r="P487" s="31"/>
      <c r="Q487" s="31"/>
      <c r="R487" s="28" t="s">
        <v>943</v>
      </c>
      <c r="S487" s="32"/>
    </row>
    <row r="488" spans="1:19" ht="48" customHeight="1" x14ac:dyDescent="0.25">
      <c r="A488" s="211"/>
      <c r="B488" s="204"/>
      <c r="C488" s="204"/>
      <c r="D488" s="28" t="s">
        <v>30</v>
      </c>
      <c r="E488" s="29">
        <v>79.2</v>
      </c>
      <c r="F488" s="29">
        <v>82.1</v>
      </c>
      <c r="G488" s="29">
        <v>82.1</v>
      </c>
      <c r="H488" s="28" t="s">
        <v>944</v>
      </c>
      <c r="I488" s="30" t="s">
        <v>653</v>
      </c>
      <c r="J488" s="62">
        <v>40</v>
      </c>
      <c r="K488" s="68">
        <v>36</v>
      </c>
      <c r="L488" s="31" t="s">
        <v>229</v>
      </c>
      <c r="M488" s="31" t="s">
        <v>23</v>
      </c>
      <c r="N488" s="31" t="s">
        <v>229</v>
      </c>
      <c r="O488" s="31" t="s">
        <v>23</v>
      </c>
      <c r="P488" s="31"/>
      <c r="Q488" s="31"/>
      <c r="R488" s="28" t="s">
        <v>945</v>
      </c>
      <c r="S488" s="32"/>
    </row>
    <row r="489" spans="1:19" ht="75" customHeight="1" x14ac:dyDescent="0.25">
      <c r="A489" s="211"/>
      <c r="B489" s="204"/>
      <c r="C489" s="204"/>
      <c r="D489" s="28" t="s">
        <v>25</v>
      </c>
      <c r="E489" s="29">
        <v>3903.5</v>
      </c>
      <c r="F489" s="29">
        <v>3863.5</v>
      </c>
      <c r="G489" s="29">
        <v>3822.5</v>
      </c>
      <c r="H489" s="28" t="s">
        <v>946</v>
      </c>
      <c r="I489" s="30" t="s">
        <v>653</v>
      </c>
      <c r="J489" s="62">
        <v>8</v>
      </c>
      <c r="K489" s="65">
        <v>8</v>
      </c>
      <c r="L489" s="31" t="s">
        <v>128</v>
      </c>
      <c r="M489" s="31" t="s">
        <v>23</v>
      </c>
      <c r="N489" s="31" t="s">
        <v>128</v>
      </c>
      <c r="O489" s="31" t="s">
        <v>23</v>
      </c>
      <c r="P489" s="31"/>
      <c r="Q489" s="31"/>
      <c r="R489" s="28" t="s">
        <v>947</v>
      </c>
      <c r="S489" s="32"/>
    </row>
    <row r="490" spans="1:19" ht="60" x14ac:dyDescent="0.25">
      <c r="A490" s="211"/>
      <c r="B490" s="204"/>
      <c r="C490" s="204"/>
      <c r="D490" s="28" t="s">
        <v>180</v>
      </c>
      <c r="E490" s="29">
        <v>21.1</v>
      </c>
      <c r="F490" s="29">
        <v>42.3</v>
      </c>
      <c r="G490" s="29">
        <v>16.3</v>
      </c>
      <c r="H490" s="213" t="s">
        <v>948</v>
      </c>
      <c r="I490" s="214" t="s">
        <v>653</v>
      </c>
      <c r="J490" s="215">
        <v>1100</v>
      </c>
      <c r="K490" s="216">
        <v>1100</v>
      </c>
      <c r="L490" s="31" t="s">
        <v>23</v>
      </c>
      <c r="M490" s="31" t="s">
        <v>23</v>
      </c>
      <c r="N490" s="31" t="s">
        <v>23</v>
      </c>
      <c r="O490" s="31" t="s">
        <v>23</v>
      </c>
      <c r="P490" s="31"/>
      <c r="Q490" s="31"/>
      <c r="R490" s="213" t="s">
        <v>950</v>
      </c>
      <c r="S490" s="156"/>
    </row>
    <row r="491" spans="1:19" x14ac:dyDescent="0.25">
      <c r="A491" s="211"/>
      <c r="B491" s="204"/>
      <c r="C491" s="204"/>
      <c r="D491" s="28" t="s">
        <v>217</v>
      </c>
      <c r="E491" s="29">
        <v>470</v>
      </c>
      <c r="F491" s="29">
        <v>493.4</v>
      </c>
      <c r="G491" s="29">
        <v>225.1</v>
      </c>
      <c r="H491" s="203"/>
      <c r="I491" s="204"/>
      <c r="J491" s="205"/>
      <c r="K491" s="206"/>
      <c r="L491" s="31"/>
      <c r="M491" s="31"/>
      <c r="N491" s="31"/>
      <c r="O491" s="31"/>
      <c r="P491" s="31"/>
      <c r="Q491" s="31"/>
      <c r="R491" s="203"/>
      <c r="S491" s="219"/>
    </row>
    <row r="492" spans="1:19" ht="15.75" thickBot="1" x14ac:dyDescent="0.3">
      <c r="A492" s="212"/>
      <c r="B492" s="182"/>
      <c r="C492" s="182"/>
      <c r="D492" s="28" t="s">
        <v>192</v>
      </c>
      <c r="E492" s="29"/>
      <c r="F492" s="29">
        <v>6</v>
      </c>
      <c r="G492" s="29">
        <v>6</v>
      </c>
      <c r="H492" s="188"/>
      <c r="I492" s="182"/>
      <c r="J492" s="184"/>
      <c r="K492" s="165"/>
      <c r="L492" s="31"/>
      <c r="M492" s="31"/>
      <c r="N492" s="31"/>
      <c r="O492" s="31"/>
      <c r="P492" s="31"/>
      <c r="Q492" s="31"/>
      <c r="R492" s="188"/>
      <c r="S492" s="157"/>
    </row>
    <row r="493" spans="1:19" ht="45" customHeight="1" x14ac:dyDescent="0.25">
      <c r="A493" s="200" t="s">
        <v>951</v>
      </c>
      <c r="B493" s="187" t="s">
        <v>952</v>
      </c>
      <c r="C493" s="187" t="s">
        <v>795</v>
      </c>
      <c r="D493" s="21"/>
      <c r="E493" s="22">
        <f>SUM(E494:E495)</f>
        <v>99</v>
      </c>
      <c r="F493" s="22">
        <f>SUM(F494:F495)</f>
        <v>410.3</v>
      </c>
      <c r="G493" s="22">
        <f>SUM(G494:G495)</f>
        <v>121.2</v>
      </c>
      <c r="H493" s="187" t="s">
        <v>953</v>
      </c>
      <c r="I493" s="181" t="s">
        <v>653</v>
      </c>
      <c r="J493" s="183">
        <v>1000</v>
      </c>
      <c r="K493" s="164">
        <v>2048</v>
      </c>
      <c r="L493" s="24" t="s">
        <v>954</v>
      </c>
      <c r="M493" s="24" t="s">
        <v>23</v>
      </c>
      <c r="N493" s="24" t="s">
        <v>954</v>
      </c>
      <c r="O493" s="24" t="s">
        <v>23</v>
      </c>
      <c r="P493" s="24"/>
      <c r="Q493" s="24"/>
      <c r="R493" s="187" t="s">
        <v>1711</v>
      </c>
      <c r="S493" s="209"/>
    </row>
    <row r="494" spans="1:19" x14ac:dyDescent="0.25">
      <c r="A494" s="201"/>
      <c r="B494" s="203"/>
      <c r="C494" s="203"/>
      <c r="D494" s="28" t="s">
        <v>25</v>
      </c>
      <c r="E494" s="29">
        <v>99</v>
      </c>
      <c r="F494" s="29">
        <v>78</v>
      </c>
      <c r="G494" s="29">
        <v>54.7</v>
      </c>
      <c r="H494" s="203"/>
      <c r="I494" s="204"/>
      <c r="J494" s="205"/>
      <c r="K494" s="206"/>
      <c r="L494" s="31"/>
      <c r="M494" s="31"/>
      <c r="N494" s="31"/>
      <c r="O494" s="31"/>
      <c r="P494" s="31"/>
      <c r="Q494" s="31"/>
      <c r="R494" s="203"/>
      <c r="S494" s="219"/>
    </row>
    <row r="495" spans="1:19" ht="15.75" thickBot="1" x14ac:dyDescent="0.3">
      <c r="A495" s="202"/>
      <c r="B495" s="188"/>
      <c r="C495" s="188"/>
      <c r="D495" s="28" t="s">
        <v>201</v>
      </c>
      <c r="E495" s="29">
        <v>0</v>
      </c>
      <c r="F495" s="29">
        <v>332.3</v>
      </c>
      <c r="G495" s="29">
        <v>66.5</v>
      </c>
      <c r="H495" s="188"/>
      <c r="I495" s="182"/>
      <c r="J495" s="184"/>
      <c r="K495" s="165"/>
      <c r="L495" s="31"/>
      <c r="M495" s="31"/>
      <c r="N495" s="31"/>
      <c r="O495" s="31"/>
      <c r="P495" s="31"/>
      <c r="Q495" s="31"/>
      <c r="R495" s="188"/>
      <c r="S495" s="157"/>
    </row>
    <row r="496" spans="1:19" ht="33.75" customHeight="1" thickBot="1" x14ac:dyDescent="0.3">
      <c r="A496" s="8" t="s">
        <v>955</v>
      </c>
      <c r="B496" s="174" t="s">
        <v>956</v>
      </c>
      <c r="C496" s="175"/>
      <c r="D496" s="176"/>
      <c r="E496" s="11">
        <f>E497+E500+E542</f>
        <v>3680.8</v>
      </c>
      <c r="F496" s="11">
        <f>F497+F500+F542</f>
        <v>5177</v>
      </c>
      <c r="G496" s="11">
        <f>G497+G500+G542+0.1</f>
        <v>4094.3</v>
      </c>
      <c r="H496" s="177"/>
      <c r="I496" s="178"/>
      <c r="J496" s="178"/>
      <c r="K496" s="178"/>
      <c r="L496" s="178"/>
      <c r="M496" s="178"/>
      <c r="N496" s="178"/>
      <c r="O496" s="178"/>
      <c r="P496" s="178"/>
      <c r="Q496" s="178"/>
      <c r="R496" s="178"/>
      <c r="S496" s="179"/>
    </row>
    <row r="497" spans="1:19" ht="30.75" thickBot="1" x14ac:dyDescent="0.3">
      <c r="A497" s="12" t="s">
        <v>957</v>
      </c>
      <c r="B497" s="168" t="s">
        <v>958</v>
      </c>
      <c r="C497" s="169"/>
      <c r="D497" s="170"/>
      <c r="E497" s="15">
        <f>SUM(E498:E498)</f>
        <v>166.7</v>
      </c>
      <c r="F497" s="15">
        <f>SUM(F498:F498)</f>
        <v>166.7</v>
      </c>
      <c r="G497" s="15">
        <f>SUM(G498:G498)</f>
        <v>164.6</v>
      </c>
      <c r="H497" s="171"/>
      <c r="I497" s="172"/>
      <c r="J497" s="172"/>
      <c r="K497" s="172"/>
      <c r="L497" s="172"/>
      <c r="M497" s="172"/>
      <c r="N497" s="172"/>
      <c r="O497" s="172"/>
      <c r="P497" s="172"/>
      <c r="Q497" s="172"/>
      <c r="R497" s="172"/>
      <c r="S497" s="173"/>
    </row>
    <row r="498" spans="1:19" ht="85.5" customHeight="1" x14ac:dyDescent="0.25">
      <c r="A498" s="200" t="s">
        <v>959</v>
      </c>
      <c r="B498" s="187" t="s">
        <v>960</v>
      </c>
      <c r="C498" s="187" t="s">
        <v>795</v>
      </c>
      <c r="D498" s="181" t="s">
        <v>25</v>
      </c>
      <c r="E498" s="261">
        <f>SUM(E499:E499)+166.7</f>
        <v>166.7</v>
      </c>
      <c r="F498" s="261">
        <f>SUM(F499:F499)+166.7</f>
        <v>166.7</v>
      </c>
      <c r="G498" s="261">
        <f>SUM(G499:G499)+164.6</f>
        <v>164.6</v>
      </c>
      <c r="H498" s="21" t="s">
        <v>961</v>
      </c>
      <c r="I498" s="23" t="s">
        <v>653</v>
      </c>
      <c r="J498" s="50">
        <v>5</v>
      </c>
      <c r="K498" s="66" t="s">
        <v>1626</v>
      </c>
      <c r="L498" s="24" t="s">
        <v>89</v>
      </c>
      <c r="M498" s="24" t="s">
        <v>23</v>
      </c>
      <c r="N498" s="24" t="s">
        <v>89</v>
      </c>
      <c r="O498" s="24" t="s">
        <v>23</v>
      </c>
      <c r="P498" s="24"/>
      <c r="Q498" s="24"/>
      <c r="R498" s="21" t="s">
        <v>962</v>
      </c>
      <c r="S498" s="25"/>
    </row>
    <row r="499" spans="1:19" ht="75" customHeight="1" thickBot="1" x14ac:dyDescent="0.3">
      <c r="A499" s="202"/>
      <c r="B499" s="188"/>
      <c r="C499" s="188"/>
      <c r="D499" s="182"/>
      <c r="E499" s="262"/>
      <c r="F499" s="262"/>
      <c r="G499" s="262"/>
      <c r="H499" s="28" t="s">
        <v>963</v>
      </c>
      <c r="I499" s="30" t="s">
        <v>215</v>
      </c>
      <c r="J499" s="62">
        <v>100</v>
      </c>
      <c r="K499" s="65">
        <v>100</v>
      </c>
      <c r="L499" s="31" t="s">
        <v>42</v>
      </c>
      <c r="M499" s="31" t="s">
        <v>23</v>
      </c>
      <c r="N499" s="31" t="s">
        <v>42</v>
      </c>
      <c r="O499" s="31" t="s">
        <v>23</v>
      </c>
      <c r="P499" s="31"/>
      <c r="Q499" s="31"/>
      <c r="R499" s="28" t="s">
        <v>1712</v>
      </c>
      <c r="S499" s="32"/>
    </row>
    <row r="500" spans="1:19" ht="35.25" customHeight="1" thickBot="1" x14ac:dyDescent="0.3">
      <c r="A500" s="12" t="s">
        <v>964</v>
      </c>
      <c r="B500" s="168" t="s">
        <v>965</v>
      </c>
      <c r="C500" s="169"/>
      <c r="D500" s="170"/>
      <c r="E500" s="15">
        <f>E501+E503+E505+E506+E507+E511+E512+E515+E516+E517+E519+E524+E525+E527+E531+E537+E541</f>
        <v>3514.1000000000004</v>
      </c>
      <c r="F500" s="15">
        <f>F501+F503+F505+F506+F507+F511+F512+F515+F516+F517+F519+F524+F525+F527+F531+F537+F541</f>
        <v>5010.3</v>
      </c>
      <c r="G500" s="15">
        <f>G501+G503+G505+G506+G507+G511+G512+G515+G516+G517+G519+G524+G525+G527+G531+G537+G541-0.1</f>
        <v>3929.6000000000004</v>
      </c>
      <c r="H500" s="171"/>
      <c r="I500" s="172"/>
      <c r="J500" s="172"/>
      <c r="K500" s="172"/>
      <c r="L500" s="172"/>
      <c r="M500" s="172"/>
      <c r="N500" s="172"/>
      <c r="O500" s="172"/>
      <c r="P500" s="172"/>
      <c r="Q500" s="172"/>
      <c r="R500" s="172"/>
      <c r="S500" s="173"/>
    </row>
    <row r="501" spans="1:19" ht="36.75" customHeight="1" x14ac:dyDescent="0.25">
      <c r="A501" s="200" t="s">
        <v>966</v>
      </c>
      <c r="B501" s="187" t="s">
        <v>967</v>
      </c>
      <c r="C501" s="187" t="s">
        <v>207</v>
      </c>
      <c r="D501" s="51"/>
      <c r="E501" s="52">
        <f>SUM(E502:E502)</f>
        <v>300</v>
      </c>
      <c r="F501" s="52">
        <f>SUM(F502:F502)</f>
        <v>372</v>
      </c>
      <c r="G501" s="52">
        <f>SUM(G502:G502)</f>
        <v>372</v>
      </c>
      <c r="H501" s="187" t="s">
        <v>968</v>
      </c>
      <c r="I501" s="181" t="s">
        <v>215</v>
      </c>
      <c r="J501" s="183">
        <v>100</v>
      </c>
      <c r="K501" s="164">
        <v>100</v>
      </c>
      <c r="L501" s="24"/>
      <c r="M501" s="24"/>
      <c r="N501" s="24"/>
      <c r="O501" s="24"/>
      <c r="P501" s="24"/>
      <c r="Q501" s="24"/>
      <c r="R501" s="187" t="s">
        <v>969</v>
      </c>
      <c r="S501" s="209"/>
    </row>
    <row r="502" spans="1:19" ht="39" customHeight="1" thickBot="1" x14ac:dyDescent="0.3">
      <c r="A502" s="202"/>
      <c r="B502" s="188"/>
      <c r="C502" s="188"/>
      <c r="D502" s="28" t="s">
        <v>970</v>
      </c>
      <c r="E502" s="29">
        <v>300</v>
      </c>
      <c r="F502" s="29">
        <v>372</v>
      </c>
      <c r="G502" s="29">
        <v>372</v>
      </c>
      <c r="H502" s="188"/>
      <c r="I502" s="182"/>
      <c r="J502" s="184"/>
      <c r="K502" s="165"/>
      <c r="L502" s="31"/>
      <c r="M502" s="31"/>
      <c r="N502" s="31"/>
      <c r="O502" s="31"/>
      <c r="P502" s="31"/>
      <c r="Q502" s="31"/>
      <c r="R502" s="188"/>
      <c r="S502" s="157"/>
    </row>
    <row r="503" spans="1:19" ht="35.25" customHeight="1" x14ac:dyDescent="0.25">
      <c r="A503" s="200" t="s">
        <v>971</v>
      </c>
      <c r="B503" s="187" t="s">
        <v>972</v>
      </c>
      <c r="C503" s="187" t="s">
        <v>795</v>
      </c>
      <c r="D503" s="51"/>
      <c r="E503" s="52">
        <f>SUM(E504:E504)</f>
        <v>0</v>
      </c>
      <c r="F503" s="52">
        <f>SUM(F504:F504)</f>
        <v>260</v>
      </c>
      <c r="G503" s="52">
        <f>SUM(G504:G504)</f>
        <v>260</v>
      </c>
      <c r="H503" s="187" t="s">
        <v>973</v>
      </c>
      <c r="I503" s="181" t="s">
        <v>215</v>
      </c>
      <c r="J503" s="183" t="s">
        <v>1713</v>
      </c>
      <c r="K503" s="198">
        <v>0</v>
      </c>
      <c r="L503" s="24" t="s">
        <v>155</v>
      </c>
      <c r="M503" s="24" t="s">
        <v>23</v>
      </c>
      <c r="N503" s="24" t="s">
        <v>43</v>
      </c>
      <c r="O503" s="24" t="s">
        <v>23</v>
      </c>
      <c r="P503" s="24"/>
      <c r="Q503" s="24"/>
      <c r="R503" s="181"/>
      <c r="S503" s="189" t="s">
        <v>1714</v>
      </c>
    </row>
    <row r="504" spans="1:19" ht="33.75" customHeight="1" thickBot="1" x14ac:dyDescent="0.3">
      <c r="A504" s="202"/>
      <c r="B504" s="188"/>
      <c r="C504" s="188"/>
      <c r="D504" s="28" t="s">
        <v>201</v>
      </c>
      <c r="E504" s="29">
        <v>0</v>
      </c>
      <c r="F504" s="29">
        <v>260</v>
      </c>
      <c r="G504" s="29">
        <v>260</v>
      </c>
      <c r="H504" s="188"/>
      <c r="I504" s="182"/>
      <c r="J504" s="184"/>
      <c r="K504" s="199"/>
      <c r="L504" s="31"/>
      <c r="M504" s="31"/>
      <c r="N504" s="31"/>
      <c r="O504" s="31"/>
      <c r="P504" s="31"/>
      <c r="Q504" s="31"/>
      <c r="R504" s="182"/>
      <c r="S504" s="190"/>
    </row>
    <row r="505" spans="1:19" ht="90.75" hidden="1" thickBot="1" x14ac:dyDescent="0.3">
      <c r="A505" s="19" t="s">
        <v>974</v>
      </c>
      <c r="B505" s="20" t="s">
        <v>975</v>
      </c>
      <c r="C505" s="21" t="s">
        <v>795</v>
      </c>
      <c r="D505" s="21" t="s">
        <v>25</v>
      </c>
      <c r="E505" s="33">
        <v>0</v>
      </c>
      <c r="F505" s="33">
        <v>0</v>
      </c>
      <c r="G505" s="33">
        <v>0</v>
      </c>
      <c r="H505" s="21" t="s">
        <v>968</v>
      </c>
      <c r="I505" s="23" t="s">
        <v>215</v>
      </c>
      <c r="J505" s="46">
        <v>0</v>
      </c>
      <c r="K505" s="46">
        <v>0</v>
      </c>
      <c r="L505" s="24" t="s">
        <v>42</v>
      </c>
      <c r="M505" s="24" t="s">
        <v>23</v>
      </c>
      <c r="N505" s="24" t="s">
        <v>23</v>
      </c>
      <c r="O505" s="24" t="s">
        <v>23</v>
      </c>
      <c r="P505" s="24"/>
      <c r="Q505" s="24"/>
      <c r="R505" s="21"/>
      <c r="S505" s="25"/>
    </row>
    <row r="506" spans="1:19" ht="90.75" thickBot="1" x14ac:dyDescent="0.3">
      <c r="A506" s="19" t="s">
        <v>976</v>
      </c>
      <c r="B506" s="20" t="s">
        <v>977</v>
      </c>
      <c r="C506" s="21" t="s">
        <v>207</v>
      </c>
      <c r="D506" s="21" t="s">
        <v>25</v>
      </c>
      <c r="E506" s="33">
        <v>45</v>
      </c>
      <c r="F506" s="33">
        <v>45</v>
      </c>
      <c r="G506" s="33">
        <v>42.6</v>
      </c>
      <c r="H506" s="21" t="s">
        <v>978</v>
      </c>
      <c r="I506" s="23" t="s">
        <v>21</v>
      </c>
      <c r="J506" s="50">
        <v>1</v>
      </c>
      <c r="K506" s="66">
        <v>1</v>
      </c>
      <c r="L506" s="24"/>
      <c r="M506" s="24"/>
      <c r="N506" s="24"/>
      <c r="O506" s="24"/>
      <c r="P506" s="24"/>
      <c r="Q506" s="24"/>
      <c r="R506" s="21" t="s">
        <v>979</v>
      </c>
      <c r="S506" s="25"/>
    </row>
    <row r="507" spans="1:19" ht="60" x14ac:dyDescent="0.25">
      <c r="A507" s="200" t="s">
        <v>980</v>
      </c>
      <c r="B507" s="187" t="s">
        <v>981</v>
      </c>
      <c r="C507" s="187" t="s">
        <v>795</v>
      </c>
      <c r="D507" s="51"/>
      <c r="E507" s="52">
        <f>SUM(E508:E510)</f>
        <v>350</v>
      </c>
      <c r="F507" s="52">
        <f>SUM(F508:F510)</f>
        <v>679</v>
      </c>
      <c r="G507" s="52">
        <f>SUM(G508:G510)+0.1</f>
        <v>591.00000000000011</v>
      </c>
      <c r="H507" s="21" t="s">
        <v>982</v>
      </c>
      <c r="I507" s="23" t="s">
        <v>215</v>
      </c>
      <c r="J507" s="50">
        <v>100</v>
      </c>
      <c r="K507" s="66">
        <v>100</v>
      </c>
      <c r="L507" s="24"/>
      <c r="M507" s="24"/>
      <c r="N507" s="24"/>
      <c r="O507" s="24"/>
      <c r="P507" s="24"/>
      <c r="Q507" s="24"/>
      <c r="R507" s="21" t="s">
        <v>983</v>
      </c>
      <c r="S507" s="25" t="s">
        <v>984</v>
      </c>
    </row>
    <row r="508" spans="1:19" ht="100.5" customHeight="1" x14ac:dyDescent="0.25">
      <c r="A508" s="201"/>
      <c r="B508" s="203"/>
      <c r="C508" s="203"/>
      <c r="D508" s="28" t="s">
        <v>25</v>
      </c>
      <c r="E508" s="29">
        <v>86</v>
      </c>
      <c r="F508" s="29">
        <v>86</v>
      </c>
      <c r="G508" s="29">
        <v>0</v>
      </c>
      <c r="H508" s="101" t="s">
        <v>985</v>
      </c>
      <c r="I508" s="30" t="s">
        <v>21</v>
      </c>
      <c r="J508" s="62">
        <v>1</v>
      </c>
      <c r="K508" s="64">
        <v>0</v>
      </c>
      <c r="L508" s="31"/>
      <c r="M508" s="31"/>
      <c r="N508" s="31"/>
      <c r="O508" s="31"/>
      <c r="P508" s="31"/>
      <c r="Q508" s="31"/>
      <c r="R508" s="28"/>
      <c r="S508" s="32" t="s">
        <v>1789</v>
      </c>
    </row>
    <row r="509" spans="1:19" ht="42.75" customHeight="1" x14ac:dyDescent="0.25">
      <c r="A509" s="201"/>
      <c r="B509" s="203"/>
      <c r="C509" s="203"/>
      <c r="D509" s="28" t="s">
        <v>30</v>
      </c>
      <c r="E509" s="29">
        <v>264</v>
      </c>
      <c r="F509" s="29">
        <v>264</v>
      </c>
      <c r="G509" s="29">
        <v>262.3</v>
      </c>
      <c r="H509" s="242" t="s">
        <v>1715</v>
      </c>
      <c r="I509" s="214" t="s">
        <v>215</v>
      </c>
      <c r="J509" s="215" t="s">
        <v>1716</v>
      </c>
      <c r="K509" s="216" t="s">
        <v>1716</v>
      </c>
      <c r="L509" s="31"/>
      <c r="M509" s="31"/>
      <c r="N509" s="31" t="s">
        <v>22</v>
      </c>
      <c r="O509" s="31" t="s">
        <v>23</v>
      </c>
      <c r="P509" s="31"/>
      <c r="Q509" s="31"/>
      <c r="R509" s="213" t="s">
        <v>1790</v>
      </c>
      <c r="S509" s="156"/>
    </row>
    <row r="510" spans="1:19" ht="40.5" customHeight="1" thickBot="1" x14ac:dyDescent="0.3">
      <c r="A510" s="201"/>
      <c r="B510" s="203"/>
      <c r="C510" s="203"/>
      <c r="D510" s="28" t="s">
        <v>180</v>
      </c>
      <c r="E510" s="29">
        <v>0</v>
      </c>
      <c r="F510" s="29">
        <v>329</v>
      </c>
      <c r="G510" s="29">
        <v>328.6</v>
      </c>
      <c r="H510" s="159"/>
      <c r="I510" s="182"/>
      <c r="J510" s="184"/>
      <c r="K510" s="165"/>
      <c r="L510" s="31"/>
      <c r="M510" s="31"/>
      <c r="N510" s="31" t="s">
        <v>42</v>
      </c>
      <c r="O510" s="31" t="s">
        <v>23</v>
      </c>
      <c r="P510" s="31"/>
      <c r="Q510" s="31"/>
      <c r="R510" s="188"/>
      <c r="S510" s="157"/>
    </row>
    <row r="511" spans="1:19" ht="60.75" hidden="1" thickBot="1" x14ac:dyDescent="0.3">
      <c r="A511" s="19" t="s">
        <v>986</v>
      </c>
      <c r="B511" s="20" t="s">
        <v>987</v>
      </c>
      <c r="C511" s="21" t="s">
        <v>795</v>
      </c>
      <c r="D511" s="21" t="s">
        <v>25</v>
      </c>
      <c r="E511" s="33">
        <v>0</v>
      </c>
      <c r="F511" s="33">
        <v>0</v>
      </c>
      <c r="G511" s="33">
        <v>0</v>
      </c>
      <c r="H511" s="21" t="s">
        <v>988</v>
      </c>
      <c r="I511" s="23" t="s">
        <v>215</v>
      </c>
      <c r="J511" s="46"/>
      <c r="K511" s="46"/>
      <c r="L511" s="24"/>
      <c r="M511" s="24"/>
      <c r="N511" s="24"/>
      <c r="O511" s="24"/>
      <c r="P511" s="24" t="s">
        <v>42</v>
      </c>
      <c r="Q511" s="24" t="s">
        <v>23</v>
      </c>
      <c r="R511" s="21"/>
      <c r="S511" s="25"/>
    </row>
    <row r="512" spans="1:19" ht="36.75" customHeight="1" x14ac:dyDescent="0.25">
      <c r="A512" s="200" t="s">
        <v>989</v>
      </c>
      <c r="B512" s="187" t="s">
        <v>990</v>
      </c>
      <c r="C512" s="187" t="s">
        <v>207</v>
      </c>
      <c r="D512" s="51"/>
      <c r="E512" s="52">
        <f>SUM(E513:E514)</f>
        <v>163.6</v>
      </c>
      <c r="F512" s="52">
        <f>SUM(F513:F514)</f>
        <v>352.5</v>
      </c>
      <c r="G512" s="52">
        <f>SUM(G513:G514)</f>
        <v>343.9</v>
      </c>
      <c r="H512" s="187" t="s">
        <v>991</v>
      </c>
      <c r="I512" s="181" t="s">
        <v>215</v>
      </c>
      <c r="J512" s="183">
        <v>7</v>
      </c>
      <c r="K512" s="164">
        <v>9</v>
      </c>
      <c r="L512" s="24" t="s">
        <v>116</v>
      </c>
      <c r="M512" s="24" t="s">
        <v>23</v>
      </c>
      <c r="N512" s="24" t="s">
        <v>148</v>
      </c>
      <c r="O512" s="24" t="s">
        <v>23</v>
      </c>
      <c r="P512" s="24"/>
      <c r="Q512" s="24"/>
      <c r="R512" s="187"/>
      <c r="S512" s="189" t="s">
        <v>1717</v>
      </c>
    </row>
    <row r="513" spans="1:19" ht="22.5" customHeight="1" x14ac:dyDescent="0.25">
      <c r="A513" s="201"/>
      <c r="B513" s="203"/>
      <c r="C513" s="203"/>
      <c r="D513" s="28" t="s">
        <v>970</v>
      </c>
      <c r="E513" s="29">
        <v>139</v>
      </c>
      <c r="F513" s="29">
        <v>319</v>
      </c>
      <c r="G513" s="29">
        <v>319</v>
      </c>
      <c r="H513" s="203"/>
      <c r="I513" s="204"/>
      <c r="J513" s="205"/>
      <c r="K513" s="206"/>
      <c r="L513" s="31"/>
      <c r="M513" s="31"/>
      <c r="N513" s="31"/>
      <c r="O513" s="31"/>
      <c r="P513" s="31"/>
      <c r="Q513" s="31"/>
      <c r="R513" s="203"/>
      <c r="S513" s="191"/>
    </row>
    <row r="514" spans="1:19" ht="24.75" customHeight="1" thickBot="1" x14ac:dyDescent="0.3">
      <c r="A514" s="202"/>
      <c r="B514" s="188"/>
      <c r="C514" s="188"/>
      <c r="D514" s="28" t="s">
        <v>25</v>
      </c>
      <c r="E514" s="29">
        <v>24.6</v>
      </c>
      <c r="F514" s="29">
        <v>33.5</v>
      </c>
      <c r="G514" s="29">
        <v>24.9</v>
      </c>
      <c r="H514" s="188"/>
      <c r="I514" s="182"/>
      <c r="J514" s="184"/>
      <c r="K514" s="165"/>
      <c r="L514" s="31"/>
      <c r="M514" s="31"/>
      <c r="N514" s="31"/>
      <c r="O514" s="31"/>
      <c r="P514" s="31"/>
      <c r="Q514" s="31"/>
      <c r="R514" s="188"/>
      <c r="S514" s="190"/>
    </row>
    <row r="515" spans="1:19" ht="142.5" customHeight="1" thickBot="1" x14ac:dyDescent="0.3">
      <c r="A515" s="19" t="s">
        <v>992</v>
      </c>
      <c r="B515" s="20" t="s">
        <v>993</v>
      </c>
      <c r="C515" s="21" t="s">
        <v>795</v>
      </c>
      <c r="D515" s="21" t="s">
        <v>25</v>
      </c>
      <c r="E515" s="33">
        <v>210</v>
      </c>
      <c r="F515" s="33">
        <v>210</v>
      </c>
      <c r="G515" s="33">
        <v>207.7</v>
      </c>
      <c r="H515" s="21" t="s">
        <v>994</v>
      </c>
      <c r="I515" s="23" t="s">
        <v>653</v>
      </c>
      <c r="J515" s="50">
        <v>2</v>
      </c>
      <c r="K515" s="66">
        <v>4</v>
      </c>
      <c r="L515" s="24" t="s">
        <v>52</v>
      </c>
      <c r="M515" s="24" t="s">
        <v>23</v>
      </c>
      <c r="N515" s="24" t="s">
        <v>161</v>
      </c>
      <c r="O515" s="24" t="s">
        <v>23</v>
      </c>
      <c r="P515" s="24"/>
      <c r="Q515" s="24"/>
      <c r="R515" s="21" t="s">
        <v>995</v>
      </c>
      <c r="S515" s="25"/>
    </row>
    <row r="516" spans="1:19" ht="207" customHeight="1" thickBot="1" x14ac:dyDescent="0.3">
      <c r="A516" s="19" t="s">
        <v>996</v>
      </c>
      <c r="B516" s="20" t="s">
        <v>997</v>
      </c>
      <c r="C516" s="21" t="s">
        <v>795</v>
      </c>
      <c r="D516" s="21" t="s">
        <v>25</v>
      </c>
      <c r="E516" s="33">
        <v>50</v>
      </c>
      <c r="F516" s="33">
        <v>57.1</v>
      </c>
      <c r="G516" s="33">
        <v>57.1</v>
      </c>
      <c r="H516" s="21" t="s">
        <v>998</v>
      </c>
      <c r="I516" s="23" t="s">
        <v>653</v>
      </c>
      <c r="J516" s="50">
        <v>2</v>
      </c>
      <c r="K516" s="66">
        <v>4</v>
      </c>
      <c r="L516" s="24" t="s">
        <v>34</v>
      </c>
      <c r="M516" s="24" t="s">
        <v>23</v>
      </c>
      <c r="N516" s="24" t="s">
        <v>89</v>
      </c>
      <c r="O516" s="24" t="s">
        <v>23</v>
      </c>
      <c r="P516" s="24"/>
      <c r="Q516" s="24"/>
      <c r="R516" s="53" t="s">
        <v>999</v>
      </c>
      <c r="S516" s="25"/>
    </row>
    <row r="517" spans="1:19" ht="33.75" customHeight="1" x14ac:dyDescent="0.25">
      <c r="A517" s="200" t="s">
        <v>1000</v>
      </c>
      <c r="B517" s="187" t="s">
        <v>1001</v>
      </c>
      <c r="C517" s="158" t="s">
        <v>399</v>
      </c>
      <c r="D517" s="187" t="s">
        <v>201</v>
      </c>
      <c r="E517" s="207">
        <f>SUM(E518:E518)</f>
        <v>0</v>
      </c>
      <c r="F517" s="207">
        <f>SUM(F518:F518)+250</f>
        <v>250</v>
      </c>
      <c r="G517" s="207">
        <f>SUM(G518:G518)+249.3</f>
        <v>249.3</v>
      </c>
      <c r="H517" s="21" t="s">
        <v>1002</v>
      </c>
      <c r="I517" s="23" t="s">
        <v>215</v>
      </c>
      <c r="J517" s="50">
        <v>100</v>
      </c>
      <c r="K517" s="66">
        <v>100</v>
      </c>
      <c r="L517" s="24"/>
      <c r="M517" s="24"/>
      <c r="N517" s="24"/>
      <c r="O517" s="24"/>
      <c r="P517" s="24"/>
      <c r="Q517" s="24"/>
      <c r="R517" s="27" t="s">
        <v>1718</v>
      </c>
      <c r="S517" s="25"/>
    </row>
    <row r="518" spans="1:19" ht="45.75" thickBot="1" x14ac:dyDescent="0.3">
      <c r="A518" s="202"/>
      <c r="B518" s="188"/>
      <c r="C518" s="159"/>
      <c r="D518" s="188"/>
      <c r="E518" s="208"/>
      <c r="F518" s="208"/>
      <c r="G518" s="208"/>
      <c r="H518" s="28" t="s">
        <v>1003</v>
      </c>
      <c r="I518" s="30" t="s">
        <v>215</v>
      </c>
      <c r="J518" s="62">
        <v>100</v>
      </c>
      <c r="K518" s="65">
        <v>100</v>
      </c>
      <c r="L518" s="31"/>
      <c r="M518" s="31"/>
      <c r="N518" s="31"/>
      <c r="O518" s="31"/>
      <c r="P518" s="31"/>
      <c r="Q518" s="31"/>
      <c r="R518" s="27"/>
      <c r="S518" s="32"/>
    </row>
    <row r="519" spans="1:19" ht="45.75" customHeight="1" x14ac:dyDescent="0.25">
      <c r="A519" s="200" t="s">
        <v>1004</v>
      </c>
      <c r="B519" s="187" t="s">
        <v>1005</v>
      </c>
      <c r="C519" s="187" t="s">
        <v>795</v>
      </c>
      <c r="D519" s="51"/>
      <c r="E519" s="52">
        <f>SUM(E520:E523)</f>
        <v>500.9</v>
      </c>
      <c r="F519" s="52">
        <f>SUM(F520:F523)</f>
        <v>547.59999999999991</v>
      </c>
      <c r="G519" s="52">
        <f>SUM(G520:G523)-0.1</f>
        <v>526.80000000000007</v>
      </c>
      <c r="H519" s="21" t="s">
        <v>735</v>
      </c>
      <c r="I519" s="23" t="s">
        <v>21</v>
      </c>
      <c r="J519" s="50">
        <v>1</v>
      </c>
      <c r="K519" s="66">
        <v>1</v>
      </c>
      <c r="L519" s="24" t="s">
        <v>22</v>
      </c>
      <c r="M519" s="24" t="s">
        <v>23</v>
      </c>
      <c r="N519" s="24" t="s">
        <v>22</v>
      </c>
      <c r="O519" s="24" t="s">
        <v>23</v>
      </c>
      <c r="P519" s="24"/>
      <c r="Q519" s="24"/>
      <c r="R519" s="76" t="s">
        <v>1006</v>
      </c>
      <c r="S519" s="25"/>
    </row>
    <row r="520" spans="1:19" ht="60" x14ac:dyDescent="0.25">
      <c r="A520" s="201"/>
      <c r="B520" s="203"/>
      <c r="C520" s="203"/>
      <c r="D520" s="28" t="s">
        <v>25</v>
      </c>
      <c r="E520" s="29">
        <v>150</v>
      </c>
      <c r="F520" s="29">
        <v>150</v>
      </c>
      <c r="G520" s="29">
        <v>146.4</v>
      </c>
      <c r="H520" s="28" t="s">
        <v>1791</v>
      </c>
      <c r="I520" s="30" t="s">
        <v>653</v>
      </c>
      <c r="J520" s="62">
        <v>2</v>
      </c>
      <c r="K520" s="65">
        <v>2</v>
      </c>
      <c r="L520" s="31" t="s">
        <v>161</v>
      </c>
      <c r="M520" s="31" t="s">
        <v>23</v>
      </c>
      <c r="N520" s="31" t="s">
        <v>82</v>
      </c>
      <c r="O520" s="31" t="s">
        <v>23</v>
      </c>
      <c r="P520" s="31"/>
      <c r="Q520" s="31"/>
      <c r="R520" s="28" t="s">
        <v>1007</v>
      </c>
      <c r="S520" s="102"/>
    </row>
    <row r="521" spans="1:19" ht="60" x14ac:dyDescent="0.25">
      <c r="A521" s="201"/>
      <c r="B521" s="203"/>
      <c r="C521" s="203"/>
      <c r="D521" s="28" t="s">
        <v>30</v>
      </c>
      <c r="E521" s="29">
        <v>350.9</v>
      </c>
      <c r="F521" s="29">
        <v>239.9</v>
      </c>
      <c r="G521" s="29">
        <v>222.8</v>
      </c>
      <c r="H521" s="28" t="s">
        <v>1008</v>
      </c>
      <c r="I521" s="30" t="s">
        <v>653</v>
      </c>
      <c r="J521" s="62">
        <v>2</v>
      </c>
      <c r="K521" s="65">
        <v>2</v>
      </c>
      <c r="L521" s="31" t="s">
        <v>161</v>
      </c>
      <c r="M521" s="31" t="s">
        <v>23</v>
      </c>
      <c r="N521" s="31" t="s">
        <v>90</v>
      </c>
      <c r="O521" s="31" t="s">
        <v>23</v>
      </c>
      <c r="P521" s="31"/>
      <c r="Q521" s="31"/>
      <c r="R521" s="28" t="s">
        <v>1009</v>
      </c>
      <c r="S521" s="32"/>
    </row>
    <row r="522" spans="1:19" ht="45" x14ac:dyDescent="0.25">
      <c r="A522" s="201"/>
      <c r="B522" s="203"/>
      <c r="C522" s="203"/>
      <c r="D522" s="213" t="s">
        <v>201</v>
      </c>
      <c r="E522" s="256">
        <v>0</v>
      </c>
      <c r="F522" s="256">
        <v>157.69999999999999</v>
      </c>
      <c r="G522" s="256">
        <v>157.69999999999999</v>
      </c>
      <c r="H522" s="28" t="s">
        <v>1010</v>
      </c>
      <c r="I522" s="30" t="s">
        <v>215</v>
      </c>
      <c r="J522" s="62">
        <v>100</v>
      </c>
      <c r="K522" s="64">
        <v>0</v>
      </c>
      <c r="L522" s="31"/>
      <c r="M522" s="31"/>
      <c r="N522" s="31"/>
      <c r="O522" s="31"/>
      <c r="P522" s="31"/>
      <c r="Q522" s="31"/>
      <c r="R522" s="28"/>
      <c r="S522" s="32" t="s">
        <v>1719</v>
      </c>
    </row>
    <row r="523" spans="1:19" ht="59.25" customHeight="1" thickBot="1" x14ac:dyDescent="0.3">
      <c r="A523" s="202"/>
      <c r="B523" s="188"/>
      <c r="C523" s="188"/>
      <c r="D523" s="188"/>
      <c r="E523" s="257"/>
      <c r="F523" s="257"/>
      <c r="G523" s="257"/>
      <c r="H523" s="28" t="s">
        <v>1011</v>
      </c>
      <c r="I523" s="30" t="s">
        <v>653</v>
      </c>
      <c r="J523" s="62">
        <v>2</v>
      </c>
      <c r="K523" s="65">
        <v>2</v>
      </c>
      <c r="L523" s="31" t="s">
        <v>90</v>
      </c>
      <c r="M523" s="31" t="s">
        <v>23</v>
      </c>
      <c r="N523" s="31" t="s">
        <v>90</v>
      </c>
      <c r="O523" s="31" t="s">
        <v>23</v>
      </c>
      <c r="P523" s="31"/>
      <c r="Q523" s="31"/>
      <c r="R523" s="28" t="s">
        <v>1012</v>
      </c>
      <c r="S523" s="32"/>
    </row>
    <row r="524" spans="1:19" ht="75.75" hidden="1" thickBot="1" x14ac:dyDescent="0.3">
      <c r="A524" s="19" t="s">
        <v>1013</v>
      </c>
      <c r="B524" s="20" t="s">
        <v>1014</v>
      </c>
      <c r="C524" s="21" t="s">
        <v>795</v>
      </c>
      <c r="D524" s="21"/>
      <c r="E524" s="33">
        <v>0</v>
      </c>
      <c r="F524" s="33">
        <v>0</v>
      </c>
      <c r="G524" s="33">
        <v>0</v>
      </c>
      <c r="H524" s="21" t="s">
        <v>1015</v>
      </c>
      <c r="I524" s="23" t="s">
        <v>215</v>
      </c>
      <c r="J524" s="46">
        <v>0</v>
      </c>
      <c r="K524" s="46">
        <v>0</v>
      </c>
      <c r="L524" s="24"/>
      <c r="M524" s="24"/>
      <c r="N524" s="24"/>
      <c r="O524" s="24"/>
      <c r="P524" s="24"/>
      <c r="Q524" s="24"/>
      <c r="R524" s="21"/>
      <c r="S524" s="25"/>
    </row>
    <row r="525" spans="1:19" ht="36" customHeight="1" x14ac:dyDescent="0.25">
      <c r="A525" s="200" t="s">
        <v>1016</v>
      </c>
      <c r="B525" s="187" t="s">
        <v>1017</v>
      </c>
      <c r="C525" s="187" t="s">
        <v>795</v>
      </c>
      <c r="D525" s="51"/>
      <c r="E525" s="52">
        <f>SUM(E526:E526)</f>
        <v>0</v>
      </c>
      <c r="F525" s="52">
        <f>SUM(F526:F526)</f>
        <v>15.9</v>
      </c>
      <c r="G525" s="52">
        <f>SUM(G526:G526)</f>
        <v>15.8</v>
      </c>
      <c r="H525" s="158" t="s">
        <v>1792</v>
      </c>
      <c r="I525" s="160" t="s">
        <v>21</v>
      </c>
      <c r="J525" s="162" t="s">
        <v>1701</v>
      </c>
      <c r="K525" s="164" t="s">
        <v>1701</v>
      </c>
      <c r="L525" s="103"/>
      <c r="M525" s="103"/>
      <c r="N525" s="103"/>
      <c r="O525" s="103"/>
      <c r="P525" s="103"/>
      <c r="Q525" s="103"/>
      <c r="R525" s="160"/>
      <c r="S525" s="166"/>
    </row>
    <row r="526" spans="1:19" ht="41.25" customHeight="1" thickBot="1" x14ac:dyDescent="0.3">
      <c r="A526" s="202"/>
      <c r="B526" s="188"/>
      <c r="C526" s="188"/>
      <c r="D526" s="28" t="s">
        <v>196</v>
      </c>
      <c r="E526" s="29">
        <v>0</v>
      </c>
      <c r="F526" s="29">
        <v>15.9</v>
      </c>
      <c r="G526" s="29">
        <v>15.8</v>
      </c>
      <c r="H526" s="159"/>
      <c r="I526" s="161"/>
      <c r="J526" s="163"/>
      <c r="K526" s="165"/>
      <c r="L526" s="104"/>
      <c r="M526" s="104"/>
      <c r="N526" s="104"/>
      <c r="O526" s="104"/>
      <c r="P526" s="104"/>
      <c r="Q526" s="104"/>
      <c r="R526" s="161"/>
      <c r="S526" s="167"/>
    </row>
    <row r="527" spans="1:19" ht="115.5" customHeight="1" x14ac:dyDescent="0.25">
      <c r="A527" s="200" t="s">
        <v>1018</v>
      </c>
      <c r="B527" s="187" t="s">
        <v>1019</v>
      </c>
      <c r="C527" s="187" t="s">
        <v>207</v>
      </c>
      <c r="D527" s="51"/>
      <c r="E527" s="52">
        <f>SUM(E528:E530)</f>
        <v>521.79999999999995</v>
      </c>
      <c r="F527" s="52">
        <f>SUM(F528:F530)</f>
        <v>521.79999999999995</v>
      </c>
      <c r="G527" s="52">
        <f>SUM(G528:G530)+0.1</f>
        <v>242.6</v>
      </c>
      <c r="H527" s="187" t="s">
        <v>1020</v>
      </c>
      <c r="I527" s="181" t="s">
        <v>21</v>
      </c>
      <c r="J527" s="162">
        <v>2</v>
      </c>
      <c r="K527" s="164">
        <v>2</v>
      </c>
      <c r="L527" s="24"/>
      <c r="M527" s="24"/>
      <c r="N527" s="24"/>
      <c r="O527" s="24"/>
      <c r="P527" s="24"/>
      <c r="Q527" s="24"/>
      <c r="R527" s="187" t="s">
        <v>1021</v>
      </c>
      <c r="S527" s="247" t="s">
        <v>1022</v>
      </c>
    </row>
    <row r="528" spans="1:19" ht="65.25" customHeight="1" x14ac:dyDescent="0.25">
      <c r="A528" s="201"/>
      <c r="B528" s="203"/>
      <c r="C528" s="203"/>
      <c r="D528" s="28" t="s">
        <v>201</v>
      </c>
      <c r="E528" s="29">
        <v>35.9</v>
      </c>
      <c r="F528" s="29">
        <v>35.9</v>
      </c>
      <c r="G528" s="29">
        <v>15.2</v>
      </c>
      <c r="H528" s="203"/>
      <c r="I528" s="204"/>
      <c r="J528" s="264"/>
      <c r="K528" s="206"/>
      <c r="L528" s="31"/>
      <c r="M528" s="31"/>
      <c r="N528" s="31"/>
      <c r="O528" s="31"/>
      <c r="P528" s="31"/>
      <c r="Q528" s="31"/>
      <c r="R528" s="203"/>
      <c r="S528" s="263"/>
    </row>
    <row r="529" spans="1:19" ht="38.25" customHeight="1" x14ac:dyDescent="0.25">
      <c r="A529" s="201"/>
      <c r="B529" s="203"/>
      <c r="C529" s="203"/>
      <c r="D529" s="28" t="s">
        <v>30</v>
      </c>
      <c r="E529" s="29">
        <v>81.099999999999994</v>
      </c>
      <c r="F529" s="29">
        <v>81.099999999999994</v>
      </c>
      <c r="G529" s="29">
        <v>54.9</v>
      </c>
      <c r="H529" s="203"/>
      <c r="I529" s="204"/>
      <c r="J529" s="264"/>
      <c r="K529" s="206"/>
      <c r="L529" s="31"/>
      <c r="M529" s="31"/>
      <c r="N529" s="31"/>
      <c r="O529" s="31"/>
      <c r="P529" s="31"/>
      <c r="Q529" s="31"/>
      <c r="R529" s="203"/>
      <c r="S529" s="263"/>
    </row>
    <row r="530" spans="1:19" ht="61.5" customHeight="1" thickBot="1" x14ac:dyDescent="0.3">
      <c r="A530" s="202"/>
      <c r="B530" s="188"/>
      <c r="C530" s="188"/>
      <c r="D530" s="28" t="s">
        <v>217</v>
      </c>
      <c r="E530" s="29">
        <v>404.8</v>
      </c>
      <c r="F530" s="29">
        <v>404.8</v>
      </c>
      <c r="G530" s="29">
        <v>172.4</v>
      </c>
      <c r="H530" s="188"/>
      <c r="I530" s="182"/>
      <c r="J530" s="163"/>
      <c r="K530" s="165"/>
      <c r="L530" s="31"/>
      <c r="M530" s="31"/>
      <c r="N530" s="31"/>
      <c r="O530" s="31"/>
      <c r="P530" s="31"/>
      <c r="Q530" s="31"/>
      <c r="R530" s="188"/>
      <c r="S530" s="248"/>
    </row>
    <row r="531" spans="1:19" ht="101.25" customHeight="1" x14ac:dyDescent="0.25">
      <c r="A531" s="210" t="s">
        <v>1023</v>
      </c>
      <c r="B531" s="181" t="s">
        <v>1024</v>
      </c>
      <c r="C531" s="181" t="s">
        <v>207</v>
      </c>
      <c r="D531" s="21"/>
      <c r="E531" s="22">
        <f>SUM(E532:E536)</f>
        <v>1089.8</v>
      </c>
      <c r="F531" s="22">
        <f>SUM(F532:F536)</f>
        <v>1389.8</v>
      </c>
      <c r="G531" s="22">
        <f>SUM(G532:G536)+0.1</f>
        <v>767.80000000000007</v>
      </c>
      <c r="H531" s="21" t="s">
        <v>1020</v>
      </c>
      <c r="I531" s="23" t="s">
        <v>21</v>
      </c>
      <c r="J531" s="50" t="s">
        <v>1701</v>
      </c>
      <c r="K531" s="63">
        <v>0</v>
      </c>
      <c r="L531" s="24" t="s">
        <v>22</v>
      </c>
      <c r="M531" s="24" t="s">
        <v>23</v>
      </c>
      <c r="N531" s="24"/>
      <c r="O531" s="24"/>
      <c r="P531" s="24"/>
      <c r="Q531" s="24"/>
      <c r="R531" s="21" t="s">
        <v>1025</v>
      </c>
      <c r="S531" s="25" t="s">
        <v>1720</v>
      </c>
    </row>
    <row r="532" spans="1:19" ht="57.75" customHeight="1" x14ac:dyDescent="0.25">
      <c r="A532" s="211"/>
      <c r="B532" s="204"/>
      <c r="C532" s="204"/>
      <c r="D532" s="28" t="s">
        <v>25</v>
      </c>
      <c r="E532" s="29">
        <v>550</v>
      </c>
      <c r="F532" s="29">
        <v>550</v>
      </c>
      <c r="G532" s="29">
        <v>98.8</v>
      </c>
      <c r="H532" s="213" t="s">
        <v>415</v>
      </c>
      <c r="I532" s="214" t="s">
        <v>215</v>
      </c>
      <c r="J532" s="215">
        <v>60</v>
      </c>
      <c r="K532" s="216">
        <v>66</v>
      </c>
      <c r="L532" s="31" t="s">
        <v>42</v>
      </c>
      <c r="M532" s="31" t="s">
        <v>23</v>
      </c>
      <c r="N532" s="31" t="s">
        <v>23</v>
      </c>
      <c r="O532" s="31" t="s">
        <v>23</v>
      </c>
      <c r="P532" s="31"/>
      <c r="Q532" s="31"/>
      <c r="R532" s="213" t="s">
        <v>1026</v>
      </c>
      <c r="S532" s="217" t="s">
        <v>1027</v>
      </c>
    </row>
    <row r="533" spans="1:19" ht="75" x14ac:dyDescent="0.25">
      <c r="A533" s="211"/>
      <c r="B533" s="204"/>
      <c r="C533" s="204"/>
      <c r="D533" s="28" t="s">
        <v>217</v>
      </c>
      <c r="E533" s="29">
        <v>282</v>
      </c>
      <c r="F533" s="29">
        <v>282</v>
      </c>
      <c r="G533" s="29">
        <v>132.9</v>
      </c>
      <c r="H533" s="203"/>
      <c r="I533" s="204"/>
      <c r="J533" s="205"/>
      <c r="K533" s="206"/>
      <c r="L533" s="31" t="s">
        <v>237</v>
      </c>
      <c r="M533" s="31" t="s">
        <v>23</v>
      </c>
      <c r="N533" s="31"/>
      <c r="O533" s="31"/>
      <c r="P533" s="31"/>
      <c r="Q533" s="31"/>
      <c r="R533" s="203"/>
      <c r="S533" s="191"/>
    </row>
    <row r="534" spans="1:19" x14ac:dyDescent="0.25">
      <c r="A534" s="211"/>
      <c r="B534" s="204"/>
      <c r="C534" s="204"/>
      <c r="D534" s="28" t="s">
        <v>201</v>
      </c>
      <c r="E534" s="29">
        <v>21.2</v>
      </c>
      <c r="F534" s="29">
        <v>21.2</v>
      </c>
      <c r="G534" s="29">
        <v>11.7</v>
      </c>
      <c r="H534" s="203"/>
      <c r="I534" s="204"/>
      <c r="J534" s="205"/>
      <c r="K534" s="206"/>
      <c r="L534" s="31"/>
      <c r="M534" s="31"/>
      <c r="N534" s="31"/>
      <c r="O534" s="31"/>
      <c r="P534" s="31"/>
      <c r="Q534" s="31"/>
      <c r="R534" s="203"/>
      <c r="S534" s="191"/>
    </row>
    <row r="535" spans="1:19" x14ac:dyDescent="0.25">
      <c r="A535" s="211"/>
      <c r="B535" s="204"/>
      <c r="C535" s="204"/>
      <c r="D535" s="28" t="s">
        <v>30</v>
      </c>
      <c r="E535" s="29">
        <v>236.6</v>
      </c>
      <c r="F535" s="29">
        <v>236.6</v>
      </c>
      <c r="G535" s="29">
        <v>224.3</v>
      </c>
      <c r="H535" s="203"/>
      <c r="I535" s="204"/>
      <c r="J535" s="205"/>
      <c r="K535" s="206"/>
      <c r="L535" s="31"/>
      <c r="M535" s="31"/>
      <c r="N535" s="31"/>
      <c r="O535" s="31"/>
      <c r="P535" s="31"/>
      <c r="Q535" s="31"/>
      <c r="R535" s="203"/>
      <c r="S535" s="191"/>
    </row>
    <row r="536" spans="1:19" ht="39.75" customHeight="1" thickBot="1" x14ac:dyDescent="0.3">
      <c r="A536" s="212"/>
      <c r="B536" s="182"/>
      <c r="C536" s="182"/>
      <c r="D536" s="28" t="s">
        <v>402</v>
      </c>
      <c r="E536" s="29"/>
      <c r="F536" s="29">
        <v>300</v>
      </c>
      <c r="G536" s="29">
        <v>300</v>
      </c>
      <c r="H536" s="188"/>
      <c r="I536" s="182"/>
      <c r="J536" s="184"/>
      <c r="K536" s="165"/>
      <c r="L536" s="31"/>
      <c r="M536" s="31"/>
      <c r="N536" s="31"/>
      <c r="O536" s="31"/>
      <c r="P536" s="31"/>
      <c r="Q536" s="31"/>
      <c r="R536" s="188"/>
      <c r="S536" s="190"/>
    </row>
    <row r="537" spans="1:19" ht="75" customHeight="1" x14ac:dyDescent="0.25">
      <c r="A537" s="210" t="s">
        <v>1028</v>
      </c>
      <c r="B537" s="181" t="s">
        <v>1029</v>
      </c>
      <c r="C537" s="181" t="s">
        <v>207</v>
      </c>
      <c r="D537" s="51"/>
      <c r="E537" s="52">
        <f>SUM(E538:E540)</f>
        <v>283</v>
      </c>
      <c r="F537" s="52">
        <f>SUM(F538:F540)</f>
        <v>309.60000000000002</v>
      </c>
      <c r="G537" s="52">
        <f>SUM(G538:G540)</f>
        <v>253.1</v>
      </c>
      <c r="H537" s="21" t="s">
        <v>1030</v>
      </c>
      <c r="I537" s="23" t="s">
        <v>21</v>
      </c>
      <c r="J537" s="50">
        <v>2</v>
      </c>
      <c r="K537" s="66">
        <v>2</v>
      </c>
      <c r="L537" s="24"/>
      <c r="M537" s="24"/>
      <c r="N537" s="24"/>
      <c r="O537" s="24"/>
      <c r="P537" s="24"/>
      <c r="Q537" s="24"/>
      <c r="R537" s="21" t="s">
        <v>1031</v>
      </c>
      <c r="S537" s="25"/>
    </row>
    <row r="538" spans="1:19" ht="93" customHeight="1" x14ac:dyDescent="0.25">
      <c r="A538" s="211"/>
      <c r="B538" s="204"/>
      <c r="C538" s="204"/>
      <c r="D538" s="28" t="s">
        <v>30</v>
      </c>
      <c r="E538" s="29">
        <v>13.6</v>
      </c>
      <c r="F538" s="29">
        <v>13.6</v>
      </c>
      <c r="G538" s="29">
        <v>13.6</v>
      </c>
      <c r="H538" s="213" t="s">
        <v>1032</v>
      </c>
      <c r="I538" s="214" t="s">
        <v>21</v>
      </c>
      <c r="J538" s="215">
        <v>2</v>
      </c>
      <c r="K538" s="216">
        <v>2</v>
      </c>
      <c r="L538" s="31"/>
      <c r="M538" s="31"/>
      <c r="N538" s="31"/>
      <c r="O538" s="31"/>
      <c r="P538" s="31"/>
      <c r="Q538" s="31"/>
      <c r="R538" s="213" t="s">
        <v>1033</v>
      </c>
      <c r="S538" s="217"/>
    </row>
    <row r="539" spans="1:19" ht="25.5" customHeight="1" x14ac:dyDescent="0.25">
      <c r="A539" s="211"/>
      <c r="B539" s="204"/>
      <c r="C539" s="204"/>
      <c r="D539" s="28" t="s">
        <v>217</v>
      </c>
      <c r="E539" s="29">
        <v>239.4</v>
      </c>
      <c r="F539" s="29">
        <v>266</v>
      </c>
      <c r="G539" s="29">
        <v>231.4</v>
      </c>
      <c r="H539" s="203"/>
      <c r="I539" s="204"/>
      <c r="J539" s="205"/>
      <c r="K539" s="206"/>
      <c r="L539" s="31"/>
      <c r="M539" s="31"/>
      <c r="N539" s="31"/>
      <c r="O539" s="31"/>
      <c r="P539" s="31"/>
      <c r="Q539" s="31"/>
      <c r="R539" s="203"/>
      <c r="S539" s="191"/>
    </row>
    <row r="540" spans="1:19" ht="24.75" customHeight="1" thickBot="1" x14ac:dyDescent="0.3">
      <c r="A540" s="212"/>
      <c r="B540" s="182"/>
      <c r="C540" s="182"/>
      <c r="D540" s="28" t="s">
        <v>25</v>
      </c>
      <c r="E540" s="29">
        <v>30</v>
      </c>
      <c r="F540" s="29">
        <v>30</v>
      </c>
      <c r="G540" s="29">
        <v>8.1</v>
      </c>
      <c r="H540" s="188"/>
      <c r="I540" s="182"/>
      <c r="J540" s="184"/>
      <c r="K540" s="165"/>
      <c r="L540" s="31"/>
      <c r="M540" s="31"/>
      <c r="N540" s="31"/>
      <c r="O540" s="31"/>
      <c r="P540" s="31"/>
      <c r="Q540" s="31"/>
      <c r="R540" s="188"/>
      <c r="S540" s="190"/>
    </row>
    <row r="541" spans="1:19" ht="60.75" hidden="1" thickBot="1" x14ac:dyDescent="0.3">
      <c r="A541" s="19" t="s">
        <v>1034</v>
      </c>
      <c r="B541" s="20" t="s">
        <v>1035</v>
      </c>
      <c r="C541" s="21" t="s">
        <v>207</v>
      </c>
      <c r="D541" s="21"/>
      <c r="E541" s="33">
        <v>0</v>
      </c>
      <c r="F541" s="33">
        <v>0</v>
      </c>
      <c r="G541" s="33">
        <v>0</v>
      </c>
      <c r="H541" s="21"/>
      <c r="I541" s="23"/>
      <c r="J541" s="46"/>
      <c r="K541" s="46"/>
      <c r="L541" s="24"/>
      <c r="M541" s="24"/>
      <c r="N541" s="24"/>
      <c r="O541" s="24"/>
      <c r="P541" s="24"/>
      <c r="Q541" s="24"/>
      <c r="R541" s="21"/>
      <c r="S541" s="25"/>
    </row>
    <row r="542" spans="1:19" ht="75.75" hidden="1" thickBot="1" x14ac:dyDescent="0.3">
      <c r="A542" s="12" t="s">
        <v>1036</v>
      </c>
      <c r="B542" s="13" t="s">
        <v>1037</v>
      </c>
      <c r="C542" s="14"/>
      <c r="D542" s="14"/>
      <c r="E542" s="15">
        <f>SUM(E543:E543)</f>
        <v>0</v>
      </c>
      <c r="F542" s="15">
        <f>SUM(F543:F543)</f>
        <v>0</v>
      </c>
      <c r="G542" s="15">
        <f>SUM(G543:G543)</f>
        <v>0</v>
      </c>
      <c r="H542" s="14"/>
      <c r="I542" s="16"/>
      <c r="J542" s="48"/>
      <c r="K542" s="48"/>
      <c r="L542" s="17"/>
      <c r="M542" s="17"/>
      <c r="N542" s="17"/>
      <c r="O542" s="17"/>
      <c r="P542" s="17"/>
      <c r="Q542" s="17"/>
      <c r="R542" s="14"/>
      <c r="S542" s="18"/>
    </row>
    <row r="543" spans="1:19" ht="60.75" hidden="1" thickBot="1" x14ac:dyDescent="0.3">
      <c r="A543" s="19" t="s">
        <v>1038</v>
      </c>
      <c r="B543" s="20" t="s">
        <v>1039</v>
      </c>
      <c r="C543" s="21" t="s">
        <v>795</v>
      </c>
      <c r="D543" s="21" t="s">
        <v>180</v>
      </c>
      <c r="E543" s="33">
        <v>0</v>
      </c>
      <c r="F543" s="33">
        <v>0</v>
      </c>
      <c r="G543" s="33">
        <v>0</v>
      </c>
      <c r="H543" s="21" t="s">
        <v>1040</v>
      </c>
      <c r="I543" s="23" t="s">
        <v>21</v>
      </c>
      <c r="J543" s="46">
        <v>0</v>
      </c>
      <c r="K543" s="46">
        <v>0</v>
      </c>
      <c r="L543" s="24" t="s">
        <v>128</v>
      </c>
      <c r="M543" s="24" t="s">
        <v>23</v>
      </c>
      <c r="N543" s="24"/>
      <c r="O543" s="24"/>
      <c r="P543" s="24"/>
      <c r="Q543" s="24"/>
      <c r="R543" s="21"/>
      <c r="S543" s="25"/>
    </row>
    <row r="544" spans="1:19" ht="30.75" customHeight="1" thickBot="1" x14ac:dyDescent="0.3">
      <c r="A544" s="4" t="s">
        <v>1041</v>
      </c>
      <c r="B544" s="195" t="s">
        <v>1042</v>
      </c>
      <c r="C544" s="196"/>
      <c r="D544" s="197"/>
      <c r="E544" s="7">
        <f>E545+E563+E605-0.1</f>
        <v>2309.9</v>
      </c>
      <c r="F544" s="7">
        <f>F545+F563+F605+0.1</f>
        <v>3079.4</v>
      </c>
      <c r="G544" s="7">
        <f>G545+G563+G605-0.1</f>
        <v>2432.3999999999996</v>
      </c>
      <c r="H544" s="192"/>
      <c r="I544" s="193"/>
      <c r="J544" s="193"/>
      <c r="K544" s="193"/>
      <c r="L544" s="193"/>
      <c r="M544" s="193"/>
      <c r="N544" s="193"/>
      <c r="O544" s="193"/>
      <c r="P544" s="193"/>
      <c r="Q544" s="193"/>
      <c r="R544" s="193"/>
      <c r="S544" s="194"/>
    </row>
    <row r="545" spans="1:24" ht="54" customHeight="1" thickBot="1" x14ac:dyDescent="0.3">
      <c r="A545" s="8" t="s">
        <v>1044</v>
      </c>
      <c r="B545" s="174" t="s">
        <v>1045</v>
      </c>
      <c r="C545" s="175"/>
      <c r="D545" s="176"/>
      <c r="E545" s="11">
        <f>E546+E561</f>
        <v>974.19999999999993</v>
      </c>
      <c r="F545" s="11">
        <f>F546+F561</f>
        <v>1358.6</v>
      </c>
      <c r="G545" s="11">
        <f>G546+G561</f>
        <v>858.3</v>
      </c>
      <c r="H545" s="177"/>
      <c r="I545" s="178"/>
      <c r="J545" s="178"/>
      <c r="K545" s="178"/>
      <c r="L545" s="178"/>
      <c r="M545" s="178"/>
      <c r="N545" s="178"/>
      <c r="O545" s="178"/>
      <c r="P545" s="178"/>
      <c r="Q545" s="178"/>
      <c r="R545" s="178"/>
      <c r="S545" s="179"/>
      <c r="V545" s="110"/>
      <c r="W545" s="111" t="s">
        <v>1</v>
      </c>
      <c r="X545" s="111" t="s">
        <v>1813</v>
      </c>
    </row>
    <row r="546" spans="1:24" ht="55.5" customHeight="1" thickBot="1" x14ac:dyDescent="0.3">
      <c r="A546" s="12" t="s">
        <v>1046</v>
      </c>
      <c r="B546" s="168" t="s">
        <v>1047</v>
      </c>
      <c r="C546" s="169"/>
      <c r="D546" s="170"/>
      <c r="E546" s="15">
        <f>E547+E549+E552+E554+E555+E560</f>
        <v>974.19999999999993</v>
      </c>
      <c r="F546" s="15">
        <f>F547+F549+F552+F554+F555+F560</f>
        <v>1358.6</v>
      </c>
      <c r="G546" s="15">
        <f>G547+G549+G552+G554+G555+G560</f>
        <v>858.3</v>
      </c>
      <c r="H546" s="171"/>
      <c r="I546" s="172"/>
      <c r="J546" s="172"/>
      <c r="K546" s="172"/>
      <c r="L546" s="172"/>
      <c r="M546" s="172"/>
      <c r="N546" s="172"/>
      <c r="O546" s="172"/>
      <c r="P546" s="172"/>
      <c r="Q546" s="172"/>
      <c r="R546" s="172"/>
      <c r="S546" s="173"/>
      <c r="V546" s="117"/>
      <c r="W546" s="112" t="s">
        <v>1814</v>
      </c>
      <c r="X546" s="113">
        <v>9</v>
      </c>
    </row>
    <row r="547" spans="1:24" ht="36" customHeight="1" x14ac:dyDescent="0.25">
      <c r="A547" s="200" t="s">
        <v>1048</v>
      </c>
      <c r="B547" s="187" t="s">
        <v>1049</v>
      </c>
      <c r="C547" s="187" t="s">
        <v>1043</v>
      </c>
      <c r="D547" s="51"/>
      <c r="E547" s="52">
        <f>SUM(E548:E548)</f>
        <v>254.4</v>
      </c>
      <c r="F547" s="52">
        <f>SUM(F548:F548)</f>
        <v>254.4</v>
      </c>
      <c r="G547" s="52">
        <f>SUM(G548:G548)</f>
        <v>167</v>
      </c>
      <c r="H547" s="187" t="s">
        <v>1050</v>
      </c>
      <c r="I547" s="181" t="s">
        <v>215</v>
      </c>
      <c r="J547" s="183">
        <v>100</v>
      </c>
      <c r="K547" s="164">
        <v>100</v>
      </c>
      <c r="L547" s="24"/>
      <c r="M547" s="24"/>
      <c r="N547" s="24"/>
      <c r="O547" s="24"/>
      <c r="P547" s="24"/>
      <c r="Q547" s="24"/>
      <c r="R547" s="181"/>
      <c r="S547" s="189"/>
      <c r="V547" s="118"/>
      <c r="W547" s="112" t="s">
        <v>1815</v>
      </c>
      <c r="X547" s="113">
        <v>8</v>
      </c>
    </row>
    <row r="548" spans="1:24" ht="58.5" customHeight="1" thickBot="1" x14ac:dyDescent="0.3">
      <c r="A548" s="202"/>
      <c r="B548" s="188"/>
      <c r="C548" s="188"/>
      <c r="D548" s="28" t="s">
        <v>30</v>
      </c>
      <c r="E548" s="29">
        <v>254.4</v>
      </c>
      <c r="F548" s="29">
        <v>254.4</v>
      </c>
      <c r="G548" s="29">
        <v>167</v>
      </c>
      <c r="H548" s="188"/>
      <c r="I548" s="182"/>
      <c r="J548" s="184"/>
      <c r="K548" s="165"/>
      <c r="L548" s="31"/>
      <c r="M548" s="31"/>
      <c r="N548" s="31"/>
      <c r="O548" s="31"/>
      <c r="P548" s="31"/>
      <c r="Q548" s="31"/>
      <c r="R548" s="182"/>
      <c r="S548" s="190"/>
      <c r="V548" s="116"/>
      <c r="W548" s="112" t="s">
        <v>1816</v>
      </c>
      <c r="X548" s="113"/>
    </row>
    <row r="549" spans="1:24" ht="45.75" customHeight="1" x14ac:dyDescent="0.25">
      <c r="A549" s="200" t="s">
        <v>1051</v>
      </c>
      <c r="B549" s="187" t="s">
        <v>1052</v>
      </c>
      <c r="C549" s="187" t="s">
        <v>1043</v>
      </c>
      <c r="D549" s="51"/>
      <c r="E549" s="52">
        <f>SUM(E550:E551)</f>
        <v>0</v>
      </c>
      <c r="F549" s="52">
        <f>SUM(F550:F551)</f>
        <v>150</v>
      </c>
      <c r="G549" s="52">
        <f>SUM(G550:G551)</f>
        <v>148.9</v>
      </c>
      <c r="H549" s="21" t="s">
        <v>1053</v>
      </c>
      <c r="I549" s="23" t="s">
        <v>653</v>
      </c>
      <c r="J549" s="50">
        <v>160</v>
      </c>
      <c r="K549" s="66">
        <v>160</v>
      </c>
      <c r="L549" s="24"/>
      <c r="M549" s="24"/>
      <c r="N549" s="24"/>
      <c r="O549" s="24"/>
      <c r="P549" s="24"/>
      <c r="Q549" s="24"/>
      <c r="R549" s="21"/>
      <c r="S549" s="25"/>
      <c r="V549" s="114"/>
      <c r="W549" s="119" t="s">
        <v>1817</v>
      </c>
      <c r="X549" s="115">
        <v>17</v>
      </c>
    </row>
    <row r="550" spans="1:24" ht="109.5" customHeight="1" x14ac:dyDescent="0.25">
      <c r="A550" s="201"/>
      <c r="B550" s="203"/>
      <c r="C550" s="203"/>
      <c r="D550" s="213" t="s">
        <v>201</v>
      </c>
      <c r="E550" s="256">
        <v>0</v>
      </c>
      <c r="F550" s="256">
        <v>150</v>
      </c>
      <c r="G550" s="256">
        <v>148.9</v>
      </c>
      <c r="H550" s="28" t="s">
        <v>1054</v>
      </c>
      <c r="I550" s="30" t="s">
        <v>215</v>
      </c>
      <c r="J550" s="62">
        <v>100</v>
      </c>
      <c r="K550" s="65">
        <v>100</v>
      </c>
      <c r="L550" s="31"/>
      <c r="M550" s="31"/>
      <c r="N550" s="31"/>
      <c r="O550" s="31"/>
      <c r="P550" s="31"/>
      <c r="Q550" s="31"/>
      <c r="R550" s="28" t="s">
        <v>1055</v>
      </c>
      <c r="S550" s="32"/>
    </row>
    <row r="551" spans="1:24" ht="76.5" customHeight="1" thickBot="1" x14ac:dyDescent="0.3">
      <c r="A551" s="202"/>
      <c r="B551" s="188"/>
      <c r="C551" s="188"/>
      <c r="D551" s="188"/>
      <c r="E551" s="257"/>
      <c r="F551" s="257"/>
      <c r="G551" s="257"/>
      <c r="H551" s="28" t="s">
        <v>1056</v>
      </c>
      <c r="I551" s="30" t="s">
        <v>653</v>
      </c>
      <c r="J551" s="62">
        <v>105</v>
      </c>
      <c r="K551" s="65">
        <v>105</v>
      </c>
      <c r="L551" s="31"/>
      <c r="M551" s="31"/>
      <c r="N551" s="31"/>
      <c r="O551" s="31"/>
      <c r="P551" s="31"/>
      <c r="Q551" s="31"/>
      <c r="R551" s="28"/>
      <c r="S551" s="32"/>
    </row>
    <row r="552" spans="1:24" ht="60" x14ac:dyDescent="0.25">
      <c r="A552" s="200" t="s">
        <v>1057</v>
      </c>
      <c r="B552" s="187" t="s">
        <v>1058</v>
      </c>
      <c r="C552" s="187" t="s">
        <v>1043</v>
      </c>
      <c r="D552" s="181" t="s">
        <v>25</v>
      </c>
      <c r="E552" s="261">
        <f>SUM(E553:E553)+46</f>
        <v>46</v>
      </c>
      <c r="F552" s="261">
        <f>SUM(F553:F553)+35.5</f>
        <v>35.5</v>
      </c>
      <c r="G552" s="261">
        <f>SUM(G553:G553)+23.9</f>
        <v>23.9</v>
      </c>
      <c r="H552" s="21" t="s">
        <v>1059</v>
      </c>
      <c r="I552" s="23" t="s">
        <v>549</v>
      </c>
      <c r="J552" s="50">
        <v>2</v>
      </c>
      <c r="K552" s="63">
        <v>0</v>
      </c>
      <c r="L552" s="24" t="s">
        <v>161</v>
      </c>
      <c r="M552" s="24" t="s">
        <v>23</v>
      </c>
      <c r="N552" s="24" t="s">
        <v>90</v>
      </c>
      <c r="O552" s="24" t="s">
        <v>23</v>
      </c>
      <c r="P552" s="24"/>
      <c r="Q552" s="24"/>
      <c r="R552" s="21"/>
      <c r="S552" s="25" t="s">
        <v>1721</v>
      </c>
    </row>
    <row r="553" spans="1:24" ht="109.5" customHeight="1" thickBot="1" x14ac:dyDescent="0.3">
      <c r="A553" s="202"/>
      <c r="B553" s="188"/>
      <c r="C553" s="188"/>
      <c r="D553" s="182"/>
      <c r="E553" s="262"/>
      <c r="F553" s="262"/>
      <c r="G553" s="262"/>
      <c r="H553" s="28" t="s">
        <v>1060</v>
      </c>
      <c r="I553" s="30" t="s">
        <v>549</v>
      </c>
      <c r="J553" s="62">
        <v>7</v>
      </c>
      <c r="K553" s="68">
        <v>6</v>
      </c>
      <c r="L553" s="31" t="s">
        <v>127</v>
      </c>
      <c r="M553" s="31" t="s">
        <v>23</v>
      </c>
      <c r="N553" s="31" t="s">
        <v>127</v>
      </c>
      <c r="O553" s="31" t="s">
        <v>23</v>
      </c>
      <c r="P553" s="31"/>
      <c r="Q553" s="31"/>
      <c r="R553" s="28" t="s">
        <v>1722</v>
      </c>
      <c r="S553" s="32" t="s">
        <v>1061</v>
      </c>
    </row>
    <row r="554" spans="1:24" ht="45.75" hidden="1" thickBot="1" x14ac:dyDescent="0.3">
      <c r="A554" s="19" t="s">
        <v>1062</v>
      </c>
      <c r="B554" s="20" t="s">
        <v>1063</v>
      </c>
      <c r="C554" s="21" t="s">
        <v>399</v>
      </c>
      <c r="D554" s="21" t="s">
        <v>25</v>
      </c>
      <c r="E554" s="33">
        <v>0</v>
      </c>
      <c r="F554" s="33">
        <v>0</v>
      </c>
      <c r="G554" s="33">
        <v>0</v>
      </c>
      <c r="H554" s="21"/>
      <c r="I554" s="23"/>
      <c r="J554" s="46"/>
      <c r="K554" s="46"/>
      <c r="L554" s="24"/>
      <c r="M554" s="24"/>
      <c r="N554" s="24"/>
      <c r="O554" s="24"/>
      <c r="P554" s="24"/>
      <c r="Q554" s="24"/>
      <c r="R554" s="21"/>
      <c r="S554" s="25"/>
    </row>
    <row r="555" spans="1:24" ht="140.25" customHeight="1" x14ac:dyDescent="0.25">
      <c r="A555" s="200" t="s">
        <v>1064</v>
      </c>
      <c r="B555" s="187" t="s">
        <v>1065</v>
      </c>
      <c r="C555" s="187" t="s">
        <v>207</v>
      </c>
      <c r="D555" s="51"/>
      <c r="E555" s="52">
        <f>SUM(E556:E559)</f>
        <v>673.8</v>
      </c>
      <c r="F555" s="52">
        <f>SUM(F556:F559)</f>
        <v>726.7</v>
      </c>
      <c r="G555" s="52">
        <f>SUM(G556:G559)+0.1</f>
        <v>326.50000000000006</v>
      </c>
      <c r="H555" s="21" t="s">
        <v>1066</v>
      </c>
      <c r="I555" s="23" t="s">
        <v>21</v>
      </c>
      <c r="J555" s="50">
        <v>2</v>
      </c>
      <c r="K555" s="67">
        <v>1</v>
      </c>
      <c r="L555" s="24" t="s">
        <v>23</v>
      </c>
      <c r="M555" s="24" t="s">
        <v>23</v>
      </c>
      <c r="N555" s="24" t="s">
        <v>23</v>
      </c>
      <c r="O555" s="24" t="s">
        <v>23</v>
      </c>
      <c r="P555" s="24"/>
      <c r="Q555" s="24"/>
      <c r="R555" s="21" t="s">
        <v>1067</v>
      </c>
      <c r="S555" s="25" t="s">
        <v>1068</v>
      </c>
    </row>
    <row r="556" spans="1:24" ht="60" x14ac:dyDescent="0.25">
      <c r="A556" s="201"/>
      <c r="B556" s="203"/>
      <c r="C556" s="203"/>
      <c r="D556" s="28" t="s">
        <v>201</v>
      </c>
      <c r="E556" s="29">
        <v>51.4</v>
      </c>
      <c r="F556" s="29">
        <v>104.3</v>
      </c>
      <c r="G556" s="29">
        <v>21.7</v>
      </c>
      <c r="H556" s="28" t="s">
        <v>1069</v>
      </c>
      <c r="I556" s="30" t="s">
        <v>549</v>
      </c>
      <c r="J556" s="62">
        <v>37677</v>
      </c>
      <c r="K556" s="64">
        <v>0</v>
      </c>
      <c r="L556" s="31" t="s">
        <v>23</v>
      </c>
      <c r="M556" s="31" t="s">
        <v>23</v>
      </c>
      <c r="N556" s="31" t="s">
        <v>23</v>
      </c>
      <c r="O556" s="31" t="s">
        <v>23</v>
      </c>
      <c r="P556" s="31"/>
      <c r="Q556" s="31"/>
      <c r="R556" s="28"/>
      <c r="S556" s="32" t="s">
        <v>1070</v>
      </c>
    </row>
    <row r="557" spans="1:24" ht="60" x14ac:dyDescent="0.25">
      <c r="A557" s="201"/>
      <c r="B557" s="203"/>
      <c r="C557" s="203"/>
      <c r="D557" s="28" t="s">
        <v>30</v>
      </c>
      <c r="E557" s="29">
        <v>99.1</v>
      </c>
      <c r="F557" s="29">
        <v>99.1</v>
      </c>
      <c r="G557" s="29">
        <v>88.4</v>
      </c>
      <c r="H557" s="214" t="s">
        <v>415</v>
      </c>
      <c r="I557" s="214" t="s">
        <v>215</v>
      </c>
      <c r="J557" s="215">
        <v>100</v>
      </c>
      <c r="K557" s="216">
        <v>100</v>
      </c>
      <c r="L557" s="31" t="s">
        <v>23</v>
      </c>
      <c r="M557" s="31" t="s">
        <v>23</v>
      </c>
      <c r="N557" s="31"/>
      <c r="O557" s="31"/>
      <c r="P557" s="31"/>
      <c r="Q557" s="31"/>
      <c r="R557" s="213" t="s">
        <v>1071</v>
      </c>
      <c r="S557" s="156"/>
    </row>
    <row r="558" spans="1:24" x14ac:dyDescent="0.25">
      <c r="A558" s="201"/>
      <c r="B558" s="203"/>
      <c r="C558" s="203"/>
      <c r="D558" s="28" t="s">
        <v>25</v>
      </c>
      <c r="E558" s="29">
        <v>24</v>
      </c>
      <c r="F558" s="29">
        <v>24</v>
      </c>
      <c r="G558" s="29">
        <v>24</v>
      </c>
      <c r="H558" s="204"/>
      <c r="I558" s="204"/>
      <c r="J558" s="205"/>
      <c r="K558" s="206"/>
      <c r="L558" s="31"/>
      <c r="M558" s="31"/>
      <c r="N558" s="31"/>
      <c r="O558" s="31"/>
      <c r="P558" s="31"/>
      <c r="Q558" s="31"/>
      <c r="R558" s="203"/>
      <c r="S558" s="219"/>
    </row>
    <row r="559" spans="1:24" ht="15.75" thickBot="1" x14ac:dyDescent="0.3">
      <c r="A559" s="202"/>
      <c r="B559" s="188"/>
      <c r="C559" s="188"/>
      <c r="D559" s="28" t="s">
        <v>217</v>
      </c>
      <c r="E559" s="29">
        <v>499.3</v>
      </c>
      <c r="F559" s="29">
        <v>499.3</v>
      </c>
      <c r="G559" s="29">
        <v>192.3</v>
      </c>
      <c r="H559" s="182"/>
      <c r="I559" s="182"/>
      <c r="J559" s="184"/>
      <c r="K559" s="165"/>
      <c r="L559" s="31"/>
      <c r="M559" s="31"/>
      <c r="N559" s="31"/>
      <c r="O559" s="31"/>
      <c r="P559" s="31"/>
      <c r="Q559" s="31"/>
      <c r="R559" s="188"/>
      <c r="S559" s="157"/>
    </row>
    <row r="560" spans="1:24" ht="87.75" customHeight="1" thickBot="1" x14ac:dyDescent="0.3">
      <c r="A560" s="19" t="s">
        <v>1072</v>
      </c>
      <c r="B560" s="20" t="s">
        <v>1073</v>
      </c>
      <c r="C560" s="21" t="s">
        <v>1043</v>
      </c>
      <c r="D560" s="21" t="s">
        <v>201</v>
      </c>
      <c r="E560" s="33">
        <v>0</v>
      </c>
      <c r="F560" s="33">
        <v>192</v>
      </c>
      <c r="G560" s="33">
        <v>192</v>
      </c>
      <c r="H560" s="21" t="s">
        <v>1074</v>
      </c>
      <c r="I560" s="23" t="s">
        <v>21</v>
      </c>
      <c r="J560" s="50">
        <v>1</v>
      </c>
      <c r="K560" s="66">
        <v>1</v>
      </c>
      <c r="L560" s="24"/>
      <c r="M560" s="24"/>
      <c r="N560" s="24"/>
      <c r="O560" s="24"/>
      <c r="P560" s="24"/>
      <c r="Q560" s="24"/>
      <c r="R560" s="21" t="s">
        <v>1075</v>
      </c>
      <c r="S560" s="25"/>
    </row>
    <row r="561" spans="1:19" ht="105.75" hidden="1" thickBot="1" x14ac:dyDescent="0.3">
      <c r="A561" s="12" t="s">
        <v>1076</v>
      </c>
      <c r="B561" s="13" t="s">
        <v>1077</v>
      </c>
      <c r="C561" s="14"/>
      <c r="D561" s="14"/>
      <c r="E561" s="15">
        <f>SUM(E562:E562)</f>
        <v>0</v>
      </c>
      <c r="F561" s="15">
        <f>SUM(F562:F562)</f>
        <v>0</v>
      </c>
      <c r="G561" s="15">
        <f>SUM(G562:G562)</f>
        <v>0</v>
      </c>
      <c r="H561" s="171"/>
      <c r="I561" s="172"/>
      <c r="J561" s="172"/>
      <c r="K561" s="172"/>
      <c r="L561" s="172"/>
      <c r="M561" s="172"/>
      <c r="N561" s="172"/>
      <c r="O561" s="172"/>
      <c r="P561" s="172"/>
      <c r="Q561" s="172"/>
      <c r="R561" s="172"/>
      <c r="S561" s="173"/>
    </row>
    <row r="562" spans="1:19" ht="135.75" hidden="1" thickBot="1" x14ac:dyDescent="0.3">
      <c r="A562" s="19" t="s">
        <v>1078</v>
      </c>
      <c r="B562" s="20" t="s">
        <v>1079</v>
      </c>
      <c r="C562" s="21" t="s">
        <v>1080</v>
      </c>
      <c r="D562" s="21"/>
      <c r="E562" s="33">
        <v>0</v>
      </c>
      <c r="F562" s="33">
        <v>0</v>
      </c>
      <c r="G562" s="33">
        <v>0</v>
      </c>
      <c r="H562" s="21"/>
      <c r="I562" s="23"/>
      <c r="J562" s="46"/>
      <c r="K562" s="46"/>
      <c r="L562" s="24"/>
      <c r="M562" s="24"/>
      <c r="N562" s="24"/>
      <c r="O562" s="24"/>
      <c r="P562" s="24"/>
      <c r="Q562" s="24"/>
      <c r="R562" s="21"/>
      <c r="S562" s="25"/>
    </row>
    <row r="563" spans="1:19" ht="36" customHeight="1" thickBot="1" x14ac:dyDescent="0.3">
      <c r="A563" s="8" t="s">
        <v>1081</v>
      </c>
      <c r="B563" s="174" t="s">
        <v>1082</v>
      </c>
      <c r="C563" s="175"/>
      <c r="D563" s="176"/>
      <c r="E563" s="11">
        <f>E564+E579+E583+E603</f>
        <v>1261</v>
      </c>
      <c r="F563" s="11">
        <f>F564+F579+F583+F603</f>
        <v>1595.8000000000002</v>
      </c>
      <c r="G563" s="11">
        <f>G564+G579+G583+G603+0.1</f>
        <v>1477.1</v>
      </c>
      <c r="H563" s="177"/>
      <c r="I563" s="178"/>
      <c r="J563" s="178"/>
      <c r="K563" s="178"/>
      <c r="L563" s="178"/>
      <c r="M563" s="178"/>
      <c r="N563" s="178"/>
      <c r="O563" s="178"/>
      <c r="P563" s="178"/>
      <c r="Q563" s="178"/>
      <c r="R563" s="178"/>
      <c r="S563" s="179"/>
    </row>
    <row r="564" spans="1:19" ht="48" customHeight="1" thickBot="1" x14ac:dyDescent="0.3">
      <c r="A564" s="12" t="s">
        <v>1083</v>
      </c>
      <c r="B564" s="168" t="s">
        <v>1084</v>
      </c>
      <c r="C564" s="169"/>
      <c r="D564" s="170"/>
      <c r="E564" s="15">
        <f>E565+E570+E575</f>
        <v>86.8</v>
      </c>
      <c r="F564" s="15">
        <f>F565+F570+F575</f>
        <v>395.6</v>
      </c>
      <c r="G564" s="15">
        <f>G565+G570+G575</f>
        <v>272.3</v>
      </c>
      <c r="H564" s="171"/>
      <c r="I564" s="172"/>
      <c r="J564" s="172"/>
      <c r="K564" s="172"/>
      <c r="L564" s="172"/>
      <c r="M564" s="172"/>
      <c r="N564" s="172"/>
      <c r="O564" s="172"/>
      <c r="P564" s="172"/>
      <c r="Q564" s="172"/>
      <c r="R564" s="172"/>
      <c r="S564" s="173"/>
    </row>
    <row r="565" spans="1:19" ht="49.5" customHeight="1" x14ac:dyDescent="0.25">
      <c r="A565" s="200" t="s">
        <v>1085</v>
      </c>
      <c r="B565" s="187" t="s">
        <v>1086</v>
      </c>
      <c r="C565" s="187" t="s">
        <v>1043</v>
      </c>
      <c r="D565" s="51"/>
      <c r="E565" s="52">
        <f>SUM(E566:E569)</f>
        <v>15</v>
      </c>
      <c r="F565" s="52">
        <f>SUM(F566:F569)</f>
        <v>334.3</v>
      </c>
      <c r="G565" s="52">
        <f>SUM(G566:G569)+0.1</f>
        <v>214</v>
      </c>
      <c r="H565" s="187" t="s">
        <v>1087</v>
      </c>
      <c r="I565" s="181" t="s">
        <v>653</v>
      </c>
      <c r="J565" s="183">
        <v>2</v>
      </c>
      <c r="K565" s="164">
        <v>2</v>
      </c>
      <c r="L565" s="24" t="s">
        <v>34</v>
      </c>
      <c r="M565" s="24" t="s">
        <v>23</v>
      </c>
      <c r="N565" s="24" t="s">
        <v>161</v>
      </c>
      <c r="O565" s="24" t="s">
        <v>23</v>
      </c>
      <c r="P565" s="24"/>
      <c r="Q565" s="24"/>
      <c r="R565" s="187" t="s">
        <v>1088</v>
      </c>
      <c r="S565" s="189"/>
    </row>
    <row r="566" spans="1:19" x14ac:dyDescent="0.25">
      <c r="A566" s="201"/>
      <c r="B566" s="203"/>
      <c r="C566" s="203"/>
      <c r="D566" s="28" t="s">
        <v>274</v>
      </c>
      <c r="E566" s="29">
        <v>0</v>
      </c>
      <c r="F566" s="29">
        <v>0</v>
      </c>
      <c r="G566" s="29">
        <v>5</v>
      </c>
      <c r="H566" s="203"/>
      <c r="I566" s="204"/>
      <c r="J566" s="205"/>
      <c r="K566" s="206"/>
      <c r="L566" s="31"/>
      <c r="M566" s="31"/>
      <c r="N566" s="31"/>
      <c r="O566" s="31"/>
      <c r="P566" s="31"/>
      <c r="Q566" s="31"/>
      <c r="R566" s="203"/>
      <c r="S566" s="191"/>
    </row>
    <row r="567" spans="1:19" x14ac:dyDescent="0.25">
      <c r="A567" s="201"/>
      <c r="B567" s="203"/>
      <c r="C567" s="203"/>
      <c r="D567" s="28" t="s">
        <v>30</v>
      </c>
      <c r="E567" s="29">
        <v>0</v>
      </c>
      <c r="F567" s="29">
        <v>122.1</v>
      </c>
      <c r="G567" s="29">
        <v>19.5</v>
      </c>
      <c r="H567" s="203"/>
      <c r="I567" s="204"/>
      <c r="J567" s="205"/>
      <c r="K567" s="206"/>
      <c r="L567" s="31"/>
      <c r="M567" s="31"/>
      <c r="N567" s="31"/>
      <c r="O567" s="31"/>
      <c r="P567" s="31"/>
      <c r="Q567" s="31"/>
      <c r="R567" s="203"/>
      <c r="S567" s="191"/>
    </row>
    <row r="568" spans="1:19" ht="52.5" customHeight="1" x14ac:dyDescent="0.25">
      <c r="A568" s="201"/>
      <c r="B568" s="203"/>
      <c r="C568" s="203"/>
      <c r="D568" s="28" t="s">
        <v>25</v>
      </c>
      <c r="E568" s="29">
        <v>15</v>
      </c>
      <c r="F568" s="29">
        <v>28.8</v>
      </c>
      <c r="G568" s="29">
        <v>6</v>
      </c>
      <c r="H568" s="203"/>
      <c r="I568" s="204"/>
      <c r="J568" s="205"/>
      <c r="K568" s="206"/>
      <c r="L568" s="31"/>
      <c r="M568" s="31"/>
      <c r="N568" s="31"/>
      <c r="O568" s="31"/>
      <c r="P568" s="31"/>
      <c r="Q568" s="31"/>
      <c r="R568" s="203"/>
      <c r="S568" s="191"/>
    </row>
    <row r="569" spans="1:19" ht="48.75" customHeight="1" thickBot="1" x14ac:dyDescent="0.3">
      <c r="A569" s="202"/>
      <c r="B569" s="188"/>
      <c r="C569" s="188"/>
      <c r="D569" s="28" t="s">
        <v>201</v>
      </c>
      <c r="E569" s="29">
        <v>0</v>
      </c>
      <c r="F569" s="29">
        <v>183.4</v>
      </c>
      <c r="G569" s="29">
        <v>183.4</v>
      </c>
      <c r="H569" s="188"/>
      <c r="I569" s="182"/>
      <c r="J569" s="184"/>
      <c r="K569" s="165"/>
      <c r="L569" s="31"/>
      <c r="M569" s="31"/>
      <c r="N569" s="31"/>
      <c r="O569" s="31"/>
      <c r="P569" s="31"/>
      <c r="Q569" s="31"/>
      <c r="R569" s="188"/>
      <c r="S569" s="190"/>
    </row>
    <row r="570" spans="1:19" ht="45" customHeight="1" x14ac:dyDescent="0.25">
      <c r="A570" s="200" t="s">
        <v>1089</v>
      </c>
      <c r="B570" s="187" t="s">
        <v>1090</v>
      </c>
      <c r="C570" s="187" t="s">
        <v>1043</v>
      </c>
      <c r="D570" s="51"/>
      <c r="E570" s="52">
        <f>SUM(E571:E574)</f>
        <v>40.700000000000003</v>
      </c>
      <c r="F570" s="52">
        <f>SUM(F571:F574)</f>
        <v>27</v>
      </c>
      <c r="G570" s="52">
        <f>SUM(G571:G574)</f>
        <v>25.3</v>
      </c>
      <c r="H570" s="187" t="s">
        <v>1091</v>
      </c>
      <c r="I570" s="181" t="s">
        <v>653</v>
      </c>
      <c r="J570" s="183">
        <v>20</v>
      </c>
      <c r="K570" s="185">
        <v>9</v>
      </c>
      <c r="L570" s="24"/>
      <c r="M570" s="24"/>
      <c r="N570" s="24"/>
      <c r="O570" s="24"/>
      <c r="P570" s="24"/>
      <c r="Q570" s="24"/>
      <c r="R570" s="187" t="s">
        <v>1092</v>
      </c>
      <c r="S570" s="189" t="s">
        <v>1723</v>
      </c>
    </row>
    <row r="571" spans="1:19" x14ac:dyDescent="0.25">
      <c r="A571" s="201"/>
      <c r="B571" s="203"/>
      <c r="C571" s="203"/>
      <c r="D571" s="28" t="s">
        <v>289</v>
      </c>
      <c r="E571" s="29">
        <v>0</v>
      </c>
      <c r="F571" s="29">
        <v>0</v>
      </c>
      <c r="G571" s="29">
        <v>9.9</v>
      </c>
      <c r="H571" s="203"/>
      <c r="I571" s="204"/>
      <c r="J571" s="205"/>
      <c r="K571" s="243"/>
      <c r="L571" s="31"/>
      <c r="M571" s="31"/>
      <c r="N571" s="31"/>
      <c r="O571" s="31"/>
      <c r="P571" s="31"/>
      <c r="Q571" s="31"/>
      <c r="R571" s="203"/>
      <c r="S571" s="191"/>
    </row>
    <row r="572" spans="1:19" x14ac:dyDescent="0.25">
      <c r="A572" s="201"/>
      <c r="B572" s="203"/>
      <c r="C572" s="203"/>
      <c r="D572" s="28" t="s">
        <v>274</v>
      </c>
      <c r="E572" s="29">
        <v>0</v>
      </c>
      <c r="F572" s="29">
        <v>0</v>
      </c>
      <c r="G572" s="29">
        <v>15.4</v>
      </c>
      <c r="H572" s="203"/>
      <c r="I572" s="204"/>
      <c r="J572" s="205"/>
      <c r="K572" s="243"/>
      <c r="L572" s="31"/>
      <c r="M572" s="31"/>
      <c r="N572" s="31"/>
      <c r="O572" s="31"/>
      <c r="P572" s="31"/>
      <c r="Q572" s="31"/>
      <c r="R572" s="203"/>
      <c r="S572" s="191"/>
    </row>
    <row r="573" spans="1:19" ht="30.75" customHeight="1" x14ac:dyDescent="0.25">
      <c r="A573" s="201"/>
      <c r="B573" s="203"/>
      <c r="C573" s="203"/>
      <c r="D573" s="28" t="s">
        <v>25</v>
      </c>
      <c r="E573" s="29">
        <v>18</v>
      </c>
      <c r="F573" s="29">
        <v>15.4</v>
      </c>
      <c r="G573" s="29">
        <v>0</v>
      </c>
      <c r="H573" s="203"/>
      <c r="I573" s="204"/>
      <c r="J573" s="205"/>
      <c r="K573" s="243"/>
      <c r="L573" s="31"/>
      <c r="M573" s="31"/>
      <c r="N573" s="31"/>
      <c r="O573" s="31"/>
      <c r="P573" s="31"/>
      <c r="Q573" s="31"/>
      <c r="R573" s="203"/>
      <c r="S573" s="191"/>
    </row>
    <row r="574" spans="1:19" ht="36.75" customHeight="1" thickBot="1" x14ac:dyDescent="0.3">
      <c r="A574" s="202"/>
      <c r="B574" s="188"/>
      <c r="C574" s="188"/>
      <c r="D574" s="28" t="s">
        <v>30</v>
      </c>
      <c r="E574" s="29">
        <v>22.7</v>
      </c>
      <c r="F574" s="29">
        <v>11.6</v>
      </c>
      <c r="G574" s="29">
        <v>0</v>
      </c>
      <c r="H574" s="188"/>
      <c r="I574" s="182"/>
      <c r="J574" s="184"/>
      <c r="K574" s="186"/>
      <c r="L574" s="31"/>
      <c r="M574" s="31"/>
      <c r="N574" s="31"/>
      <c r="O574" s="31"/>
      <c r="P574" s="31"/>
      <c r="Q574" s="31"/>
      <c r="R574" s="188"/>
      <c r="S574" s="190"/>
    </row>
    <row r="575" spans="1:19" ht="42.75" customHeight="1" x14ac:dyDescent="0.25">
      <c r="A575" s="200" t="s">
        <v>1093</v>
      </c>
      <c r="B575" s="187" t="s">
        <v>1094</v>
      </c>
      <c r="C575" s="187" t="s">
        <v>1043</v>
      </c>
      <c r="D575" s="51"/>
      <c r="E575" s="52">
        <f>SUM(E576:E578)</f>
        <v>31.099999999999998</v>
      </c>
      <c r="F575" s="52">
        <f>SUM(F576:F578)</f>
        <v>34.299999999999997</v>
      </c>
      <c r="G575" s="52">
        <f>SUM(G576:G578)</f>
        <v>33</v>
      </c>
      <c r="H575" s="187" t="s">
        <v>1095</v>
      </c>
      <c r="I575" s="181" t="s">
        <v>653</v>
      </c>
      <c r="J575" s="183">
        <v>200</v>
      </c>
      <c r="K575" s="185">
        <v>53</v>
      </c>
      <c r="L575" s="24" t="s">
        <v>269</v>
      </c>
      <c r="M575" s="24" t="s">
        <v>23</v>
      </c>
      <c r="N575" s="24" t="s">
        <v>23</v>
      </c>
      <c r="O575" s="24" t="s">
        <v>23</v>
      </c>
      <c r="P575" s="24"/>
      <c r="Q575" s="24"/>
      <c r="R575" s="187" t="s">
        <v>1096</v>
      </c>
      <c r="S575" s="189" t="s">
        <v>1724</v>
      </c>
    </row>
    <row r="576" spans="1:19" x14ac:dyDescent="0.25">
      <c r="A576" s="201"/>
      <c r="B576" s="203"/>
      <c r="C576" s="203"/>
      <c r="D576" s="28" t="s">
        <v>192</v>
      </c>
      <c r="E576" s="29">
        <v>3.4</v>
      </c>
      <c r="F576" s="29">
        <v>3.4</v>
      </c>
      <c r="G576" s="29">
        <v>3.2</v>
      </c>
      <c r="H576" s="203"/>
      <c r="I576" s="204"/>
      <c r="J576" s="205"/>
      <c r="K576" s="243"/>
      <c r="L576" s="31"/>
      <c r="M576" s="31"/>
      <c r="N576" s="31"/>
      <c r="O576" s="31"/>
      <c r="P576" s="31"/>
      <c r="Q576" s="31"/>
      <c r="R576" s="203"/>
      <c r="S576" s="191"/>
    </row>
    <row r="577" spans="1:19" x14ac:dyDescent="0.25">
      <c r="A577" s="201"/>
      <c r="B577" s="203"/>
      <c r="C577" s="203"/>
      <c r="D577" s="28" t="s">
        <v>196</v>
      </c>
      <c r="E577" s="29">
        <v>21.7</v>
      </c>
      <c r="F577" s="29">
        <v>24.9</v>
      </c>
      <c r="G577" s="29">
        <v>24.9</v>
      </c>
      <c r="H577" s="203"/>
      <c r="I577" s="204"/>
      <c r="J577" s="205"/>
      <c r="K577" s="243"/>
      <c r="L577" s="31"/>
      <c r="M577" s="31"/>
      <c r="N577" s="31"/>
      <c r="O577" s="31"/>
      <c r="P577" s="31"/>
      <c r="Q577" s="31"/>
      <c r="R577" s="203"/>
      <c r="S577" s="191"/>
    </row>
    <row r="578" spans="1:19" ht="56.25" customHeight="1" thickBot="1" x14ac:dyDescent="0.3">
      <c r="A578" s="202"/>
      <c r="B578" s="188"/>
      <c r="C578" s="188"/>
      <c r="D578" s="28" t="s">
        <v>25</v>
      </c>
      <c r="E578" s="29">
        <v>6</v>
      </c>
      <c r="F578" s="29">
        <v>6</v>
      </c>
      <c r="G578" s="29">
        <v>4.9000000000000004</v>
      </c>
      <c r="H578" s="188"/>
      <c r="I578" s="182"/>
      <c r="J578" s="184"/>
      <c r="K578" s="186"/>
      <c r="L578" s="31"/>
      <c r="M578" s="31"/>
      <c r="N578" s="31"/>
      <c r="O578" s="31"/>
      <c r="P578" s="31"/>
      <c r="Q578" s="31"/>
      <c r="R578" s="188"/>
      <c r="S578" s="190"/>
    </row>
    <row r="579" spans="1:19" ht="36.75" customHeight="1" thickBot="1" x14ac:dyDescent="0.3">
      <c r="A579" s="12" t="s">
        <v>1097</v>
      </c>
      <c r="B579" s="168" t="s">
        <v>1098</v>
      </c>
      <c r="C579" s="169"/>
      <c r="D579" s="170"/>
      <c r="E579" s="15">
        <f>SUM(E580:E580)</f>
        <v>3</v>
      </c>
      <c r="F579" s="15">
        <f>SUM(F580:F580)</f>
        <v>3</v>
      </c>
      <c r="G579" s="15">
        <f>SUM(G580:G580)</f>
        <v>1.9</v>
      </c>
      <c r="H579" s="171"/>
      <c r="I579" s="172"/>
      <c r="J579" s="172"/>
      <c r="K579" s="172"/>
      <c r="L579" s="172"/>
      <c r="M579" s="172"/>
      <c r="N579" s="172"/>
      <c r="O579" s="172"/>
      <c r="P579" s="172"/>
      <c r="Q579" s="172"/>
      <c r="R579" s="172"/>
      <c r="S579" s="173"/>
    </row>
    <row r="580" spans="1:19" ht="47.25" customHeight="1" x14ac:dyDescent="0.25">
      <c r="A580" s="200" t="s">
        <v>1099</v>
      </c>
      <c r="B580" s="187" t="s">
        <v>1100</v>
      </c>
      <c r="C580" s="187" t="s">
        <v>1043</v>
      </c>
      <c r="D580" s="51"/>
      <c r="E580" s="52">
        <f>SUM(E581:E582)</f>
        <v>3</v>
      </c>
      <c r="F580" s="52">
        <f>SUM(F581:F582)</f>
        <v>3</v>
      </c>
      <c r="G580" s="52">
        <f>SUM(G581:G582)</f>
        <v>1.9</v>
      </c>
      <c r="H580" s="187" t="s">
        <v>1101</v>
      </c>
      <c r="I580" s="181" t="s">
        <v>215</v>
      </c>
      <c r="J580" s="183">
        <v>100</v>
      </c>
      <c r="K580" s="164">
        <v>100</v>
      </c>
      <c r="L580" s="24" t="s">
        <v>42</v>
      </c>
      <c r="M580" s="24" t="s">
        <v>23</v>
      </c>
      <c r="N580" s="24" t="s">
        <v>42</v>
      </c>
      <c r="O580" s="24" t="s">
        <v>23</v>
      </c>
      <c r="P580" s="24"/>
      <c r="Q580" s="24"/>
      <c r="R580" s="187" t="s">
        <v>1102</v>
      </c>
      <c r="S580" s="189"/>
    </row>
    <row r="581" spans="1:19" ht="63.75" customHeight="1" x14ac:dyDescent="0.25">
      <c r="A581" s="201"/>
      <c r="B581" s="203"/>
      <c r="C581" s="203"/>
      <c r="D581" s="28" t="s">
        <v>274</v>
      </c>
      <c r="E581" s="29">
        <v>0</v>
      </c>
      <c r="F581" s="29">
        <v>0</v>
      </c>
      <c r="G581" s="29">
        <v>1.9</v>
      </c>
      <c r="H581" s="203"/>
      <c r="I581" s="204"/>
      <c r="J581" s="205"/>
      <c r="K581" s="206"/>
      <c r="L581" s="31"/>
      <c r="M581" s="31"/>
      <c r="N581" s="31"/>
      <c r="O581" s="31"/>
      <c r="P581" s="31"/>
      <c r="Q581" s="31"/>
      <c r="R581" s="203"/>
      <c r="S581" s="191"/>
    </row>
    <row r="582" spans="1:19" ht="67.5" customHeight="1" thickBot="1" x14ac:dyDescent="0.3">
      <c r="A582" s="202"/>
      <c r="B582" s="188"/>
      <c r="C582" s="188"/>
      <c r="D582" s="28" t="s">
        <v>25</v>
      </c>
      <c r="E582" s="29">
        <v>3</v>
      </c>
      <c r="F582" s="29">
        <v>3</v>
      </c>
      <c r="G582" s="29">
        <v>0</v>
      </c>
      <c r="H582" s="188"/>
      <c r="I582" s="182"/>
      <c r="J582" s="184"/>
      <c r="K582" s="165"/>
      <c r="L582" s="31"/>
      <c r="M582" s="31"/>
      <c r="N582" s="31"/>
      <c r="O582" s="31"/>
      <c r="P582" s="31"/>
      <c r="Q582" s="31"/>
      <c r="R582" s="188"/>
      <c r="S582" s="190"/>
    </row>
    <row r="583" spans="1:19" ht="60.75" thickBot="1" x14ac:dyDescent="0.3">
      <c r="A583" s="12" t="s">
        <v>1103</v>
      </c>
      <c r="B583" s="13" t="s">
        <v>1104</v>
      </c>
      <c r="C583" s="14"/>
      <c r="D583" s="14"/>
      <c r="E583" s="15">
        <f>E584+E590+E594+E598</f>
        <v>1171.2</v>
      </c>
      <c r="F583" s="15">
        <f>F584+F590+F594+F598</f>
        <v>1197.2</v>
      </c>
      <c r="G583" s="15">
        <f>G584+G590+G594+G598</f>
        <v>1202.8</v>
      </c>
      <c r="H583" s="171"/>
      <c r="I583" s="172"/>
      <c r="J583" s="172"/>
      <c r="K583" s="172"/>
      <c r="L583" s="172"/>
      <c r="M583" s="172"/>
      <c r="N583" s="172"/>
      <c r="O583" s="172"/>
      <c r="P583" s="172"/>
      <c r="Q583" s="172"/>
      <c r="R583" s="172"/>
      <c r="S583" s="173"/>
    </row>
    <row r="584" spans="1:19" ht="41.25" customHeight="1" x14ac:dyDescent="0.25">
      <c r="A584" s="200" t="s">
        <v>1105</v>
      </c>
      <c r="B584" s="187" t="s">
        <v>1106</v>
      </c>
      <c r="C584" s="187" t="s">
        <v>1107</v>
      </c>
      <c r="D584" s="51"/>
      <c r="E584" s="52">
        <f>SUM(E585:E589)</f>
        <v>138.6</v>
      </c>
      <c r="F584" s="52">
        <f>SUM(F585:F589)</f>
        <v>145.6</v>
      </c>
      <c r="G584" s="52">
        <f>SUM(G585:G589)</f>
        <v>151.19999999999999</v>
      </c>
      <c r="H584" s="187" t="s">
        <v>1108</v>
      </c>
      <c r="I584" s="181" t="s">
        <v>653</v>
      </c>
      <c r="J584" s="183">
        <v>450</v>
      </c>
      <c r="K584" s="185">
        <v>339</v>
      </c>
      <c r="L584" s="24" t="s">
        <v>1109</v>
      </c>
      <c r="M584" s="24" t="s">
        <v>23</v>
      </c>
      <c r="N584" s="24" t="s">
        <v>1109</v>
      </c>
      <c r="O584" s="24" t="s">
        <v>23</v>
      </c>
      <c r="P584" s="24"/>
      <c r="Q584" s="24"/>
      <c r="R584" s="187"/>
      <c r="S584" s="189" t="s">
        <v>1725</v>
      </c>
    </row>
    <row r="585" spans="1:19" x14ac:dyDescent="0.25">
      <c r="A585" s="201"/>
      <c r="B585" s="203"/>
      <c r="C585" s="203"/>
      <c r="D585" s="28" t="s">
        <v>175</v>
      </c>
      <c r="E585" s="29">
        <v>3.5</v>
      </c>
      <c r="F585" s="29">
        <v>3.5</v>
      </c>
      <c r="G585" s="29">
        <v>1.5</v>
      </c>
      <c r="H585" s="203"/>
      <c r="I585" s="204"/>
      <c r="J585" s="205"/>
      <c r="K585" s="243"/>
      <c r="L585" s="31"/>
      <c r="M585" s="31"/>
      <c r="N585" s="31"/>
      <c r="O585" s="31"/>
      <c r="P585" s="31"/>
      <c r="Q585" s="31"/>
      <c r="R585" s="203"/>
      <c r="S585" s="191"/>
    </row>
    <row r="586" spans="1:19" x14ac:dyDescent="0.25">
      <c r="A586" s="201"/>
      <c r="B586" s="203"/>
      <c r="C586" s="203"/>
      <c r="D586" s="28" t="s">
        <v>180</v>
      </c>
      <c r="E586" s="29">
        <v>0.3</v>
      </c>
      <c r="F586" s="29">
        <v>0.4</v>
      </c>
      <c r="G586" s="29">
        <v>0.5</v>
      </c>
      <c r="H586" s="203"/>
      <c r="I586" s="204"/>
      <c r="J586" s="205"/>
      <c r="K586" s="243"/>
      <c r="L586" s="31"/>
      <c r="M586" s="31"/>
      <c r="N586" s="31"/>
      <c r="O586" s="31"/>
      <c r="P586" s="31"/>
      <c r="Q586" s="31"/>
      <c r="R586" s="203"/>
      <c r="S586" s="191"/>
    </row>
    <row r="587" spans="1:19" x14ac:dyDescent="0.25">
      <c r="A587" s="201"/>
      <c r="B587" s="203"/>
      <c r="C587" s="203"/>
      <c r="D587" s="28" t="s">
        <v>25</v>
      </c>
      <c r="E587" s="29">
        <v>134.19999999999999</v>
      </c>
      <c r="F587" s="29">
        <v>134.19999999999999</v>
      </c>
      <c r="G587" s="29">
        <v>134.19999999999999</v>
      </c>
      <c r="H587" s="203"/>
      <c r="I587" s="204"/>
      <c r="J587" s="205"/>
      <c r="K587" s="243"/>
      <c r="L587" s="31"/>
      <c r="M587" s="31"/>
      <c r="N587" s="31"/>
      <c r="O587" s="31"/>
      <c r="P587" s="31"/>
      <c r="Q587" s="31"/>
      <c r="R587" s="203"/>
      <c r="S587" s="191"/>
    </row>
    <row r="588" spans="1:19" x14ac:dyDescent="0.25">
      <c r="A588" s="201"/>
      <c r="B588" s="203"/>
      <c r="C588" s="203"/>
      <c r="D588" s="28" t="s">
        <v>30</v>
      </c>
      <c r="E588" s="29">
        <v>0.6</v>
      </c>
      <c r="F588" s="29">
        <v>0.6</v>
      </c>
      <c r="G588" s="29">
        <v>0.6</v>
      </c>
      <c r="H588" s="203"/>
      <c r="I588" s="204"/>
      <c r="J588" s="205"/>
      <c r="K588" s="243"/>
      <c r="L588" s="31"/>
      <c r="M588" s="31"/>
      <c r="N588" s="31"/>
      <c r="O588" s="31"/>
      <c r="P588" s="31"/>
      <c r="Q588" s="31"/>
      <c r="R588" s="203"/>
      <c r="S588" s="191"/>
    </row>
    <row r="589" spans="1:19" ht="15.75" thickBot="1" x14ac:dyDescent="0.3">
      <c r="A589" s="202"/>
      <c r="B589" s="188"/>
      <c r="C589" s="188"/>
      <c r="D589" s="28" t="s">
        <v>192</v>
      </c>
      <c r="E589" s="29">
        <v>0</v>
      </c>
      <c r="F589" s="29">
        <v>6.9</v>
      </c>
      <c r="G589" s="29">
        <v>14.4</v>
      </c>
      <c r="H589" s="188"/>
      <c r="I589" s="182"/>
      <c r="J589" s="184"/>
      <c r="K589" s="186"/>
      <c r="L589" s="31"/>
      <c r="M589" s="31"/>
      <c r="N589" s="31"/>
      <c r="O589" s="31"/>
      <c r="P589" s="31"/>
      <c r="Q589" s="31"/>
      <c r="R589" s="188"/>
      <c r="S589" s="190"/>
    </row>
    <row r="590" spans="1:19" ht="73.5" customHeight="1" x14ac:dyDescent="0.25">
      <c r="A590" s="200" t="s">
        <v>1110</v>
      </c>
      <c r="B590" s="187" t="s">
        <v>1111</v>
      </c>
      <c r="C590" s="187" t="s">
        <v>1107</v>
      </c>
      <c r="D590" s="51"/>
      <c r="E590" s="52">
        <f>SUM(E591:E593)</f>
        <v>714.9</v>
      </c>
      <c r="F590" s="52">
        <f>SUM(F591:F593)</f>
        <v>714.9</v>
      </c>
      <c r="G590" s="52">
        <f>SUM(G591:G593)</f>
        <v>714.9</v>
      </c>
      <c r="H590" s="21" t="s">
        <v>1112</v>
      </c>
      <c r="I590" s="23" t="s">
        <v>653</v>
      </c>
      <c r="J590" s="50">
        <v>68</v>
      </c>
      <c r="K590" s="66">
        <v>68</v>
      </c>
      <c r="L590" s="24" t="s">
        <v>249</v>
      </c>
      <c r="M590" s="24" t="s">
        <v>23</v>
      </c>
      <c r="N590" s="24" t="s">
        <v>249</v>
      </c>
      <c r="O590" s="24" t="s">
        <v>23</v>
      </c>
      <c r="P590" s="24"/>
      <c r="Q590" s="24"/>
      <c r="R590" s="21" t="s">
        <v>1113</v>
      </c>
      <c r="S590" s="25"/>
    </row>
    <row r="591" spans="1:19" ht="144.75" customHeight="1" x14ac:dyDescent="0.25">
      <c r="A591" s="201"/>
      <c r="B591" s="203"/>
      <c r="C591" s="203"/>
      <c r="D591" s="28" t="s">
        <v>1114</v>
      </c>
      <c r="E591" s="29">
        <v>509.7</v>
      </c>
      <c r="F591" s="29">
        <v>509.7</v>
      </c>
      <c r="G591" s="29">
        <v>509.7</v>
      </c>
      <c r="H591" s="28" t="s">
        <v>1115</v>
      </c>
      <c r="I591" s="30" t="s">
        <v>215</v>
      </c>
      <c r="J591" s="62">
        <v>90</v>
      </c>
      <c r="K591" s="65">
        <v>97</v>
      </c>
      <c r="L591" s="31" t="s">
        <v>245</v>
      </c>
      <c r="M591" s="31" t="s">
        <v>23</v>
      </c>
      <c r="N591" s="31" t="s">
        <v>245</v>
      </c>
      <c r="O591" s="31" t="s">
        <v>23</v>
      </c>
      <c r="P591" s="31"/>
      <c r="Q591" s="31"/>
      <c r="R591" s="28"/>
      <c r="S591" s="32" t="s">
        <v>1726</v>
      </c>
    </row>
    <row r="592" spans="1:19" ht="55.5" customHeight="1" x14ac:dyDescent="0.25">
      <c r="A592" s="201"/>
      <c r="B592" s="203"/>
      <c r="C592" s="203"/>
      <c r="D592" s="28" t="s">
        <v>25</v>
      </c>
      <c r="E592" s="29">
        <v>205.2</v>
      </c>
      <c r="F592" s="29">
        <v>205.2</v>
      </c>
      <c r="G592" s="29">
        <v>205.2</v>
      </c>
      <c r="H592" s="28" t="s">
        <v>1116</v>
      </c>
      <c r="I592" s="30" t="s">
        <v>653</v>
      </c>
      <c r="J592" s="62">
        <v>2000</v>
      </c>
      <c r="K592" s="65">
        <v>3764</v>
      </c>
      <c r="L592" s="31" t="s">
        <v>1117</v>
      </c>
      <c r="M592" s="31" t="s">
        <v>23</v>
      </c>
      <c r="N592" s="31" t="s">
        <v>1117</v>
      </c>
      <c r="O592" s="31" t="s">
        <v>23</v>
      </c>
      <c r="P592" s="31"/>
      <c r="Q592" s="31"/>
      <c r="R592" s="28" t="s">
        <v>1118</v>
      </c>
      <c r="S592" s="32" t="s">
        <v>1727</v>
      </c>
    </row>
    <row r="593" spans="1:19" ht="53.25" customHeight="1" thickBot="1" x14ac:dyDescent="0.3">
      <c r="A593" s="202"/>
      <c r="B593" s="188"/>
      <c r="C593" s="188"/>
      <c r="D593" s="28"/>
      <c r="E593" s="29">
        <v>0</v>
      </c>
      <c r="F593" s="29">
        <v>0</v>
      </c>
      <c r="G593" s="29">
        <v>0</v>
      </c>
      <c r="H593" s="28" t="s">
        <v>1119</v>
      </c>
      <c r="I593" s="30" t="s">
        <v>653</v>
      </c>
      <c r="J593" s="62">
        <v>40000</v>
      </c>
      <c r="K593" s="65">
        <v>82674</v>
      </c>
      <c r="L593" s="31" t="s">
        <v>658</v>
      </c>
      <c r="M593" s="31" t="s">
        <v>23</v>
      </c>
      <c r="N593" s="31" t="s">
        <v>658</v>
      </c>
      <c r="O593" s="31" t="s">
        <v>23</v>
      </c>
      <c r="P593" s="31"/>
      <c r="Q593" s="31"/>
      <c r="R593" s="28" t="s">
        <v>1120</v>
      </c>
      <c r="S593" s="32" t="s">
        <v>1727</v>
      </c>
    </row>
    <row r="594" spans="1:19" ht="68.25" customHeight="1" x14ac:dyDescent="0.25">
      <c r="A594" s="200" t="s">
        <v>1121</v>
      </c>
      <c r="B594" s="187" t="s">
        <v>1122</v>
      </c>
      <c r="C594" s="187" t="s">
        <v>1107</v>
      </c>
      <c r="D594" s="51"/>
      <c r="E594" s="52">
        <f>SUM(E595:E597)</f>
        <v>270.39999999999998</v>
      </c>
      <c r="F594" s="52">
        <f>SUM(F595:F597)</f>
        <v>289.39999999999998</v>
      </c>
      <c r="G594" s="52">
        <f>SUM(G595:G597)</f>
        <v>289.39999999999998</v>
      </c>
      <c r="H594" s="21" t="s">
        <v>1123</v>
      </c>
      <c r="I594" s="23" t="s">
        <v>653</v>
      </c>
      <c r="J594" s="50">
        <v>600</v>
      </c>
      <c r="K594" s="66">
        <v>1370</v>
      </c>
      <c r="L594" s="24" t="s">
        <v>1124</v>
      </c>
      <c r="M594" s="24" t="s">
        <v>23</v>
      </c>
      <c r="N594" s="24" t="s">
        <v>1124</v>
      </c>
      <c r="O594" s="24" t="s">
        <v>23</v>
      </c>
      <c r="P594" s="24"/>
      <c r="Q594" s="24"/>
      <c r="R594" s="21" t="s">
        <v>1125</v>
      </c>
      <c r="S594" s="25" t="s">
        <v>1727</v>
      </c>
    </row>
    <row r="595" spans="1:19" ht="79.5" customHeight="1" x14ac:dyDescent="0.25">
      <c r="A595" s="201"/>
      <c r="B595" s="203"/>
      <c r="C595" s="203"/>
      <c r="D595" s="28" t="s">
        <v>1114</v>
      </c>
      <c r="E595" s="29">
        <v>270.39999999999998</v>
      </c>
      <c r="F595" s="29">
        <v>270.39999999999998</v>
      </c>
      <c r="G595" s="29">
        <v>270.39999999999998</v>
      </c>
      <c r="H595" s="28" t="s">
        <v>1126</v>
      </c>
      <c r="I595" s="30" t="s">
        <v>653</v>
      </c>
      <c r="J595" s="62">
        <v>1</v>
      </c>
      <c r="K595" s="65">
        <v>1</v>
      </c>
      <c r="L595" s="31" t="s">
        <v>22</v>
      </c>
      <c r="M595" s="31" t="s">
        <v>23</v>
      </c>
      <c r="N595" s="31" t="s">
        <v>22</v>
      </c>
      <c r="O595" s="31" t="s">
        <v>23</v>
      </c>
      <c r="P595" s="31"/>
      <c r="Q595" s="31"/>
      <c r="R595" s="28"/>
      <c r="S595" s="32"/>
    </row>
    <row r="596" spans="1:19" ht="53.25" customHeight="1" x14ac:dyDescent="0.25">
      <c r="A596" s="201"/>
      <c r="B596" s="203"/>
      <c r="C596" s="203"/>
      <c r="D596" s="213" t="s">
        <v>201</v>
      </c>
      <c r="E596" s="256">
        <v>0</v>
      </c>
      <c r="F596" s="256">
        <v>19</v>
      </c>
      <c r="G596" s="256">
        <v>19</v>
      </c>
      <c r="H596" s="28" t="s">
        <v>1127</v>
      </c>
      <c r="I596" s="30" t="s">
        <v>653</v>
      </c>
      <c r="J596" s="62">
        <v>300</v>
      </c>
      <c r="K596" s="65">
        <v>745</v>
      </c>
      <c r="L596" s="31" t="s">
        <v>867</v>
      </c>
      <c r="M596" s="31" t="s">
        <v>23</v>
      </c>
      <c r="N596" s="31" t="s">
        <v>867</v>
      </c>
      <c r="O596" s="31" t="s">
        <v>23</v>
      </c>
      <c r="P596" s="31"/>
      <c r="Q596" s="31"/>
      <c r="R596" s="28" t="s">
        <v>1128</v>
      </c>
      <c r="S596" s="32" t="s">
        <v>1729</v>
      </c>
    </row>
    <row r="597" spans="1:19" ht="68.25" customHeight="1" thickBot="1" x14ac:dyDescent="0.3">
      <c r="A597" s="202"/>
      <c r="B597" s="188"/>
      <c r="C597" s="188"/>
      <c r="D597" s="188"/>
      <c r="E597" s="257"/>
      <c r="F597" s="257"/>
      <c r="G597" s="257"/>
      <c r="H597" s="28" t="s">
        <v>1129</v>
      </c>
      <c r="I597" s="30" t="s">
        <v>653</v>
      </c>
      <c r="J597" s="62">
        <v>15000</v>
      </c>
      <c r="K597" s="65">
        <v>28333</v>
      </c>
      <c r="L597" s="31" t="s">
        <v>1130</v>
      </c>
      <c r="M597" s="31" t="s">
        <v>23</v>
      </c>
      <c r="N597" s="31" t="s">
        <v>1130</v>
      </c>
      <c r="O597" s="31" t="s">
        <v>23</v>
      </c>
      <c r="P597" s="31"/>
      <c r="Q597" s="31"/>
      <c r="R597" s="28" t="s">
        <v>1131</v>
      </c>
      <c r="S597" s="32" t="s">
        <v>1730</v>
      </c>
    </row>
    <row r="598" spans="1:19" ht="57.75" customHeight="1" x14ac:dyDescent="0.25">
      <c r="A598" s="200" t="s">
        <v>1132</v>
      </c>
      <c r="B598" s="187" t="s">
        <v>1133</v>
      </c>
      <c r="C598" s="187" t="s">
        <v>1728</v>
      </c>
      <c r="D598" s="158" t="s">
        <v>1114</v>
      </c>
      <c r="E598" s="258">
        <f>SUM(E599:E602)+47.3</f>
        <v>47.3</v>
      </c>
      <c r="F598" s="258">
        <f>SUM(F599:F602)+47.3</f>
        <v>47.3</v>
      </c>
      <c r="G598" s="258">
        <f>SUM(G599:G602)+47.3</f>
        <v>47.3</v>
      </c>
      <c r="H598" s="21" t="s">
        <v>1134</v>
      </c>
      <c r="I598" s="23" t="s">
        <v>549</v>
      </c>
      <c r="J598" s="50">
        <v>12</v>
      </c>
      <c r="K598" s="66">
        <v>21</v>
      </c>
      <c r="L598" s="24" t="s">
        <v>367</v>
      </c>
      <c r="M598" s="24" t="s">
        <v>23</v>
      </c>
      <c r="N598" s="24" t="s">
        <v>367</v>
      </c>
      <c r="O598" s="24" t="s">
        <v>23</v>
      </c>
      <c r="P598" s="24"/>
      <c r="Q598" s="24"/>
      <c r="R598" s="21"/>
      <c r="S598" s="25" t="s">
        <v>1135</v>
      </c>
    </row>
    <row r="599" spans="1:19" ht="60" x14ac:dyDescent="0.25">
      <c r="A599" s="201"/>
      <c r="B599" s="203"/>
      <c r="C599" s="203"/>
      <c r="D599" s="220"/>
      <c r="E599" s="259"/>
      <c r="F599" s="259"/>
      <c r="G599" s="259"/>
      <c r="H599" s="28" t="s">
        <v>1136</v>
      </c>
      <c r="I599" s="30" t="s">
        <v>21</v>
      </c>
      <c r="J599" s="62">
        <v>2</v>
      </c>
      <c r="K599" s="65">
        <v>2</v>
      </c>
      <c r="L599" s="31" t="s">
        <v>34</v>
      </c>
      <c r="M599" s="31" t="s">
        <v>23</v>
      </c>
      <c r="N599" s="31" t="s">
        <v>34</v>
      </c>
      <c r="O599" s="31" t="s">
        <v>23</v>
      </c>
      <c r="P599" s="31"/>
      <c r="Q599" s="31"/>
      <c r="R599" s="28" t="s">
        <v>1137</v>
      </c>
      <c r="S599" s="32"/>
    </row>
    <row r="600" spans="1:19" ht="111" customHeight="1" x14ac:dyDescent="0.25">
      <c r="A600" s="201"/>
      <c r="B600" s="203"/>
      <c r="C600" s="203"/>
      <c r="D600" s="220"/>
      <c r="E600" s="259"/>
      <c r="F600" s="259"/>
      <c r="G600" s="259"/>
      <c r="H600" s="28" t="s">
        <v>1138</v>
      </c>
      <c r="I600" s="30" t="s">
        <v>21</v>
      </c>
      <c r="J600" s="62">
        <v>2</v>
      </c>
      <c r="K600" s="65">
        <v>3</v>
      </c>
      <c r="L600" s="31" t="s">
        <v>34</v>
      </c>
      <c r="M600" s="31" t="s">
        <v>23</v>
      </c>
      <c r="N600" s="31" t="s">
        <v>34</v>
      </c>
      <c r="O600" s="31" t="s">
        <v>23</v>
      </c>
      <c r="P600" s="31"/>
      <c r="Q600" s="31"/>
      <c r="R600" s="28" t="s">
        <v>1139</v>
      </c>
      <c r="S600" s="32"/>
    </row>
    <row r="601" spans="1:19" ht="54.75" customHeight="1" x14ac:dyDescent="0.25">
      <c r="A601" s="201"/>
      <c r="B601" s="203"/>
      <c r="C601" s="203"/>
      <c r="D601" s="220"/>
      <c r="E601" s="259"/>
      <c r="F601" s="259"/>
      <c r="G601" s="259"/>
      <c r="H601" s="28" t="s">
        <v>1140</v>
      </c>
      <c r="I601" s="30" t="s">
        <v>21</v>
      </c>
      <c r="J601" s="62">
        <v>30</v>
      </c>
      <c r="K601" s="65">
        <v>153</v>
      </c>
      <c r="L601" s="31"/>
      <c r="M601" s="31"/>
      <c r="N601" s="31"/>
      <c r="O601" s="31"/>
      <c r="P601" s="31"/>
      <c r="Q601" s="31"/>
      <c r="R601" s="28" t="s">
        <v>1141</v>
      </c>
      <c r="S601" s="32" t="s">
        <v>1135</v>
      </c>
    </row>
    <row r="602" spans="1:19" ht="81" customHeight="1" thickBot="1" x14ac:dyDescent="0.3">
      <c r="A602" s="202"/>
      <c r="B602" s="188"/>
      <c r="C602" s="188"/>
      <c r="D602" s="159"/>
      <c r="E602" s="260"/>
      <c r="F602" s="260"/>
      <c r="G602" s="260"/>
      <c r="H602" s="28" t="s">
        <v>1142</v>
      </c>
      <c r="I602" s="30" t="s">
        <v>549</v>
      </c>
      <c r="J602" s="62">
        <v>20</v>
      </c>
      <c r="K602" s="65">
        <v>74</v>
      </c>
      <c r="L602" s="31" t="s">
        <v>155</v>
      </c>
      <c r="M602" s="31" t="s">
        <v>23</v>
      </c>
      <c r="N602" s="31" t="s">
        <v>155</v>
      </c>
      <c r="O602" s="31" t="s">
        <v>23</v>
      </c>
      <c r="P602" s="31"/>
      <c r="Q602" s="31"/>
      <c r="R602" s="28" t="s">
        <v>1731</v>
      </c>
      <c r="S602" s="32" t="s">
        <v>1135</v>
      </c>
    </row>
    <row r="603" spans="1:19" ht="30.75" hidden="1" thickBot="1" x14ac:dyDescent="0.3">
      <c r="A603" s="12" t="s">
        <v>1143</v>
      </c>
      <c r="B603" s="13" t="s">
        <v>1144</v>
      </c>
      <c r="C603" s="14"/>
      <c r="D603" s="14"/>
      <c r="E603" s="15">
        <f>SUM(E604:E604)</f>
        <v>0</v>
      </c>
      <c r="F603" s="15">
        <f>SUM(F604:F604)</f>
        <v>0</v>
      </c>
      <c r="G603" s="15">
        <f>SUM(G604:G604)</f>
        <v>0</v>
      </c>
      <c r="H603" s="14"/>
      <c r="I603" s="16"/>
      <c r="J603" s="48"/>
      <c r="K603" s="48"/>
      <c r="L603" s="17"/>
      <c r="M603" s="17"/>
      <c r="N603" s="17"/>
      <c r="O603" s="17"/>
      <c r="P603" s="17"/>
      <c r="Q603" s="17"/>
      <c r="R603" s="14"/>
      <c r="S603" s="18"/>
    </row>
    <row r="604" spans="1:19" ht="180.75" hidden="1" thickBot="1" x14ac:dyDescent="0.3">
      <c r="A604" s="19" t="s">
        <v>1145</v>
      </c>
      <c r="B604" s="20" t="s">
        <v>1146</v>
      </c>
      <c r="C604" s="21"/>
      <c r="D604" s="21" t="s">
        <v>25</v>
      </c>
      <c r="E604" s="33">
        <v>0</v>
      </c>
      <c r="F604" s="33">
        <v>0</v>
      </c>
      <c r="G604" s="33">
        <v>0</v>
      </c>
      <c r="H604" s="21"/>
      <c r="I604" s="23"/>
      <c r="J604" s="46"/>
      <c r="K604" s="46"/>
      <c r="L604" s="24"/>
      <c r="M604" s="24"/>
      <c r="N604" s="24"/>
      <c r="O604" s="24"/>
      <c r="P604" s="24"/>
      <c r="Q604" s="24"/>
      <c r="R604" s="21"/>
      <c r="S604" s="25"/>
    </row>
    <row r="605" spans="1:19" ht="23.25" customHeight="1" thickBot="1" x14ac:dyDescent="0.3">
      <c r="A605" s="8" t="s">
        <v>1147</v>
      </c>
      <c r="B605" s="174" t="s">
        <v>1148</v>
      </c>
      <c r="C605" s="175"/>
      <c r="D605" s="176"/>
      <c r="E605" s="11">
        <f>SUM(E606:E606)</f>
        <v>74.8</v>
      </c>
      <c r="F605" s="11">
        <f>SUM(F606:F606)</f>
        <v>124.9</v>
      </c>
      <c r="G605" s="11">
        <f>SUM(G606:G606)</f>
        <v>97.1</v>
      </c>
      <c r="H605" s="177"/>
      <c r="I605" s="178"/>
      <c r="J605" s="178"/>
      <c r="K605" s="178"/>
      <c r="L605" s="178"/>
      <c r="M605" s="178"/>
      <c r="N605" s="178"/>
      <c r="O605" s="178"/>
      <c r="P605" s="178"/>
      <c r="Q605" s="178"/>
      <c r="R605" s="178"/>
      <c r="S605" s="179"/>
    </row>
    <row r="606" spans="1:19" ht="38.25" customHeight="1" thickBot="1" x14ac:dyDescent="0.3">
      <c r="A606" s="12" t="s">
        <v>1149</v>
      </c>
      <c r="B606" s="168" t="s">
        <v>1150</v>
      </c>
      <c r="C606" s="169"/>
      <c r="D606" s="170"/>
      <c r="E606" s="15">
        <f>E607+E611+E613+E617+E622</f>
        <v>74.8</v>
      </c>
      <c r="F606" s="15">
        <f>F607+F611+F613+F617+F622</f>
        <v>124.9</v>
      </c>
      <c r="G606" s="15">
        <f>G607+G611+G613+G617+G622+0.1</f>
        <v>97.1</v>
      </c>
      <c r="H606" s="171"/>
      <c r="I606" s="172"/>
      <c r="J606" s="172"/>
      <c r="K606" s="172"/>
      <c r="L606" s="172"/>
      <c r="M606" s="172"/>
      <c r="N606" s="172"/>
      <c r="O606" s="172"/>
      <c r="P606" s="172"/>
      <c r="Q606" s="172"/>
      <c r="R606" s="172"/>
      <c r="S606" s="173"/>
    </row>
    <row r="607" spans="1:19" ht="39" customHeight="1" x14ac:dyDescent="0.25">
      <c r="A607" s="200" t="s">
        <v>1151</v>
      </c>
      <c r="B607" s="187" t="s">
        <v>1152</v>
      </c>
      <c r="C607" s="187" t="s">
        <v>1043</v>
      </c>
      <c r="D607" s="187" t="s">
        <v>25</v>
      </c>
      <c r="E607" s="207">
        <f>SUM(E608:E610)+40</f>
        <v>40</v>
      </c>
      <c r="F607" s="207">
        <f>SUM(F608:F610)+35.2</f>
        <v>35.200000000000003</v>
      </c>
      <c r="G607" s="207">
        <f>SUM(G608:G610)+34.1</f>
        <v>34.1</v>
      </c>
      <c r="H607" s="21" t="s">
        <v>1153</v>
      </c>
      <c r="I607" s="23" t="s">
        <v>653</v>
      </c>
      <c r="J607" s="50">
        <v>5</v>
      </c>
      <c r="K607" s="67">
        <v>3</v>
      </c>
      <c r="L607" s="24" t="s">
        <v>82</v>
      </c>
      <c r="M607" s="24" t="s">
        <v>23</v>
      </c>
      <c r="N607" s="24" t="s">
        <v>82</v>
      </c>
      <c r="O607" s="24" t="s">
        <v>23</v>
      </c>
      <c r="P607" s="24"/>
      <c r="Q607" s="24"/>
      <c r="R607" s="21" t="s">
        <v>1154</v>
      </c>
      <c r="S607" s="25" t="s">
        <v>1732</v>
      </c>
    </row>
    <row r="608" spans="1:19" ht="33.75" customHeight="1" x14ac:dyDescent="0.25">
      <c r="A608" s="201"/>
      <c r="B608" s="203"/>
      <c r="C608" s="203"/>
      <c r="D608" s="203"/>
      <c r="E608" s="255"/>
      <c r="F608" s="255"/>
      <c r="G608" s="255"/>
      <c r="H608" s="28" t="s">
        <v>1155</v>
      </c>
      <c r="I608" s="30" t="s">
        <v>653</v>
      </c>
      <c r="J608" s="62">
        <v>3</v>
      </c>
      <c r="K608" s="64">
        <v>0</v>
      </c>
      <c r="L608" s="31" t="s">
        <v>34</v>
      </c>
      <c r="M608" s="31" t="s">
        <v>23</v>
      </c>
      <c r="N608" s="31" t="s">
        <v>34</v>
      </c>
      <c r="O608" s="31" t="s">
        <v>23</v>
      </c>
      <c r="P608" s="31"/>
      <c r="Q608" s="31"/>
      <c r="R608" s="28"/>
      <c r="S608" s="32" t="s">
        <v>1733</v>
      </c>
    </row>
    <row r="609" spans="1:19" ht="48" customHeight="1" x14ac:dyDescent="0.25">
      <c r="A609" s="201"/>
      <c r="B609" s="203"/>
      <c r="C609" s="203"/>
      <c r="D609" s="203"/>
      <c r="E609" s="255"/>
      <c r="F609" s="255"/>
      <c r="G609" s="255"/>
      <c r="H609" s="28" t="s">
        <v>1156</v>
      </c>
      <c r="I609" s="30" t="s">
        <v>653</v>
      </c>
      <c r="J609" s="62">
        <v>1200</v>
      </c>
      <c r="K609" s="65">
        <v>1693</v>
      </c>
      <c r="L609" s="31" t="s">
        <v>1157</v>
      </c>
      <c r="M609" s="31" t="s">
        <v>23</v>
      </c>
      <c r="N609" s="31" t="s">
        <v>1157</v>
      </c>
      <c r="O609" s="31" t="s">
        <v>23</v>
      </c>
      <c r="P609" s="31"/>
      <c r="Q609" s="31"/>
      <c r="R609" s="28" t="s">
        <v>1158</v>
      </c>
      <c r="S609" s="32" t="s">
        <v>1734</v>
      </c>
    </row>
    <row r="610" spans="1:19" ht="48.75" customHeight="1" thickBot="1" x14ac:dyDescent="0.3">
      <c r="A610" s="202"/>
      <c r="B610" s="188"/>
      <c r="C610" s="188"/>
      <c r="D610" s="188"/>
      <c r="E610" s="208"/>
      <c r="F610" s="208"/>
      <c r="G610" s="208"/>
      <c r="H610" s="28" t="s">
        <v>1159</v>
      </c>
      <c r="I610" s="30" t="s">
        <v>653</v>
      </c>
      <c r="J610" s="62">
        <v>10</v>
      </c>
      <c r="K610" s="68">
        <v>1</v>
      </c>
      <c r="L610" s="31" t="s">
        <v>89</v>
      </c>
      <c r="M610" s="31" t="s">
        <v>23</v>
      </c>
      <c r="N610" s="31" t="s">
        <v>89</v>
      </c>
      <c r="O610" s="31" t="s">
        <v>23</v>
      </c>
      <c r="P610" s="31"/>
      <c r="Q610" s="31"/>
      <c r="R610" s="28" t="s">
        <v>1160</v>
      </c>
      <c r="S610" s="32"/>
    </row>
    <row r="611" spans="1:19" ht="59.25" customHeight="1" x14ac:dyDescent="0.25">
      <c r="A611" s="200" t="s">
        <v>1161</v>
      </c>
      <c r="B611" s="187" t="s">
        <v>1162</v>
      </c>
      <c r="C611" s="187" t="s">
        <v>1043</v>
      </c>
      <c r="D611" s="51"/>
      <c r="E611" s="52">
        <f>SUM(E612:E612)</f>
        <v>5</v>
      </c>
      <c r="F611" s="52">
        <f>SUM(F612:F612)</f>
        <v>0</v>
      </c>
      <c r="G611" s="52">
        <f>SUM(G612:G612)</f>
        <v>0</v>
      </c>
      <c r="H611" s="249"/>
      <c r="I611" s="250"/>
      <c r="J611" s="250"/>
      <c r="K611" s="250"/>
      <c r="L611" s="250"/>
      <c r="M611" s="250"/>
      <c r="N611" s="250"/>
      <c r="O611" s="250"/>
      <c r="P611" s="250"/>
      <c r="Q611" s="250"/>
      <c r="R611" s="251"/>
      <c r="S611" s="247" t="s">
        <v>1788</v>
      </c>
    </row>
    <row r="612" spans="1:19" ht="86.25" customHeight="1" thickBot="1" x14ac:dyDescent="0.3">
      <c r="A612" s="202"/>
      <c r="B612" s="188"/>
      <c r="C612" s="188"/>
      <c r="D612" s="28" t="s">
        <v>25</v>
      </c>
      <c r="E612" s="29">
        <v>5</v>
      </c>
      <c r="F612" s="29">
        <v>0</v>
      </c>
      <c r="G612" s="29">
        <v>0</v>
      </c>
      <c r="H612" s="252"/>
      <c r="I612" s="253"/>
      <c r="J612" s="253"/>
      <c r="K612" s="253"/>
      <c r="L612" s="253"/>
      <c r="M612" s="253"/>
      <c r="N612" s="253"/>
      <c r="O612" s="253"/>
      <c r="P612" s="253"/>
      <c r="Q612" s="253"/>
      <c r="R612" s="254"/>
      <c r="S612" s="248"/>
    </row>
    <row r="613" spans="1:19" ht="36" customHeight="1" x14ac:dyDescent="0.25">
      <c r="A613" s="200" t="s">
        <v>1163</v>
      </c>
      <c r="B613" s="187" t="s">
        <v>1164</v>
      </c>
      <c r="C613" s="187" t="s">
        <v>1043</v>
      </c>
      <c r="D613" s="51"/>
      <c r="E613" s="52">
        <f>SUM(E614:E616)</f>
        <v>15</v>
      </c>
      <c r="F613" s="52">
        <f>SUM(F614:F616)</f>
        <v>16.7</v>
      </c>
      <c r="G613" s="52">
        <f>SUM(G614:G616)</f>
        <v>8.6</v>
      </c>
      <c r="H613" s="187" t="s">
        <v>1165</v>
      </c>
      <c r="I613" s="181" t="s">
        <v>653</v>
      </c>
      <c r="J613" s="183">
        <v>10</v>
      </c>
      <c r="K613" s="185">
        <v>9</v>
      </c>
      <c r="L613" s="24" t="s">
        <v>367</v>
      </c>
      <c r="M613" s="24" t="s">
        <v>23</v>
      </c>
      <c r="N613" s="24" t="s">
        <v>135</v>
      </c>
      <c r="O613" s="24" t="s">
        <v>23</v>
      </c>
      <c r="P613" s="24"/>
      <c r="Q613" s="24"/>
      <c r="R613" s="187"/>
      <c r="S613" s="189" t="s">
        <v>1166</v>
      </c>
    </row>
    <row r="614" spans="1:19" x14ac:dyDescent="0.25">
      <c r="A614" s="201"/>
      <c r="B614" s="203"/>
      <c r="C614" s="203"/>
      <c r="D614" s="28" t="s">
        <v>274</v>
      </c>
      <c r="E614" s="29">
        <v>0</v>
      </c>
      <c r="F614" s="29">
        <v>0</v>
      </c>
      <c r="G614" s="29">
        <v>6.9</v>
      </c>
      <c r="H614" s="203"/>
      <c r="I614" s="204"/>
      <c r="J614" s="205"/>
      <c r="K614" s="243"/>
      <c r="L614" s="31"/>
      <c r="M614" s="31"/>
      <c r="N614" s="31"/>
      <c r="O614" s="31"/>
      <c r="P614" s="31"/>
      <c r="Q614" s="31"/>
      <c r="R614" s="203"/>
      <c r="S614" s="191"/>
    </row>
    <row r="615" spans="1:19" x14ac:dyDescent="0.25">
      <c r="A615" s="201"/>
      <c r="B615" s="203"/>
      <c r="C615" s="203"/>
      <c r="D615" s="28" t="s">
        <v>25</v>
      </c>
      <c r="E615" s="29">
        <v>15</v>
      </c>
      <c r="F615" s="29">
        <v>15</v>
      </c>
      <c r="G615" s="29">
        <v>0</v>
      </c>
      <c r="H615" s="203"/>
      <c r="I615" s="204"/>
      <c r="J615" s="205"/>
      <c r="K615" s="243"/>
      <c r="L615" s="31"/>
      <c r="M615" s="31"/>
      <c r="N615" s="31"/>
      <c r="O615" s="31"/>
      <c r="P615" s="31"/>
      <c r="Q615" s="31"/>
      <c r="R615" s="203"/>
      <c r="S615" s="191"/>
    </row>
    <row r="616" spans="1:19" ht="15.75" thickBot="1" x14ac:dyDescent="0.3">
      <c r="A616" s="202"/>
      <c r="B616" s="188"/>
      <c r="C616" s="188"/>
      <c r="D616" s="28" t="s">
        <v>201</v>
      </c>
      <c r="E616" s="29">
        <v>0</v>
      </c>
      <c r="F616" s="29">
        <v>1.7</v>
      </c>
      <c r="G616" s="29">
        <v>1.7</v>
      </c>
      <c r="H616" s="188"/>
      <c r="I616" s="182"/>
      <c r="J616" s="184"/>
      <c r="K616" s="186"/>
      <c r="L616" s="31"/>
      <c r="M616" s="31"/>
      <c r="N616" s="31"/>
      <c r="O616" s="31"/>
      <c r="P616" s="31"/>
      <c r="Q616" s="31"/>
      <c r="R616" s="188"/>
      <c r="S616" s="190"/>
    </row>
    <row r="617" spans="1:19" ht="36.75" customHeight="1" x14ac:dyDescent="0.25">
      <c r="A617" s="210" t="s">
        <v>1167</v>
      </c>
      <c r="B617" s="187" t="s">
        <v>1168</v>
      </c>
      <c r="C617" s="187" t="s">
        <v>1043</v>
      </c>
      <c r="D617" s="51"/>
      <c r="E617" s="52">
        <f>SUM(E618:E621)</f>
        <v>14.8</v>
      </c>
      <c r="F617" s="52">
        <f>SUM(F618:F621)</f>
        <v>14.8</v>
      </c>
      <c r="G617" s="52">
        <f>SUM(G618:G621)</f>
        <v>4</v>
      </c>
      <c r="H617" s="187" t="s">
        <v>1169</v>
      </c>
      <c r="I617" s="181" t="s">
        <v>653</v>
      </c>
      <c r="J617" s="183">
        <v>20</v>
      </c>
      <c r="K617" s="185">
        <v>11</v>
      </c>
      <c r="L617" s="24" t="s">
        <v>155</v>
      </c>
      <c r="M617" s="24" t="s">
        <v>23</v>
      </c>
      <c r="N617" s="24" t="s">
        <v>155</v>
      </c>
      <c r="O617" s="24" t="s">
        <v>23</v>
      </c>
      <c r="P617" s="24"/>
      <c r="Q617" s="24"/>
      <c r="R617" s="244"/>
      <c r="S617" s="189" t="s">
        <v>1735</v>
      </c>
    </row>
    <row r="618" spans="1:19" x14ac:dyDescent="0.25">
      <c r="A618" s="211"/>
      <c r="B618" s="203"/>
      <c r="C618" s="203"/>
      <c r="D618" s="28" t="s">
        <v>217</v>
      </c>
      <c r="E618" s="29">
        <v>7.8</v>
      </c>
      <c r="F618" s="29">
        <v>7.8</v>
      </c>
      <c r="G618" s="29">
        <v>0.5</v>
      </c>
      <c r="H618" s="203"/>
      <c r="I618" s="204"/>
      <c r="J618" s="205"/>
      <c r="K618" s="243"/>
      <c r="L618" s="31"/>
      <c r="M618" s="31"/>
      <c r="N618" s="31"/>
      <c r="O618" s="31"/>
      <c r="P618" s="31"/>
      <c r="Q618" s="31"/>
      <c r="R618" s="245"/>
      <c r="S618" s="191"/>
    </row>
    <row r="619" spans="1:19" x14ac:dyDescent="0.25">
      <c r="A619" s="211"/>
      <c r="B619" s="203"/>
      <c r="C619" s="203"/>
      <c r="D619" s="28" t="s">
        <v>25</v>
      </c>
      <c r="E619" s="29">
        <v>5</v>
      </c>
      <c r="F619" s="29">
        <v>5</v>
      </c>
      <c r="G619" s="29">
        <v>2.1</v>
      </c>
      <c r="H619" s="203"/>
      <c r="I619" s="204"/>
      <c r="J619" s="205"/>
      <c r="K619" s="243"/>
      <c r="L619" s="31"/>
      <c r="M619" s="31"/>
      <c r="N619" s="31"/>
      <c r="O619" s="31"/>
      <c r="P619" s="31"/>
      <c r="Q619" s="31"/>
      <c r="R619" s="245"/>
      <c r="S619" s="191"/>
    </row>
    <row r="620" spans="1:19" x14ac:dyDescent="0.25">
      <c r="A620" s="211"/>
      <c r="B620" s="203"/>
      <c r="C620" s="203"/>
      <c r="D620" s="28" t="s">
        <v>201</v>
      </c>
      <c r="E620" s="29">
        <v>0.6</v>
      </c>
      <c r="F620" s="29">
        <v>0.6</v>
      </c>
      <c r="G620" s="29">
        <v>0</v>
      </c>
      <c r="H620" s="203"/>
      <c r="I620" s="204"/>
      <c r="J620" s="205"/>
      <c r="K620" s="243"/>
      <c r="L620" s="31"/>
      <c r="M620" s="31"/>
      <c r="N620" s="31"/>
      <c r="O620" s="31"/>
      <c r="P620" s="31"/>
      <c r="Q620" s="31"/>
      <c r="R620" s="245"/>
      <c r="S620" s="191"/>
    </row>
    <row r="621" spans="1:19" ht="24" customHeight="1" thickBot="1" x14ac:dyDescent="0.3">
      <c r="A621" s="212"/>
      <c r="B621" s="188"/>
      <c r="C621" s="188"/>
      <c r="D621" s="28" t="s">
        <v>30</v>
      </c>
      <c r="E621" s="29">
        <v>1.4</v>
      </c>
      <c r="F621" s="29">
        <v>1.4</v>
      </c>
      <c r="G621" s="29">
        <v>1.4</v>
      </c>
      <c r="H621" s="188"/>
      <c r="I621" s="182"/>
      <c r="J621" s="184"/>
      <c r="K621" s="186"/>
      <c r="L621" s="31"/>
      <c r="M621" s="31"/>
      <c r="N621" s="31"/>
      <c r="O621" s="31"/>
      <c r="P621" s="31"/>
      <c r="Q621" s="31"/>
      <c r="R621" s="246"/>
      <c r="S621" s="190"/>
    </row>
    <row r="622" spans="1:19" ht="47.25" customHeight="1" x14ac:dyDescent="0.25">
      <c r="A622" s="200" t="s">
        <v>1170</v>
      </c>
      <c r="B622" s="187" t="s">
        <v>1171</v>
      </c>
      <c r="C622" s="187" t="s">
        <v>1043</v>
      </c>
      <c r="D622" s="51"/>
      <c r="E622" s="52">
        <f>SUM(E623:E624)</f>
        <v>0</v>
      </c>
      <c r="F622" s="52">
        <f>SUM(F623:F624)</f>
        <v>58.2</v>
      </c>
      <c r="G622" s="52">
        <f>SUM(G623:G624)+0.1</f>
        <v>50.300000000000004</v>
      </c>
      <c r="H622" s="187" t="s">
        <v>1172</v>
      </c>
      <c r="I622" s="181" t="s">
        <v>653</v>
      </c>
      <c r="J622" s="183">
        <v>600</v>
      </c>
      <c r="K622" s="164">
        <v>915</v>
      </c>
      <c r="L622" s="24" t="s">
        <v>1173</v>
      </c>
      <c r="M622" s="24" t="s">
        <v>23</v>
      </c>
      <c r="N622" s="24" t="s">
        <v>1174</v>
      </c>
      <c r="O622" s="24" t="s">
        <v>23</v>
      </c>
      <c r="P622" s="24" t="s">
        <v>692</v>
      </c>
      <c r="Q622" s="24" t="s">
        <v>23</v>
      </c>
      <c r="R622" s="187" t="s">
        <v>1175</v>
      </c>
      <c r="S622" s="189" t="s">
        <v>1736</v>
      </c>
    </row>
    <row r="623" spans="1:19" x14ac:dyDescent="0.25">
      <c r="A623" s="201"/>
      <c r="B623" s="203"/>
      <c r="C623" s="203"/>
      <c r="D623" s="28" t="s">
        <v>217</v>
      </c>
      <c r="E623" s="29">
        <v>0</v>
      </c>
      <c r="F623" s="29">
        <v>49.4</v>
      </c>
      <c r="G623" s="29">
        <v>42.7</v>
      </c>
      <c r="H623" s="203"/>
      <c r="I623" s="204"/>
      <c r="J623" s="205"/>
      <c r="K623" s="206"/>
      <c r="L623" s="31"/>
      <c r="M623" s="31"/>
      <c r="N623" s="31"/>
      <c r="O623" s="31"/>
      <c r="P623" s="31"/>
      <c r="Q623" s="31"/>
      <c r="R623" s="203"/>
      <c r="S623" s="191"/>
    </row>
    <row r="624" spans="1:19" ht="74.25" customHeight="1" thickBot="1" x14ac:dyDescent="0.3">
      <c r="A624" s="202"/>
      <c r="B624" s="188"/>
      <c r="C624" s="188"/>
      <c r="D624" s="28" t="s">
        <v>201</v>
      </c>
      <c r="E624" s="29">
        <v>0</v>
      </c>
      <c r="F624" s="29">
        <v>8.8000000000000007</v>
      </c>
      <c r="G624" s="29">
        <v>7.5</v>
      </c>
      <c r="H624" s="188"/>
      <c r="I624" s="182"/>
      <c r="J624" s="184"/>
      <c r="K624" s="165"/>
      <c r="L624" s="31"/>
      <c r="M624" s="31"/>
      <c r="N624" s="31"/>
      <c r="O624" s="31"/>
      <c r="P624" s="31"/>
      <c r="Q624" s="31"/>
      <c r="R624" s="188"/>
      <c r="S624" s="190"/>
    </row>
    <row r="625" spans="1:24" ht="40.5" customHeight="1" thickBot="1" x14ac:dyDescent="0.3">
      <c r="A625" s="4" t="s">
        <v>1176</v>
      </c>
      <c r="B625" s="195" t="s">
        <v>1177</v>
      </c>
      <c r="C625" s="196"/>
      <c r="D625" s="197"/>
      <c r="E625" s="7">
        <f>E626+E736+E742+E758</f>
        <v>42899.200000000004</v>
      </c>
      <c r="F625" s="7">
        <f>F626+F736+F742+F758</f>
        <v>44123.4</v>
      </c>
      <c r="G625" s="7">
        <f>G626+G736+G742+G758</f>
        <v>40839.299999999996</v>
      </c>
      <c r="H625" s="192"/>
      <c r="I625" s="193"/>
      <c r="J625" s="193"/>
      <c r="K625" s="193"/>
      <c r="L625" s="193"/>
      <c r="M625" s="193"/>
      <c r="N625" s="193"/>
      <c r="O625" s="193"/>
      <c r="P625" s="193"/>
      <c r="Q625" s="193"/>
      <c r="R625" s="193"/>
      <c r="S625" s="194"/>
      <c r="V625" s="110"/>
      <c r="W625" s="111" t="s">
        <v>1</v>
      </c>
      <c r="X625" s="111" t="s">
        <v>1813</v>
      </c>
    </row>
    <row r="626" spans="1:24" ht="90.75" customHeight="1" thickBot="1" x14ac:dyDescent="0.3">
      <c r="A626" s="8" t="s">
        <v>1178</v>
      </c>
      <c r="B626" s="174" t="s">
        <v>1179</v>
      </c>
      <c r="C626" s="175"/>
      <c r="D626" s="176"/>
      <c r="E626" s="11">
        <f>E627+E635+E701+E709+E713+E718+E723+E728+E732+E734</f>
        <v>41216.500000000007</v>
      </c>
      <c r="F626" s="11">
        <f>F627+F635+F701+F709+F713+F718+F723+F728+F732+F734+0.1</f>
        <v>42569.5</v>
      </c>
      <c r="G626" s="11">
        <f>G627+G635+G701+G709+G713+G718+G723+G728+G732+G734</f>
        <v>39870.1</v>
      </c>
      <c r="H626" s="177"/>
      <c r="I626" s="178"/>
      <c r="J626" s="178"/>
      <c r="K626" s="178"/>
      <c r="L626" s="178"/>
      <c r="M626" s="178"/>
      <c r="N626" s="178"/>
      <c r="O626" s="178"/>
      <c r="P626" s="178"/>
      <c r="Q626" s="178"/>
      <c r="R626" s="178"/>
      <c r="S626" s="179"/>
      <c r="V626" s="117"/>
      <c r="W626" s="112" t="s">
        <v>1814</v>
      </c>
      <c r="X626" s="113">
        <v>29</v>
      </c>
    </row>
    <row r="627" spans="1:24" ht="62.25" customHeight="1" thickBot="1" x14ac:dyDescent="0.3">
      <c r="A627" s="12" t="s">
        <v>1180</v>
      </c>
      <c r="B627" s="168" t="s">
        <v>1181</v>
      </c>
      <c r="C627" s="169"/>
      <c r="D627" s="170"/>
      <c r="E627" s="15">
        <f>E628+E630+E631+E632</f>
        <v>1428.2</v>
      </c>
      <c r="F627" s="15">
        <f>F628+F630+F631+F632</f>
        <v>2097.8000000000002</v>
      </c>
      <c r="G627" s="15">
        <f>G628+G630+G631+G632</f>
        <v>2089.9</v>
      </c>
      <c r="H627" s="171"/>
      <c r="I627" s="172"/>
      <c r="J627" s="172"/>
      <c r="K627" s="172"/>
      <c r="L627" s="172"/>
      <c r="M627" s="172"/>
      <c r="N627" s="172"/>
      <c r="O627" s="172"/>
      <c r="P627" s="172"/>
      <c r="Q627" s="172"/>
      <c r="R627" s="172"/>
      <c r="S627" s="173"/>
      <c r="V627" s="118"/>
      <c r="W627" s="112" t="s">
        <v>1815</v>
      </c>
      <c r="X627" s="113">
        <v>4</v>
      </c>
    </row>
    <row r="628" spans="1:24" ht="60" x14ac:dyDescent="0.25">
      <c r="A628" s="200" t="s">
        <v>1182</v>
      </c>
      <c r="B628" s="187" t="s">
        <v>1183</v>
      </c>
      <c r="C628" s="187" t="s">
        <v>1184</v>
      </c>
      <c r="D628" s="187" t="s">
        <v>1114</v>
      </c>
      <c r="E628" s="207">
        <f>SUM(E629:E629)+858.3</f>
        <v>858.3</v>
      </c>
      <c r="F628" s="207">
        <f>SUM(F629:F629)+1469.6</f>
        <v>1469.6</v>
      </c>
      <c r="G628" s="207">
        <f>SUM(G629:G629)+1469.6</f>
        <v>1469.6</v>
      </c>
      <c r="H628" s="21" t="s">
        <v>1185</v>
      </c>
      <c r="I628" s="23" t="s">
        <v>653</v>
      </c>
      <c r="J628" s="50">
        <v>3</v>
      </c>
      <c r="K628" s="66">
        <v>3</v>
      </c>
      <c r="L628" s="24" t="s">
        <v>34</v>
      </c>
      <c r="M628" s="24" t="s">
        <v>23</v>
      </c>
      <c r="N628" s="24" t="s">
        <v>34</v>
      </c>
      <c r="O628" s="24" t="s">
        <v>23</v>
      </c>
      <c r="P628" s="24"/>
      <c r="Q628" s="24"/>
      <c r="R628" s="187" t="s">
        <v>1186</v>
      </c>
      <c r="S628" s="209"/>
      <c r="V628" s="116"/>
      <c r="W628" s="112" t="s">
        <v>1816</v>
      </c>
      <c r="X628" s="113">
        <v>4</v>
      </c>
    </row>
    <row r="629" spans="1:24" ht="37.5" customHeight="1" thickBot="1" x14ac:dyDescent="0.3">
      <c r="A629" s="202"/>
      <c r="B629" s="188"/>
      <c r="C629" s="188"/>
      <c r="D629" s="188"/>
      <c r="E629" s="208"/>
      <c r="F629" s="208"/>
      <c r="G629" s="208"/>
      <c r="H629" s="28" t="s">
        <v>1187</v>
      </c>
      <c r="I629" s="30" t="s">
        <v>653</v>
      </c>
      <c r="J629" s="62">
        <v>350</v>
      </c>
      <c r="K629" s="65">
        <v>459</v>
      </c>
      <c r="L629" s="31" t="s">
        <v>1188</v>
      </c>
      <c r="M629" s="31" t="s">
        <v>23</v>
      </c>
      <c r="N629" s="31" t="s">
        <v>1188</v>
      </c>
      <c r="O629" s="31" t="s">
        <v>23</v>
      </c>
      <c r="P629" s="31"/>
      <c r="Q629" s="31"/>
      <c r="R629" s="188"/>
      <c r="S629" s="157"/>
      <c r="V629" s="114"/>
      <c r="W629" s="119" t="s">
        <v>1817</v>
      </c>
      <c r="X629" s="115">
        <v>37</v>
      </c>
    </row>
    <row r="630" spans="1:24" ht="60.75" hidden="1" thickBot="1" x14ac:dyDescent="0.3">
      <c r="A630" s="19" t="s">
        <v>1189</v>
      </c>
      <c r="B630" s="20" t="s">
        <v>1190</v>
      </c>
      <c r="C630" s="21" t="s">
        <v>1184</v>
      </c>
      <c r="D630" s="21" t="s">
        <v>25</v>
      </c>
      <c r="E630" s="33">
        <v>0</v>
      </c>
      <c r="F630" s="33">
        <v>0</v>
      </c>
      <c r="G630" s="33">
        <v>0</v>
      </c>
      <c r="H630" s="21"/>
      <c r="I630" s="23"/>
      <c r="J630" s="46"/>
      <c r="K630" s="75"/>
      <c r="L630" s="24"/>
      <c r="M630" s="24"/>
      <c r="N630" s="24"/>
      <c r="O630" s="24"/>
      <c r="P630" s="24"/>
      <c r="Q630" s="24"/>
      <c r="R630" s="21"/>
      <c r="S630" s="25"/>
    </row>
    <row r="631" spans="1:24" ht="75.75" thickBot="1" x14ac:dyDescent="0.3">
      <c r="A631" s="19" t="s">
        <v>1191</v>
      </c>
      <c r="B631" s="20" t="s">
        <v>1192</v>
      </c>
      <c r="C631" s="21" t="s">
        <v>1184</v>
      </c>
      <c r="D631" s="21" t="s">
        <v>1114</v>
      </c>
      <c r="E631" s="33">
        <v>116.7</v>
      </c>
      <c r="F631" s="33">
        <v>116.7</v>
      </c>
      <c r="G631" s="33">
        <v>109.5</v>
      </c>
      <c r="H631" s="21" t="s">
        <v>1193</v>
      </c>
      <c r="I631" s="23" t="s">
        <v>653</v>
      </c>
      <c r="J631" s="50">
        <v>27</v>
      </c>
      <c r="K631" s="66">
        <v>34</v>
      </c>
      <c r="L631" s="24" t="s">
        <v>220</v>
      </c>
      <c r="M631" s="24" t="s">
        <v>23</v>
      </c>
      <c r="N631" s="24" t="s">
        <v>220</v>
      </c>
      <c r="O631" s="24" t="s">
        <v>23</v>
      </c>
      <c r="P631" s="24"/>
      <c r="Q631" s="24"/>
      <c r="R631" s="21" t="s">
        <v>1194</v>
      </c>
      <c r="S631" s="25"/>
    </row>
    <row r="632" spans="1:24" ht="44.25" customHeight="1" x14ac:dyDescent="0.25">
      <c r="A632" s="200" t="s">
        <v>1195</v>
      </c>
      <c r="B632" s="187" t="s">
        <v>1196</v>
      </c>
      <c r="C632" s="187" t="s">
        <v>1184</v>
      </c>
      <c r="D632" s="51"/>
      <c r="E632" s="52">
        <f>SUM(E633:E634)</f>
        <v>453.2</v>
      </c>
      <c r="F632" s="52">
        <f>SUM(F633:F634)</f>
        <v>511.5</v>
      </c>
      <c r="G632" s="52">
        <f>SUM(G633:G634)</f>
        <v>510.8</v>
      </c>
      <c r="H632" s="187" t="s">
        <v>1185</v>
      </c>
      <c r="I632" s="181" t="s">
        <v>653</v>
      </c>
      <c r="J632" s="183">
        <v>3</v>
      </c>
      <c r="K632" s="164">
        <v>3</v>
      </c>
      <c r="L632" s="24" t="s">
        <v>34</v>
      </c>
      <c r="M632" s="24" t="s">
        <v>23</v>
      </c>
      <c r="N632" s="24" t="s">
        <v>34</v>
      </c>
      <c r="O632" s="24" t="s">
        <v>23</v>
      </c>
      <c r="P632" s="24"/>
      <c r="Q632" s="24"/>
      <c r="R632" s="187" t="s">
        <v>1197</v>
      </c>
      <c r="S632" s="189" t="s">
        <v>1737</v>
      </c>
    </row>
    <row r="633" spans="1:24" ht="79.5" customHeight="1" x14ac:dyDescent="0.25">
      <c r="A633" s="201"/>
      <c r="B633" s="203"/>
      <c r="C633" s="203"/>
      <c r="D633" s="28" t="s">
        <v>25</v>
      </c>
      <c r="E633" s="29">
        <v>183.2</v>
      </c>
      <c r="F633" s="29">
        <v>241.5</v>
      </c>
      <c r="G633" s="29">
        <v>240.8</v>
      </c>
      <c r="H633" s="203"/>
      <c r="I633" s="204"/>
      <c r="J633" s="205"/>
      <c r="K633" s="206"/>
      <c r="L633" s="31"/>
      <c r="M633" s="31"/>
      <c r="N633" s="31"/>
      <c r="O633" s="31"/>
      <c r="P633" s="31"/>
      <c r="Q633" s="31"/>
      <c r="R633" s="203"/>
      <c r="S633" s="191"/>
    </row>
    <row r="634" spans="1:24" ht="62.25" customHeight="1" thickBot="1" x14ac:dyDescent="0.3">
      <c r="A634" s="202"/>
      <c r="B634" s="188"/>
      <c r="C634" s="188"/>
      <c r="D634" s="28" t="s">
        <v>30</v>
      </c>
      <c r="E634" s="29">
        <v>270</v>
      </c>
      <c r="F634" s="29">
        <v>270</v>
      </c>
      <c r="G634" s="29">
        <v>270</v>
      </c>
      <c r="H634" s="188"/>
      <c r="I634" s="182"/>
      <c r="J634" s="184"/>
      <c r="K634" s="165"/>
      <c r="L634" s="31"/>
      <c r="M634" s="31"/>
      <c r="N634" s="31"/>
      <c r="O634" s="31"/>
      <c r="P634" s="31"/>
      <c r="Q634" s="31"/>
      <c r="R634" s="188"/>
      <c r="S634" s="190"/>
    </row>
    <row r="635" spans="1:24" ht="50.25" customHeight="1" thickBot="1" x14ac:dyDescent="0.3">
      <c r="A635" s="12" t="s">
        <v>1198</v>
      </c>
      <c r="B635" s="168" t="s">
        <v>1199</v>
      </c>
      <c r="C635" s="169"/>
      <c r="D635" s="170"/>
      <c r="E635" s="15">
        <f>E636+E645+E649+E657+E665+E669+E672+E676+E677+E681+E684+E687+E689+E690+E693+E694-0.1</f>
        <v>7679.7</v>
      </c>
      <c r="F635" s="15">
        <f>F636+F645+F649+F657+F665+F669+F672+F676+F677+F681+F684+F687+F689+F690+F693+F694</f>
        <v>8358.2000000000007</v>
      </c>
      <c r="G635" s="15">
        <f>G636+G645+G649+G657+G665+G669+G672+G676+G677+G681+G684+G687+G689+G690+G693+G694</f>
        <v>7186</v>
      </c>
      <c r="H635" s="171"/>
      <c r="I635" s="172"/>
      <c r="J635" s="172"/>
      <c r="K635" s="172"/>
      <c r="L635" s="172"/>
      <c r="M635" s="172"/>
      <c r="N635" s="172"/>
      <c r="O635" s="172"/>
      <c r="P635" s="172"/>
      <c r="Q635" s="172"/>
      <c r="R635" s="172"/>
      <c r="S635" s="173"/>
    </row>
    <row r="636" spans="1:24" ht="51.75" customHeight="1" x14ac:dyDescent="0.25">
      <c r="A636" s="210" t="s">
        <v>1200</v>
      </c>
      <c r="B636" s="181" t="s">
        <v>1201</v>
      </c>
      <c r="C636" s="181" t="s">
        <v>1184</v>
      </c>
      <c r="D636" s="51"/>
      <c r="E636" s="52">
        <f>SUM(E637:E644)</f>
        <v>1522</v>
      </c>
      <c r="F636" s="52">
        <f>SUM(F637:F644)</f>
        <v>1733.5</v>
      </c>
      <c r="G636" s="52">
        <f>SUM(G637:G644)</f>
        <v>1703.4</v>
      </c>
      <c r="H636" s="21" t="s">
        <v>1202</v>
      </c>
      <c r="I636" s="23" t="s">
        <v>653</v>
      </c>
      <c r="J636" s="50">
        <v>16</v>
      </c>
      <c r="K636" s="66">
        <v>20</v>
      </c>
      <c r="L636" s="24" t="s">
        <v>553</v>
      </c>
      <c r="M636" s="24" t="s">
        <v>23</v>
      </c>
      <c r="N636" s="24" t="s">
        <v>553</v>
      </c>
      <c r="O636" s="24" t="s">
        <v>23</v>
      </c>
      <c r="P636" s="24"/>
      <c r="Q636" s="24"/>
      <c r="R636" s="187" t="s">
        <v>1203</v>
      </c>
      <c r="S636" s="189" t="s">
        <v>1738</v>
      </c>
    </row>
    <row r="637" spans="1:24" ht="57" customHeight="1" x14ac:dyDescent="0.25">
      <c r="A637" s="211"/>
      <c r="B637" s="204"/>
      <c r="C637" s="204"/>
      <c r="D637" s="28" t="s">
        <v>201</v>
      </c>
      <c r="E637" s="29">
        <v>0</v>
      </c>
      <c r="F637" s="29">
        <v>32.799999999999997</v>
      </c>
      <c r="G637" s="29">
        <v>32.799999999999997</v>
      </c>
      <c r="H637" s="213" t="s">
        <v>1204</v>
      </c>
      <c r="I637" s="214" t="s">
        <v>653</v>
      </c>
      <c r="J637" s="215">
        <v>14950</v>
      </c>
      <c r="K637" s="216">
        <v>17512</v>
      </c>
      <c r="L637" s="31" t="s">
        <v>1130</v>
      </c>
      <c r="M637" s="31" t="s">
        <v>23</v>
      </c>
      <c r="N637" s="31" t="s">
        <v>1130</v>
      </c>
      <c r="O637" s="31" t="s">
        <v>23</v>
      </c>
      <c r="P637" s="31"/>
      <c r="Q637" s="31"/>
      <c r="R637" s="203"/>
      <c r="S637" s="191"/>
    </row>
    <row r="638" spans="1:24" x14ac:dyDescent="0.25">
      <c r="A638" s="211"/>
      <c r="B638" s="204"/>
      <c r="C638" s="204"/>
      <c r="D638" s="28" t="s">
        <v>192</v>
      </c>
      <c r="E638" s="29"/>
      <c r="F638" s="29">
        <v>10</v>
      </c>
      <c r="G638" s="29">
        <v>9.4</v>
      </c>
      <c r="H638" s="203"/>
      <c r="I638" s="204"/>
      <c r="J638" s="205"/>
      <c r="K638" s="206"/>
      <c r="L638" s="31"/>
      <c r="M638" s="31"/>
      <c r="N638" s="31"/>
      <c r="O638" s="31"/>
      <c r="P638" s="31"/>
      <c r="Q638" s="31"/>
      <c r="R638" s="203"/>
      <c r="S638" s="191"/>
    </row>
    <row r="639" spans="1:24" x14ac:dyDescent="0.25">
      <c r="A639" s="211"/>
      <c r="B639" s="204"/>
      <c r="C639" s="204"/>
      <c r="D639" s="28" t="s">
        <v>1114</v>
      </c>
      <c r="E639" s="29">
        <v>328.2</v>
      </c>
      <c r="F639" s="29">
        <v>328.2</v>
      </c>
      <c r="G639" s="29">
        <v>324.5</v>
      </c>
      <c r="H639" s="203"/>
      <c r="I639" s="204"/>
      <c r="J639" s="205"/>
      <c r="K639" s="206"/>
      <c r="L639" s="31"/>
      <c r="M639" s="31"/>
      <c r="N639" s="31"/>
      <c r="O639" s="31"/>
      <c r="P639" s="31"/>
      <c r="Q639" s="31"/>
      <c r="R639" s="203"/>
      <c r="S639" s="191"/>
    </row>
    <row r="640" spans="1:24" x14ac:dyDescent="0.25">
      <c r="A640" s="211"/>
      <c r="B640" s="204"/>
      <c r="C640" s="204"/>
      <c r="D640" s="28" t="s">
        <v>175</v>
      </c>
      <c r="E640" s="29">
        <v>78</v>
      </c>
      <c r="F640" s="29">
        <v>123.6</v>
      </c>
      <c r="G640" s="29">
        <v>105.4</v>
      </c>
      <c r="H640" s="203"/>
      <c r="I640" s="204"/>
      <c r="J640" s="205"/>
      <c r="K640" s="206"/>
      <c r="L640" s="31"/>
      <c r="M640" s="31"/>
      <c r="N640" s="31"/>
      <c r="O640" s="31"/>
      <c r="P640" s="31"/>
      <c r="Q640" s="31"/>
      <c r="R640" s="203"/>
      <c r="S640" s="191"/>
    </row>
    <row r="641" spans="1:19" ht="26.25" customHeight="1" x14ac:dyDescent="0.25">
      <c r="A641" s="211"/>
      <c r="B641" s="204"/>
      <c r="C641" s="204"/>
      <c r="D641" s="28" t="s">
        <v>180</v>
      </c>
      <c r="E641" s="29">
        <v>0.2</v>
      </c>
      <c r="F641" s="29">
        <v>0.2</v>
      </c>
      <c r="G641" s="29">
        <v>0.1</v>
      </c>
      <c r="H641" s="203"/>
      <c r="I641" s="204"/>
      <c r="J641" s="205"/>
      <c r="K641" s="206"/>
      <c r="L641" s="31"/>
      <c r="M641" s="31"/>
      <c r="N641" s="31"/>
      <c r="O641" s="31"/>
      <c r="P641" s="31"/>
      <c r="Q641" s="31"/>
      <c r="R641" s="203"/>
      <c r="S641" s="191"/>
    </row>
    <row r="642" spans="1:19" ht="33" customHeight="1" x14ac:dyDescent="0.25">
      <c r="A642" s="211"/>
      <c r="B642" s="204"/>
      <c r="C642" s="204"/>
      <c r="D642" s="28" t="s">
        <v>30</v>
      </c>
      <c r="E642" s="29">
        <v>6.2</v>
      </c>
      <c r="F642" s="29">
        <v>41.2</v>
      </c>
      <c r="G642" s="29">
        <v>41.2</v>
      </c>
      <c r="H642" s="203"/>
      <c r="I642" s="204"/>
      <c r="J642" s="205"/>
      <c r="K642" s="206"/>
      <c r="L642" s="31"/>
      <c r="M642" s="31"/>
      <c r="N642" s="31"/>
      <c r="O642" s="31"/>
      <c r="P642" s="31"/>
      <c r="Q642" s="31"/>
      <c r="R642" s="203"/>
      <c r="S642" s="191"/>
    </row>
    <row r="643" spans="1:19" ht="39" customHeight="1" x14ac:dyDescent="0.25">
      <c r="A643" s="211"/>
      <c r="B643" s="204"/>
      <c r="C643" s="204"/>
      <c r="D643" s="28" t="s">
        <v>196</v>
      </c>
      <c r="E643" s="29">
        <v>86.2</v>
      </c>
      <c r="F643" s="29">
        <v>86.2</v>
      </c>
      <c r="G643" s="29">
        <v>85.4</v>
      </c>
      <c r="H643" s="203"/>
      <c r="I643" s="204"/>
      <c r="J643" s="205"/>
      <c r="K643" s="206"/>
      <c r="L643" s="31"/>
      <c r="M643" s="31"/>
      <c r="N643" s="31"/>
      <c r="O643" s="31"/>
      <c r="P643" s="31"/>
      <c r="Q643" s="31"/>
      <c r="R643" s="203"/>
      <c r="S643" s="191"/>
    </row>
    <row r="644" spans="1:19" ht="43.5" customHeight="1" thickBot="1" x14ac:dyDescent="0.3">
      <c r="A644" s="212"/>
      <c r="B644" s="182"/>
      <c r="C644" s="182"/>
      <c r="D644" s="28" t="s">
        <v>25</v>
      </c>
      <c r="E644" s="29">
        <v>1023.2</v>
      </c>
      <c r="F644" s="29">
        <v>1111.3</v>
      </c>
      <c r="G644" s="29">
        <v>1104.5999999999999</v>
      </c>
      <c r="H644" s="188"/>
      <c r="I644" s="182"/>
      <c r="J644" s="184"/>
      <c r="K644" s="165"/>
      <c r="L644" s="31"/>
      <c r="M644" s="31"/>
      <c r="N644" s="31"/>
      <c r="O644" s="31"/>
      <c r="P644" s="31"/>
      <c r="Q644" s="31"/>
      <c r="R644" s="188"/>
      <c r="S644" s="190"/>
    </row>
    <row r="645" spans="1:19" ht="60.75" customHeight="1" x14ac:dyDescent="0.25">
      <c r="A645" s="200" t="s">
        <v>1205</v>
      </c>
      <c r="B645" s="187" t="s">
        <v>1206</v>
      </c>
      <c r="C645" s="187" t="s">
        <v>1184</v>
      </c>
      <c r="D645" s="51"/>
      <c r="E645" s="52">
        <f>SUM(E646:E648)</f>
        <v>110.6</v>
      </c>
      <c r="F645" s="52">
        <f>SUM(F646:F648)</f>
        <v>149.4</v>
      </c>
      <c r="G645" s="52">
        <f>SUM(G646:G648)</f>
        <v>139.19999999999999</v>
      </c>
      <c r="H645" s="21" t="s">
        <v>1207</v>
      </c>
      <c r="I645" s="23" t="s">
        <v>215</v>
      </c>
      <c r="J645" s="50">
        <v>90</v>
      </c>
      <c r="K645" s="67">
        <v>63.8</v>
      </c>
      <c r="L645" s="24" t="s">
        <v>245</v>
      </c>
      <c r="M645" s="24" t="s">
        <v>23</v>
      </c>
      <c r="N645" s="24" t="s">
        <v>245</v>
      </c>
      <c r="O645" s="24" t="s">
        <v>23</v>
      </c>
      <c r="P645" s="24"/>
      <c r="Q645" s="24"/>
      <c r="R645" s="21"/>
      <c r="S645" s="25"/>
    </row>
    <row r="646" spans="1:19" ht="75" x14ac:dyDescent="0.25">
      <c r="A646" s="201"/>
      <c r="B646" s="203"/>
      <c r="C646" s="203"/>
      <c r="D646" s="28" t="s">
        <v>25</v>
      </c>
      <c r="E646" s="29">
        <v>40</v>
      </c>
      <c r="F646" s="29">
        <v>43.5</v>
      </c>
      <c r="G646" s="29">
        <v>40.4</v>
      </c>
      <c r="H646" s="28" t="s">
        <v>1208</v>
      </c>
      <c r="I646" s="30" t="s">
        <v>215</v>
      </c>
      <c r="J646" s="62">
        <v>90</v>
      </c>
      <c r="K646" s="65">
        <v>100</v>
      </c>
      <c r="L646" s="31" t="s">
        <v>245</v>
      </c>
      <c r="M646" s="31" t="s">
        <v>23</v>
      </c>
      <c r="N646" s="31" t="s">
        <v>245</v>
      </c>
      <c r="O646" s="31" t="s">
        <v>23</v>
      </c>
      <c r="P646" s="31"/>
      <c r="Q646" s="31"/>
      <c r="R646" s="28" t="s">
        <v>1209</v>
      </c>
      <c r="S646" s="32"/>
    </row>
    <row r="647" spans="1:19" ht="101.25" customHeight="1" x14ac:dyDescent="0.25">
      <c r="A647" s="201"/>
      <c r="B647" s="203"/>
      <c r="C647" s="203"/>
      <c r="D647" s="28" t="s">
        <v>192</v>
      </c>
      <c r="E647" s="29">
        <v>70.599999999999994</v>
      </c>
      <c r="F647" s="29">
        <v>93.9</v>
      </c>
      <c r="G647" s="29">
        <v>86.8</v>
      </c>
      <c r="H647" s="213" t="s">
        <v>1210</v>
      </c>
      <c r="I647" s="214" t="s">
        <v>215</v>
      </c>
      <c r="J647" s="215">
        <v>90</v>
      </c>
      <c r="K647" s="218">
        <v>27.6</v>
      </c>
      <c r="L647" s="31" t="s">
        <v>245</v>
      </c>
      <c r="M647" s="31" t="s">
        <v>23</v>
      </c>
      <c r="N647" s="31" t="s">
        <v>245</v>
      </c>
      <c r="O647" s="31" t="s">
        <v>23</v>
      </c>
      <c r="P647" s="31"/>
      <c r="Q647" s="31"/>
      <c r="R647" s="213" t="s">
        <v>1211</v>
      </c>
      <c r="S647" s="217" t="s">
        <v>1212</v>
      </c>
    </row>
    <row r="648" spans="1:19" ht="51.75" customHeight="1" thickBot="1" x14ac:dyDescent="0.3">
      <c r="A648" s="202"/>
      <c r="B648" s="188"/>
      <c r="C648" s="188"/>
      <c r="D648" s="28" t="s">
        <v>30</v>
      </c>
      <c r="E648" s="29"/>
      <c r="F648" s="29">
        <v>12</v>
      </c>
      <c r="G648" s="29">
        <v>12</v>
      </c>
      <c r="H648" s="188"/>
      <c r="I648" s="182"/>
      <c r="J648" s="184"/>
      <c r="K648" s="186"/>
      <c r="L648" s="31"/>
      <c r="M648" s="31"/>
      <c r="N648" s="31"/>
      <c r="O648" s="31"/>
      <c r="P648" s="31"/>
      <c r="Q648" s="31"/>
      <c r="R648" s="188"/>
      <c r="S648" s="190"/>
    </row>
    <row r="649" spans="1:19" ht="103.5" customHeight="1" x14ac:dyDescent="0.25">
      <c r="A649" s="200" t="s">
        <v>1213</v>
      </c>
      <c r="B649" s="187" t="s">
        <v>1214</v>
      </c>
      <c r="C649" s="187" t="s">
        <v>1184</v>
      </c>
      <c r="D649" s="51"/>
      <c r="E649" s="52">
        <f>SUM(E650:E656)</f>
        <v>955.80000000000007</v>
      </c>
      <c r="F649" s="52">
        <f>SUM(F650:F656)</f>
        <v>999.8</v>
      </c>
      <c r="G649" s="52">
        <f>SUM(G650:G656)</f>
        <v>980.9</v>
      </c>
      <c r="H649" s="21" t="s">
        <v>1215</v>
      </c>
      <c r="I649" s="23" t="s">
        <v>653</v>
      </c>
      <c r="J649" s="50">
        <v>5</v>
      </c>
      <c r="K649" s="66">
        <v>5</v>
      </c>
      <c r="L649" s="24" t="s">
        <v>82</v>
      </c>
      <c r="M649" s="24" t="s">
        <v>23</v>
      </c>
      <c r="N649" s="24" t="s">
        <v>82</v>
      </c>
      <c r="O649" s="24" t="s">
        <v>23</v>
      </c>
      <c r="P649" s="24"/>
      <c r="Q649" s="24"/>
      <c r="R649" s="21" t="s">
        <v>1216</v>
      </c>
      <c r="S649" s="25"/>
    </row>
    <row r="650" spans="1:19" ht="15.75" customHeight="1" x14ac:dyDescent="0.25">
      <c r="A650" s="201"/>
      <c r="B650" s="203"/>
      <c r="C650" s="203"/>
      <c r="D650" s="28" t="s">
        <v>192</v>
      </c>
      <c r="E650" s="29">
        <v>0</v>
      </c>
      <c r="F650" s="29">
        <v>11.7</v>
      </c>
      <c r="G650" s="29">
        <v>7.7</v>
      </c>
      <c r="H650" s="213" t="s">
        <v>1187</v>
      </c>
      <c r="I650" s="214" t="s">
        <v>653</v>
      </c>
      <c r="J650" s="215">
        <v>44</v>
      </c>
      <c r="K650" s="216" t="s">
        <v>1784</v>
      </c>
      <c r="L650" s="31" t="s">
        <v>1217</v>
      </c>
      <c r="M650" s="31" t="s">
        <v>23</v>
      </c>
      <c r="N650" s="31" t="s">
        <v>244</v>
      </c>
      <c r="O650" s="31" t="s">
        <v>23</v>
      </c>
      <c r="P650" s="31"/>
      <c r="Q650" s="31"/>
      <c r="R650" s="242" t="s">
        <v>1218</v>
      </c>
      <c r="S650" s="156"/>
    </row>
    <row r="651" spans="1:19" x14ac:dyDescent="0.25">
      <c r="A651" s="201"/>
      <c r="B651" s="203"/>
      <c r="C651" s="203"/>
      <c r="D651" s="28" t="s">
        <v>175</v>
      </c>
      <c r="E651" s="29">
        <v>0.6</v>
      </c>
      <c r="F651" s="29">
        <v>0.6</v>
      </c>
      <c r="G651" s="29"/>
      <c r="H651" s="203"/>
      <c r="I651" s="204"/>
      <c r="J651" s="205"/>
      <c r="K651" s="206"/>
      <c r="L651" s="31"/>
      <c r="M651" s="31"/>
      <c r="N651" s="31"/>
      <c r="O651" s="31"/>
      <c r="P651" s="31"/>
      <c r="Q651" s="31"/>
      <c r="R651" s="220"/>
      <c r="S651" s="219"/>
    </row>
    <row r="652" spans="1:19" x14ac:dyDescent="0.25">
      <c r="A652" s="201"/>
      <c r="B652" s="203"/>
      <c r="C652" s="203"/>
      <c r="D652" s="28" t="s">
        <v>180</v>
      </c>
      <c r="E652" s="29"/>
      <c r="F652" s="29">
        <v>9.8000000000000007</v>
      </c>
      <c r="G652" s="29">
        <v>3.2</v>
      </c>
      <c r="H652" s="203"/>
      <c r="I652" s="204"/>
      <c r="J652" s="205"/>
      <c r="K652" s="206"/>
      <c r="L652" s="31"/>
      <c r="M652" s="31"/>
      <c r="N652" s="31"/>
      <c r="O652" s="31"/>
      <c r="P652" s="31"/>
      <c r="Q652" s="31"/>
      <c r="R652" s="220"/>
      <c r="S652" s="219"/>
    </row>
    <row r="653" spans="1:19" x14ac:dyDescent="0.25">
      <c r="A653" s="201"/>
      <c r="B653" s="203"/>
      <c r="C653" s="203"/>
      <c r="D653" s="28" t="s">
        <v>1114</v>
      </c>
      <c r="E653" s="29">
        <v>140</v>
      </c>
      <c r="F653" s="29">
        <v>140</v>
      </c>
      <c r="G653" s="29">
        <v>140</v>
      </c>
      <c r="H653" s="203"/>
      <c r="I653" s="204"/>
      <c r="J653" s="205"/>
      <c r="K653" s="206"/>
      <c r="L653" s="31"/>
      <c r="M653" s="31"/>
      <c r="N653" s="31"/>
      <c r="O653" s="31"/>
      <c r="P653" s="31"/>
      <c r="Q653" s="31"/>
      <c r="R653" s="220"/>
      <c r="S653" s="219"/>
    </row>
    <row r="654" spans="1:19" x14ac:dyDescent="0.25">
      <c r="A654" s="201"/>
      <c r="B654" s="203"/>
      <c r="C654" s="203"/>
      <c r="D654" s="28" t="s">
        <v>196</v>
      </c>
      <c r="E654" s="29">
        <v>15</v>
      </c>
      <c r="F654" s="29">
        <v>15</v>
      </c>
      <c r="G654" s="29">
        <v>15</v>
      </c>
      <c r="H654" s="203"/>
      <c r="I654" s="204"/>
      <c r="J654" s="205"/>
      <c r="K654" s="206"/>
      <c r="L654" s="31"/>
      <c r="M654" s="31"/>
      <c r="N654" s="31"/>
      <c r="O654" s="31"/>
      <c r="P654" s="31"/>
      <c r="Q654" s="31"/>
      <c r="R654" s="220"/>
      <c r="S654" s="219"/>
    </row>
    <row r="655" spans="1:19" x14ac:dyDescent="0.25">
      <c r="A655" s="201"/>
      <c r="B655" s="203"/>
      <c r="C655" s="203"/>
      <c r="D655" s="28" t="s">
        <v>25</v>
      </c>
      <c r="E655" s="29">
        <v>788.2</v>
      </c>
      <c r="F655" s="29">
        <v>798.3</v>
      </c>
      <c r="G655" s="29">
        <v>790.6</v>
      </c>
      <c r="H655" s="203"/>
      <c r="I655" s="204"/>
      <c r="J655" s="205"/>
      <c r="K655" s="206"/>
      <c r="L655" s="31"/>
      <c r="M655" s="31"/>
      <c r="N655" s="31"/>
      <c r="O655" s="31"/>
      <c r="P655" s="31"/>
      <c r="Q655" s="31"/>
      <c r="R655" s="220"/>
      <c r="S655" s="219"/>
    </row>
    <row r="656" spans="1:19" ht="41.25" customHeight="1" thickBot="1" x14ac:dyDescent="0.3">
      <c r="A656" s="202"/>
      <c r="B656" s="188"/>
      <c r="C656" s="188"/>
      <c r="D656" s="28" t="s">
        <v>201</v>
      </c>
      <c r="E656" s="29">
        <v>12</v>
      </c>
      <c r="F656" s="29">
        <v>24.4</v>
      </c>
      <c r="G656" s="29">
        <v>24.4</v>
      </c>
      <c r="H656" s="188"/>
      <c r="I656" s="182"/>
      <c r="J656" s="184"/>
      <c r="K656" s="165"/>
      <c r="L656" s="31"/>
      <c r="M656" s="31"/>
      <c r="N656" s="31"/>
      <c r="O656" s="31"/>
      <c r="P656" s="31"/>
      <c r="Q656" s="31"/>
      <c r="R656" s="159"/>
      <c r="S656" s="157"/>
    </row>
    <row r="657" spans="1:19" ht="51.75" customHeight="1" x14ac:dyDescent="0.25">
      <c r="A657" s="200" t="s">
        <v>1219</v>
      </c>
      <c r="B657" s="187" t="s">
        <v>1220</v>
      </c>
      <c r="C657" s="187" t="s">
        <v>1184</v>
      </c>
      <c r="D657" s="51"/>
      <c r="E657" s="52">
        <f>SUM(E658:E664)</f>
        <v>1560.4</v>
      </c>
      <c r="F657" s="52">
        <f>SUM(F658:F664)</f>
        <v>1762.4</v>
      </c>
      <c r="G657" s="52">
        <f>SUM(G658:G664)-0.2</f>
        <v>1698.3</v>
      </c>
      <c r="H657" s="187" t="s">
        <v>1215</v>
      </c>
      <c r="I657" s="181" t="s">
        <v>653</v>
      </c>
      <c r="J657" s="183">
        <v>7</v>
      </c>
      <c r="K657" s="164">
        <v>8</v>
      </c>
      <c r="L657" s="24" t="s">
        <v>127</v>
      </c>
      <c r="M657" s="24" t="s">
        <v>23</v>
      </c>
      <c r="N657" s="24" t="s">
        <v>127</v>
      </c>
      <c r="O657" s="24" t="s">
        <v>23</v>
      </c>
      <c r="P657" s="24"/>
      <c r="Q657" s="24"/>
      <c r="R657" s="187" t="s">
        <v>1221</v>
      </c>
      <c r="S657" s="189"/>
    </row>
    <row r="658" spans="1:19" x14ac:dyDescent="0.25">
      <c r="A658" s="201"/>
      <c r="B658" s="203"/>
      <c r="C658" s="203"/>
      <c r="D658" s="28" t="s">
        <v>180</v>
      </c>
      <c r="E658" s="29">
        <v>0</v>
      </c>
      <c r="F658" s="29">
        <v>10.6</v>
      </c>
      <c r="G658" s="29">
        <v>0.2</v>
      </c>
      <c r="H658" s="203"/>
      <c r="I658" s="204"/>
      <c r="J658" s="205"/>
      <c r="K658" s="206"/>
      <c r="L658" s="31"/>
      <c r="M658" s="31"/>
      <c r="N658" s="31"/>
      <c r="O658" s="31"/>
      <c r="P658" s="31"/>
      <c r="Q658" s="31"/>
      <c r="R658" s="203"/>
      <c r="S658" s="191"/>
    </row>
    <row r="659" spans="1:19" x14ac:dyDescent="0.25">
      <c r="A659" s="201"/>
      <c r="B659" s="203"/>
      <c r="C659" s="203"/>
      <c r="D659" s="28" t="s">
        <v>175</v>
      </c>
      <c r="E659" s="29">
        <v>329</v>
      </c>
      <c r="F659" s="29">
        <v>394</v>
      </c>
      <c r="G659" s="29">
        <v>390.4</v>
      </c>
      <c r="H659" s="203"/>
      <c r="I659" s="204"/>
      <c r="J659" s="205"/>
      <c r="K659" s="206"/>
      <c r="L659" s="31"/>
      <c r="M659" s="31"/>
      <c r="N659" s="31"/>
      <c r="O659" s="31"/>
      <c r="P659" s="31"/>
      <c r="Q659" s="31"/>
      <c r="R659" s="203"/>
      <c r="S659" s="191"/>
    </row>
    <row r="660" spans="1:19" x14ac:dyDescent="0.25">
      <c r="A660" s="201"/>
      <c r="B660" s="203"/>
      <c r="C660" s="203"/>
      <c r="D660" s="28" t="s">
        <v>25</v>
      </c>
      <c r="E660" s="29">
        <v>1056.7</v>
      </c>
      <c r="F660" s="29">
        <v>1086.4000000000001</v>
      </c>
      <c r="G660" s="29">
        <v>1052.2</v>
      </c>
      <c r="H660" s="203"/>
      <c r="I660" s="204"/>
      <c r="J660" s="205"/>
      <c r="K660" s="206"/>
      <c r="L660" s="31"/>
      <c r="M660" s="31"/>
      <c r="N660" s="31"/>
      <c r="O660" s="31"/>
      <c r="P660" s="31"/>
      <c r="Q660" s="31"/>
      <c r="R660" s="203"/>
      <c r="S660" s="191"/>
    </row>
    <row r="661" spans="1:19" x14ac:dyDescent="0.25">
      <c r="A661" s="201"/>
      <c r="B661" s="203"/>
      <c r="C661" s="203"/>
      <c r="D661" s="28" t="s">
        <v>201</v>
      </c>
      <c r="E661" s="29">
        <v>0</v>
      </c>
      <c r="F661" s="29">
        <v>40.200000000000003</v>
      </c>
      <c r="G661" s="29">
        <v>40.200000000000003</v>
      </c>
      <c r="H661" s="203"/>
      <c r="I661" s="204"/>
      <c r="J661" s="205"/>
      <c r="K661" s="206"/>
      <c r="L661" s="31"/>
      <c r="M661" s="31"/>
      <c r="N661" s="31"/>
      <c r="O661" s="31"/>
      <c r="P661" s="31"/>
      <c r="Q661" s="31"/>
      <c r="R661" s="203"/>
      <c r="S661" s="191"/>
    </row>
    <row r="662" spans="1:19" x14ac:dyDescent="0.25">
      <c r="A662" s="201"/>
      <c r="B662" s="203"/>
      <c r="C662" s="203"/>
      <c r="D662" s="28" t="s">
        <v>196</v>
      </c>
      <c r="E662" s="29">
        <v>0</v>
      </c>
      <c r="F662" s="29">
        <v>43.9</v>
      </c>
      <c r="G662" s="29">
        <v>28.2</v>
      </c>
      <c r="H662" s="203"/>
      <c r="I662" s="204"/>
      <c r="J662" s="205"/>
      <c r="K662" s="206"/>
      <c r="L662" s="31"/>
      <c r="M662" s="31"/>
      <c r="N662" s="31"/>
      <c r="O662" s="31"/>
      <c r="P662" s="31"/>
      <c r="Q662" s="31"/>
      <c r="R662" s="203"/>
      <c r="S662" s="191"/>
    </row>
    <row r="663" spans="1:19" ht="28.5" customHeight="1" x14ac:dyDescent="0.25">
      <c r="A663" s="201"/>
      <c r="B663" s="203"/>
      <c r="C663" s="203"/>
      <c r="D663" s="28" t="s">
        <v>192</v>
      </c>
      <c r="E663" s="29">
        <v>0</v>
      </c>
      <c r="F663" s="29">
        <v>12.6</v>
      </c>
      <c r="G663" s="29">
        <v>12.6</v>
      </c>
      <c r="H663" s="203"/>
      <c r="I663" s="204"/>
      <c r="J663" s="205"/>
      <c r="K663" s="206"/>
      <c r="L663" s="31"/>
      <c r="M663" s="31"/>
      <c r="N663" s="31"/>
      <c r="O663" s="31"/>
      <c r="P663" s="31"/>
      <c r="Q663" s="31"/>
      <c r="R663" s="203"/>
      <c r="S663" s="191"/>
    </row>
    <row r="664" spans="1:19" ht="15.75" thickBot="1" x14ac:dyDescent="0.3">
      <c r="A664" s="202"/>
      <c r="B664" s="188"/>
      <c r="C664" s="188"/>
      <c r="D664" s="28" t="s">
        <v>30</v>
      </c>
      <c r="E664" s="29">
        <v>174.7</v>
      </c>
      <c r="F664" s="29">
        <v>174.7</v>
      </c>
      <c r="G664" s="29">
        <v>174.7</v>
      </c>
      <c r="H664" s="188"/>
      <c r="I664" s="182"/>
      <c r="J664" s="184"/>
      <c r="K664" s="165"/>
      <c r="L664" s="31"/>
      <c r="M664" s="31"/>
      <c r="N664" s="31"/>
      <c r="O664" s="31"/>
      <c r="P664" s="31"/>
      <c r="Q664" s="31"/>
      <c r="R664" s="188"/>
      <c r="S664" s="190"/>
    </row>
    <row r="665" spans="1:19" ht="24.75" customHeight="1" x14ac:dyDescent="0.25">
      <c r="A665" s="200" t="s">
        <v>1222</v>
      </c>
      <c r="B665" s="187" t="s">
        <v>1223</v>
      </c>
      <c r="C665" s="187" t="s">
        <v>207</v>
      </c>
      <c r="D665" s="51"/>
      <c r="E665" s="52">
        <f>SUM(E666:E668)</f>
        <v>433.8</v>
      </c>
      <c r="F665" s="52">
        <f>SUM(F666:F668)</f>
        <v>449.3</v>
      </c>
      <c r="G665" s="52">
        <f>SUM(G666:G668)</f>
        <v>435</v>
      </c>
      <c r="H665" s="187" t="s">
        <v>1187</v>
      </c>
      <c r="I665" s="181" t="s">
        <v>653</v>
      </c>
      <c r="J665" s="183">
        <v>150</v>
      </c>
      <c r="K665" s="164">
        <v>260</v>
      </c>
      <c r="L665" s="24" t="s">
        <v>1224</v>
      </c>
      <c r="M665" s="24" t="s">
        <v>23</v>
      </c>
      <c r="N665" s="24" t="s">
        <v>23</v>
      </c>
      <c r="O665" s="24" t="s">
        <v>23</v>
      </c>
      <c r="P665" s="24"/>
      <c r="Q665" s="24"/>
      <c r="R665" s="187" t="s">
        <v>1226</v>
      </c>
      <c r="S665" s="189" t="s">
        <v>1739</v>
      </c>
    </row>
    <row r="666" spans="1:19" x14ac:dyDescent="0.25">
      <c r="A666" s="201"/>
      <c r="B666" s="203"/>
      <c r="C666" s="203"/>
      <c r="D666" s="28" t="s">
        <v>25</v>
      </c>
      <c r="E666" s="29">
        <v>4.5</v>
      </c>
      <c r="F666" s="29">
        <v>0</v>
      </c>
      <c r="G666" s="29">
        <v>0</v>
      </c>
      <c r="H666" s="203"/>
      <c r="I666" s="204"/>
      <c r="J666" s="205"/>
      <c r="K666" s="206"/>
      <c r="L666" s="31"/>
      <c r="M666" s="31"/>
      <c r="N666" s="31"/>
      <c r="O666" s="31"/>
      <c r="P666" s="31"/>
      <c r="Q666" s="31"/>
      <c r="R666" s="203"/>
      <c r="S666" s="191"/>
    </row>
    <row r="667" spans="1:19" x14ac:dyDescent="0.25">
      <c r="A667" s="201"/>
      <c r="B667" s="203"/>
      <c r="C667" s="203"/>
      <c r="D667" s="28" t="s">
        <v>217</v>
      </c>
      <c r="E667" s="29">
        <v>354.8</v>
      </c>
      <c r="F667" s="29">
        <v>374.8</v>
      </c>
      <c r="G667" s="29">
        <v>360.5</v>
      </c>
      <c r="H667" s="203"/>
      <c r="I667" s="204"/>
      <c r="J667" s="205"/>
      <c r="K667" s="206"/>
      <c r="L667" s="31"/>
      <c r="M667" s="31"/>
      <c r="N667" s="31"/>
      <c r="O667" s="31"/>
      <c r="P667" s="31"/>
      <c r="Q667" s="31"/>
      <c r="R667" s="203"/>
      <c r="S667" s="191"/>
    </row>
    <row r="668" spans="1:19" ht="48" customHeight="1" thickBot="1" x14ac:dyDescent="0.3">
      <c r="A668" s="202"/>
      <c r="B668" s="188"/>
      <c r="C668" s="188"/>
      <c r="D668" s="28" t="s">
        <v>30</v>
      </c>
      <c r="E668" s="29">
        <v>74.5</v>
      </c>
      <c r="F668" s="29">
        <v>74.5</v>
      </c>
      <c r="G668" s="29">
        <v>74.5</v>
      </c>
      <c r="H668" s="188"/>
      <c r="I668" s="182"/>
      <c r="J668" s="184"/>
      <c r="K668" s="165"/>
      <c r="L668" s="31"/>
      <c r="M668" s="31"/>
      <c r="N668" s="31"/>
      <c r="O668" s="31"/>
      <c r="P668" s="31"/>
      <c r="Q668" s="31"/>
      <c r="R668" s="188"/>
      <c r="S668" s="190"/>
    </row>
    <row r="669" spans="1:19" ht="156.75" customHeight="1" x14ac:dyDescent="0.25">
      <c r="A669" s="200" t="s">
        <v>1227</v>
      </c>
      <c r="B669" s="187" t="s">
        <v>1199</v>
      </c>
      <c r="C669" s="187" t="s">
        <v>1184</v>
      </c>
      <c r="D669" s="51"/>
      <c r="E669" s="52">
        <f>SUM(E670:E671)</f>
        <v>170.89999999999998</v>
      </c>
      <c r="F669" s="52">
        <f>SUM(F670:F671)</f>
        <v>150.89999999999998</v>
      </c>
      <c r="G669" s="52">
        <f>SUM(G670:G671)-0.1</f>
        <v>141.4</v>
      </c>
      <c r="H669" s="187" t="s">
        <v>1185</v>
      </c>
      <c r="I669" s="181" t="s">
        <v>653</v>
      </c>
      <c r="J669" s="183">
        <v>4</v>
      </c>
      <c r="K669" s="164">
        <v>5</v>
      </c>
      <c r="L669" s="24" t="s">
        <v>161</v>
      </c>
      <c r="M669" s="24" t="s">
        <v>23</v>
      </c>
      <c r="N669" s="24" t="s">
        <v>161</v>
      </c>
      <c r="O669" s="24" t="s">
        <v>23</v>
      </c>
      <c r="P669" s="24"/>
      <c r="Q669" s="24"/>
      <c r="R669" s="187" t="s">
        <v>1228</v>
      </c>
      <c r="S669" s="189"/>
    </row>
    <row r="670" spans="1:19" ht="33" customHeight="1" x14ac:dyDescent="0.25">
      <c r="A670" s="201"/>
      <c r="B670" s="203"/>
      <c r="C670" s="203"/>
      <c r="D670" s="28" t="s">
        <v>25</v>
      </c>
      <c r="E670" s="29">
        <v>64.3</v>
      </c>
      <c r="F670" s="29">
        <v>44.3</v>
      </c>
      <c r="G670" s="29">
        <v>34.9</v>
      </c>
      <c r="H670" s="203"/>
      <c r="I670" s="204"/>
      <c r="J670" s="205"/>
      <c r="K670" s="206"/>
      <c r="L670" s="31"/>
      <c r="M670" s="31"/>
      <c r="N670" s="31"/>
      <c r="O670" s="31"/>
      <c r="P670" s="31"/>
      <c r="Q670" s="31"/>
      <c r="R670" s="203"/>
      <c r="S670" s="191"/>
    </row>
    <row r="671" spans="1:19" ht="61.5" customHeight="1" thickBot="1" x14ac:dyDescent="0.3">
      <c r="A671" s="202"/>
      <c r="B671" s="188"/>
      <c r="C671" s="188"/>
      <c r="D671" s="28" t="s">
        <v>1114</v>
      </c>
      <c r="E671" s="29">
        <v>106.6</v>
      </c>
      <c r="F671" s="29">
        <v>106.6</v>
      </c>
      <c r="G671" s="29">
        <v>106.6</v>
      </c>
      <c r="H671" s="188"/>
      <c r="I671" s="182"/>
      <c r="J671" s="184"/>
      <c r="K671" s="165"/>
      <c r="L671" s="31"/>
      <c r="M671" s="31"/>
      <c r="N671" s="31"/>
      <c r="O671" s="31"/>
      <c r="P671" s="31"/>
      <c r="Q671" s="31"/>
      <c r="R671" s="188"/>
      <c r="S671" s="190"/>
    </row>
    <row r="672" spans="1:19" ht="45" customHeight="1" x14ac:dyDescent="0.25">
      <c r="A672" s="200" t="s">
        <v>1229</v>
      </c>
      <c r="B672" s="187" t="s">
        <v>1230</v>
      </c>
      <c r="C672" s="187" t="s">
        <v>207</v>
      </c>
      <c r="D672" s="51"/>
      <c r="E672" s="52">
        <f>SUM(E673:E675)</f>
        <v>384.99999999999994</v>
      </c>
      <c r="F672" s="52">
        <f>SUM(F673:F675)</f>
        <v>384.99999999999994</v>
      </c>
      <c r="G672" s="52">
        <f>SUM(G673:G675)+0.1</f>
        <v>177.6</v>
      </c>
      <c r="H672" s="187" t="s">
        <v>1231</v>
      </c>
      <c r="I672" s="181" t="s">
        <v>653</v>
      </c>
      <c r="J672" s="183">
        <v>200</v>
      </c>
      <c r="K672" s="164">
        <v>412</v>
      </c>
      <c r="L672" s="24" t="s">
        <v>269</v>
      </c>
      <c r="M672" s="24" t="s">
        <v>23</v>
      </c>
      <c r="N672" s="24"/>
      <c r="O672" s="24"/>
      <c r="P672" s="24"/>
      <c r="Q672" s="24"/>
      <c r="R672" s="187" t="s">
        <v>1232</v>
      </c>
      <c r="S672" s="189" t="s">
        <v>1740</v>
      </c>
    </row>
    <row r="673" spans="1:19" x14ac:dyDescent="0.25">
      <c r="A673" s="201"/>
      <c r="B673" s="203"/>
      <c r="C673" s="203"/>
      <c r="D673" s="28" t="s">
        <v>217</v>
      </c>
      <c r="E673" s="29">
        <v>375.4</v>
      </c>
      <c r="F673" s="29">
        <v>375.4</v>
      </c>
      <c r="G673" s="29">
        <v>167.9</v>
      </c>
      <c r="H673" s="203"/>
      <c r="I673" s="204"/>
      <c r="J673" s="205"/>
      <c r="K673" s="206"/>
      <c r="L673" s="31"/>
      <c r="M673" s="31"/>
      <c r="N673" s="31"/>
      <c r="O673" s="31"/>
      <c r="P673" s="31"/>
      <c r="Q673" s="31"/>
      <c r="R673" s="203"/>
      <c r="S673" s="191"/>
    </row>
    <row r="674" spans="1:19" ht="28.5" customHeight="1" x14ac:dyDescent="0.25">
      <c r="A674" s="201"/>
      <c r="B674" s="203"/>
      <c r="C674" s="203"/>
      <c r="D674" s="28" t="s">
        <v>30</v>
      </c>
      <c r="E674" s="29">
        <v>4.9000000000000004</v>
      </c>
      <c r="F674" s="29">
        <v>4.9000000000000004</v>
      </c>
      <c r="G674" s="29">
        <v>4.9000000000000004</v>
      </c>
      <c r="H674" s="203"/>
      <c r="I674" s="204"/>
      <c r="J674" s="205"/>
      <c r="K674" s="206"/>
      <c r="L674" s="31"/>
      <c r="M674" s="31"/>
      <c r="N674" s="31"/>
      <c r="O674" s="31"/>
      <c r="P674" s="31"/>
      <c r="Q674" s="31"/>
      <c r="R674" s="203"/>
      <c r="S674" s="191"/>
    </row>
    <row r="675" spans="1:19" ht="33" customHeight="1" thickBot="1" x14ac:dyDescent="0.3">
      <c r="A675" s="202"/>
      <c r="B675" s="188"/>
      <c r="C675" s="188"/>
      <c r="D675" s="28" t="s">
        <v>25</v>
      </c>
      <c r="E675" s="29">
        <v>4.7</v>
      </c>
      <c r="F675" s="29">
        <v>4.7</v>
      </c>
      <c r="G675" s="29">
        <v>4.7</v>
      </c>
      <c r="H675" s="188"/>
      <c r="I675" s="182"/>
      <c r="J675" s="184"/>
      <c r="K675" s="165"/>
      <c r="L675" s="31"/>
      <c r="M675" s="31"/>
      <c r="N675" s="31"/>
      <c r="O675" s="31"/>
      <c r="P675" s="31"/>
      <c r="Q675" s="31"/>
      <c r="R675" s="188"/>
      <c r="S675" s="190"/>
    </row>
    <row r="676" spans="1:19" ht="75.75" thickBot="1" x14ac:dyDescent="0.3">
      <c r="A676" s="19" t="s">
        <v>1233</v>
      </c>
      <c r="B676" s="20" t="s">
        <v>1234</v>
      </c>
      <c r="C676" s="21" t="s">
        <v>1184</v>
      </c>
      <c r="D676" s="21" t="s">
        <v>25</v>
      </c>
      <c r="E676" s="33">
        <v>229</v>
      </c>
      <c r="F676" s="33">
        <v>229</v>
      </c>
      <c r="G676" s="33">
        <v>198.9</v>
      </c>
      <c r="H676" s="21" t="s">
        <v>1235</v>
      </c>
      <c r="I676" s="23" t="s">
        <v>653</v>
      </c>
      <c r="J676" s="50">
        <v>13</v>
      </c>
      <c r="K676" s="66">
        <v>13</v>
      </c>
      <c r="L676" s="24" t="s">
        <v>135</v>
      </c>
      <c r="M676" s="24" t="s">
        <v>23</v>
      </c>
      <c r="N676" s="24" t="s">
        <v>104</v>
      </c>
      <c r="O676" s="24" t="s">
        <v>23</v>
      </c>
      <c r="P676" s="24"/>
      <c r="Q676" s="24"/>
      <c r="R676" s="21" t="s">
        <v>1236</v>
      </c>
      <c r="S676" s="25"/>
    </row>
    <row r="677" spans="1:19" ht="41.25" customHeight="1" x14ac:dyDescent="0.25">
      <c r="A677" s="200" t="s">
        <v>1237</v>
      </c>
      <c r="B677" s="187" t="s">
        <v>1238</v>
      </c>
      <c r="C677" s="187" t="s">
        <v>1184</v>
      </c>
      <c r="D677" s="51"/>
      <c r="E677" s="52">
        <f>SUM(E678:E680)</f>
        <v>432</v>
      </c>
      <c r="F677" s="52">
        <f>SUM(F678:F680)</f>
        <v>535.1</v>
      </c>
      <c r="G677" s="52">
        <f>SUM(G678:G680)</f>
        <v>535.1</v>
      </c>
      <c r="H677" s="21" t="s">
        <v>1239</v>
      </c>
      <c r="I677" s="23" t="s">
        <v>653</v>
      </c>
      <c r="J677" s="50">
        <v>4</v>
      </c>
      <c r="K677" s="66">
        <v>1</v>
      </c>
      <c r="L677" s="24" t="s">
        <v>161</v>
      </c>
      <c r="M677" s="24" t="s">
        <v>23</v>
      </c>
      <c r="N677" s="24" t="s">
        <v>161</v>
      </c>
      <c r="O677" s="24" t="s">
        <v>23</v>
      </c>
      <c r="P677" s="24"/>
      <c r="Q677" s="24"/>
      <c r="R677" s="21" t="s">
        <v>1240</v>
      </c>
      <c r="S677" s="25"/>
    </row>
    <row r="678" spans="1:19" ht="46.5" customHeight="1" x14ac:dyDescent="0.25">
      <c r="A678" s="201"/>
      <c r="B678" s="203"/>
      <c r="C678" s="203"/>
      <c r="D678" s="28" t="s">
        <v>25</v>
      </c>
      <c r="E678" s="29">
        <v>47.6</v>
      </c>
      <c r="F678" s="29">
        <v>118</v>
      </c>
      <c r="G678" s="29">
        <v>118</v>
      </c>
      <c r="H678" s="28" t="s">
        <v>1241</v>
      </c>
      <c r="I678" s="120" t="s">
        <v>653</v>
      </c>
      <c r="J678" s="62">
        <v>21</v>
      </c>
      <c r="K678" s="121">
        <v>24</v>
      </c>
      <c r="L678" s="31" t="s">
        <v>154</v>
      </c>
      <c r="M678" s="31" t="s">
        <v>23</v>
      </c>
      <c r="N678" s="31" t="s">
        <v>519</v>
      </c>
      <c r="O678" s="31" t="s">
        <v>23</v>
      </c>
      <c r="P678" s="31"/>
      <c r="Q678" s="31"/>
      <c r="R678" s="28" t="s">
        <v>1242</v>
      </c>
      <c r="S678" s="32"/>
    </row>
    <row r="679" spans="1:19" ht="44.25" customHeight="1" x14ac:dyDescent="0.25">
      <c r="A679" s="201"/>
      <c r="B679" s="203"/>
      <c r="C679" s="203"/>
      <c r="D679" s="28" t="s">
        <v>30</v>
      </c>
      <c r="E679" s="29">
        <v>384.4</v>
      </c>
      <c r="F679" s="29">
        <v>417.1</v>
      </c>
      <c r="G679" s="29">
        <v>417.1</v>
      </c>
      <c r="H679" s="28" t="s">
        <v>1243</v>
      </c>
      <c r="I679" s="120" t="s">
        <v>653</v>
      </c>
      <c r="J679" s="62">
        <v>8</v>
      </c>
      <c r="K679" s="121">
        <v>11</v>
      </c>
      <c r="L679" s="31" t="s">
        <v>128</v>
      </c>
      <c r="M679" s="31" t="s">
        <v>23</v>
      </c>
      <c r="N679" s="31" t="s">
        <v>128</v>
      </c>
      <c r="O679" s="31" t="s">
        <v>23</v>
      </c>
      <c r="P679" s="31"/>
      <c r="Q679" s="31"/>
      <c r="R679" s="28" t="s">
        <v>1244</v>
      </c>
      <c r="S679" s="32"/>
    </row>
    <row r="680" spans="1:19" ht="41.25" customHeight="1" thickBot="1" x14ac:dyDescent="0.3">
      <c r="A680" s="202"/>
      <c r="B680" s="188"/>
      <c r="C680" s="188"/>
      <c r="D680" s="34"/>
      <c r="E680" s="35">
        <v>0</v>
      </c>
      <c r="F680" s="35">
        <v>0</v>
      </c>
      <c r="G680" s="35">
        <v>0</v>
      </c>
      <c r="H680" s="34" t="s">
        <v>1245</v>
      </c>
      <c r="I680" s="36" t="s">
        <v>653</v>
      </c>
      <c r="J680" s="123">
        <v>190</v>
      </c>
      <c r="K680" s="124">
        <v>220</v>
      </c>
      <c r="L680" s="37" t="s">
        <v>834</v>
      </c>
      <c r="M680" s="37" t="s">
        <v>23</v>
      </c>
      <c r="N680" s="37" t="s">
        <v>1246</v>
      </c>
      <c r="O680" s="37" t="s">
        <v>23</v>
      </c>
      <c r="P680" s="37"/>
      <c r="Q680" s="37"/>
      <c r="R680" s="34" t="s">
        <v>1247</v>
      </c>
      <c r="S680" s="38"/>
    </row>
    <row r="681" spans="1:19" ht="32.25" customHeight="1" x14ac:dyDescent="0.25">
      <c r="A681" s="200" t="s">
        <v>1248</v>
      </c>
      <c r="B681" s="187" t="s">
        <v>1249</v>
      </c>
      <c r="C681" s="187" t="s">
        <v>1184</v>
      </c>
      <c r="D681" s="51"/>
      <c r="E681" s="52">
        <f>SUM(E682:E683)</f>
        <v>0</v>
      </c>
      <c r="F681" s="52">
        <f>SUM(F682:F683)</f>
        <v>22.8</v>
      </c>
      <c r="G681" s="52">
        <f>SUM(G682:G683)</f>
        <v>12.4</v>
      </c>
      <c r="H681" s="233" t="s">
        <v>241</v>
      </c>
      <c r="I681" s="236" t="s">
        <v>215</v>
      </c>
      <c r="J681" s="239" t="s">
        <v>1716</v>
      </c>
      <c r="K681" s="222" t="s">
        <v>1716</v>
      </c>
      <c r="L681" s="103"/>
      <c r="M681" s="103"/>
      <c r="N681" s="103"/>
      <c r="O681" s="103"/>
      <c r="P681" s="103"/>
      <c r="Q681" s="103"/>
      <c r="R681" s="158" t="s">
        <v>1812</v>
      </c>
      <c r="S681" s="225"/>
    </row>
    <row r="682" spans="1:19" ht="37.5" customHeight="1" x14ac:dyDescent="0.25">
      <c r="A682" s="201"/>
      <c r="B682" s="203"/>
      <c r="C682" s="203"/>
      <c r="D682" s="28" t="s">
        <v>196</v>
      </c>
      <c r="E682" s="29">
        <v>0</v>
      </c>
      <c r="F682" s="29">
        <v>13.4</v>
      </c>
      <c r="G682" s="29">
        <v>11</v>
      </c>
      <c r="H682" s="234"/>
      <c r="I682" s="237"/>
      <c r="J682" s="240"/>
      <c r="K682" s="223"/>
      <c r="L682" s="104"/>
      <c r="M682" s="104"/>
      <c r="N682" s="104"/>
      <c r="O682" s="104"/>
      <c r="P682" s="104"/>
      <c r="Q682" s="104"/>
      <c r="R682" s="220"/>
      <c r="S682" s="226"/>
    </row>
    <row r="683" spans="1:19" ht="25.5" customHeight="1" thickBot="1" x14ac:dyDescent="0.3">
      <c r="A683" s="202"/>
      <c r="B683" s="188"/>
      <c r="C683" s="188"/>
      <c r="D683" s="34" t="s">
        <v>192</v>
      </c>
      <c r="E683" s="35">
        <v>0</v>
      </c>
      <c r="F683" s="35">
        <v>9.4</v>
      </c>
      <c r="G683" s="35">
        <v>1.4</v>
      </c>
      <c r="H683" s="235"/>
      <c r="I683" s="238"/>
      <c r="J683" s="241"/>
      <c r="K683" s="224"/>
      <c r="L683" s="125"/>
      <c r="M683" s="125"/>
      <c r="N683" s="125"/>
      <c r="O683" s="125"/>
      <c r="P683" s="125"/>
      <c r="Q683" s="125"/>
      <c r="R683" s="159"/>
      <c r="S683" s="227"/>
    </row>
    <row r="684" spans="1:19" ht="43.5" customHeight="1" x14ac:dyDescent="0.25">
      <c r="A684" s="201" t="s">
        <v>1250</v>
      </c>
      <c r="B684" s="203" t="s">
        <v>1251</v>
      </c>
      <c r="C684" s="203" t="s">
        <v>207</v>
      </c>
      <c r="D684" s="108"/>
      <c r="E684" s="109">
        <f>SUM(E685:E686)</f>
        <v>289.3</v>
      </c>
      <c r="F684" s="109">
        <f>SUM(F685:F686)</f>
        <v>289.3</v>
      </c>
      <c r="G684" s="109">
        <f>SUM(G685:G686)</f>
        <v>33.6</v>
      </c>
      <c r="H684" s="203" t="s">
        <v>1253</v>
      </c>
      <c r="I684" s="204" t="s">
        <v>21</v>
      </c>
      <c r="J684" s="205">
        <v>1</v>
      </c>
      <c r="K684" s="221">
        <v>0</v>
      </c>
      <c r="L684" s="107" t="s">
        <v>52</v>
      </c>
      <c r="M684" s="107" t="s">
        <v>23</v>
      </c>
      <c r="N684" s="107" t="s">
        <v>23</v>
      </c>
      <c r="O684" s="107" t="s">
        <v>23</v>
      </c>
      <c r="P684" s="107"/>
      <c r="Q684" s="107"/>
      <c r="R684" s="203" t="s">
        <v>1252</v>
      </c>
      <c r="S684" s="191" t="s">
        <v>1255</v>
      </c>
    </row>
    <row r="685" spans="1:19" ht="30.75" customHeight="1" x14ac:dyDescent="0.25">
      <c r="A685" s="201"/>
      <c r="B685" s="203"/>
      <c r="C685" s="203"/>
      <c r="D685" s="28" t="s">
        <v>25</v>
      </c>
      <c r="E685" s="29">
        <v>30</v>
      </c>
      <c r="F685" s="29">
        <v>30</v>
      </c>
      <c r="G685" s="29">
        <v>10.5</v>
      </c>
      <c r="H685" s="228"/>
      <c r="I685" s="229"/>
      <c r="J685" s="230"/>
      <c r="K685" s="231"/>
      <c r="L685" s="31" t="s">
        <v>22</v>
      </c>
      <c r="M685" s="31" t="s">
        <v>23</v>
      </c>
      <c r="N685" s="31" t="s">
        <v>23</v>
      </c>
      <c r="O685" s="31" t="s">
        <v>23</v>
      </c>
      <c r="P685" s="31"/>
      <c r="Q685" s="31"/>
      <c r="R685" s="228"/>
      <c r="S685" s="232"/>
    </row>
    <row r="686" spans="1:19" ht="84" customHeight="1" thickBot="1" x14ac:dyDescent="0.3">
      <c r="A686" s="202"/>
      <c r="B686" s="188"/>
      <c r="C686" s="188"/>
      <c r="D686" s="28" t="s">
        <v>217</v>
      </c>
      <c r="E686" s="29">
        <v>259.3</v>
      </c>
      <c r="F686" s="29">
        <v>259.3</v>
      </c>
      <c r="G686" s="29">
        <v>23.1</v>
      </c>
      <c r="H686" s="28" t="s">
        <v>415</v>
      </c>
      <c r="I686" s="30" t="s">
        <v>215</v>
      </c>
      <c r="J686" s="62">
        <v>50</v>
      </c>
      <c r="K686" s="64">
        <v>0</v>
      </c>
      <c r="L686" s="31" t="s">
        <v>42</v>
      </c>
      <c r="M686" s="31" t="s">
        <v>23</v>
      </c>
      <c r="N686" s="31" t="s">
        <v>23</v>
      </c>
      <c r="O686" s="31" t="s">
        <v>23</v>
      </c>
      <c r="P686" s="31"/>
      <c r="Q686" s="31"/>
      <c r="R686" s="28" t="s">
        <v>1254</v>
      </c>
      <c r="S686" s="32" t="s">
        <v>1741</v>
      </c>
    </row>
    <row r="687" spans="1:19" ht="135" hidden="1" customHeight="1" thickBot="1" x14ac:dyDescent="0.3">
      <c r="A687" s="200" t="s">
        <v>1256</v>
      </c>
      <c r="B687" s="187" t="s">
        <v>1257</v>
      </c>
      <c r="C687" s="187" t="s">
        <v>1184</v>
      </c>
      <c r="D687" s="21"/>
      <c r="E687" s="22">
        <f>SUM(E688:E688)</f>
        <v>0</v>
      </c>
      <c r="F687" s="22">
        <f>SUM(F688:F688)</f>
        <v>0</v>
      </c>
      <c r="G687" s="22">
        <f>SUM(G688:G688)</f>
        <v>0</v>
      </c>
      <c r="H687" s="21" t="s">
        <v>1258</v>
      </c>
      <c r="I687" s="23" t="s">
        <v>21</v>
      </c>
      <c r="J687" s="46">
        <v>6</v>
      </c>
      <c r="K687" s="46">
        <v>0</v>
      </c>
      <c r="L687" s="24" t="s">
        <v>90</v>
      </c>
      <c r="M687" s="24" t="s">
        <v>23</v>
      </c>
      <c r="N687" s="24" t="s">
        <v>23</v>
      </c>
      <c r="O687" s="24" t="s">
        <v>23</v>
      </c>
      <c r="P687" s="24"/>
      <c r="Q687" s="24"/>
      <c r="R687" s="21"/>
      <c r="S687" s="25"/>
    </row>
    <row r="688" spans="1:19" ht="75.75" hidden="1" thickBot="1" x14ac:dyDescent="0.3">
      <c r="A688" s="202"/>
      <c r="B688" s="188"/>
      <c r="C688" s="188"/>
      <c r="D688" s="28"/>
      <c r="E688" s="29">
        <v>0</v>
      </c>
      <c r="F688" s="29">
        <v>0</v>
      </c>
      <c r="G688" s="29">
        <v>0</v>
      </c>
      <c r="H688" s="28" t="s">
        <v>1259</v>
      </c>
      <c r="I688" s="30" t="s">
        <v>21</v>
      </c>
      <c r="J688" s="47">
        <v>1</v>
      </c>
      <c r="K688" s="47">
        <v>0</v>
      </c>
      <c r="L688" s="31" t="s">
        <v>22</v>
      </c>
      <c r="M688" s="31" t="s">
        <v>23</v>
      </c>
      <c r="N688" s="31" t="s">
        <v>23</v>
      </c>
      <c r="O688" s="31" t="s">
        <v>23</v>
      </c>
      <c r="P688" s="31"/>
      <c r="Q688" s="31"/>
      <c r="R688" s="28"/>
      <c r="S688" s="32"/>
    </row>
    <row r="689" spans="1:19" ht="60.75" hidden="1" thickBot="1" x14ac:dyDescent="0.3">
      <c r="A689" s="19" t="s">
        <v>1260</v>
      </c>
      <c r="B689" s="20" t="s">
        <v>1261</v>
      </c>
      <c r="C689" s="21" t="s">
        <v>1184</v>
      </c>
      <c r="D689" s="21"/>
      <c r="E689" s="33">
        <v>0</v>
      </c>
      <c r="F689" s="33">
        <v>0</v>
      </c>
      <c r="G689" s="33">
        <v>0</v>
      </c>
      <c r="H689" s="21" t="s">
        <v>1262</v>
      </c>
      <c r="I689" s="23" t="s">
        <v>21</v>
      </c>
      <c r="J689" s="46">
        <v>0</v>
      </c>
      <c r="K689" s="46">
        <v>0</v>
      </c>
      <c r="L689" s="24" t="s">
        <v>23</v>
      </c>
      <c r="M689" s="24" t="s">
        <v>23</v>
      </c>
      <c r="N689" s="24" t="s">
        <v>23</v>
      </c>
      <c r="O689" s="24" t="s">
        <v>23</v>
      </c>
      <c r="P689" s="24"/>
      <c r="Q689" s="24"/>
      <c r="R689" s="21"/>
      <c r="S689" s="25"/>
    </row>
    <row r="690" spans="1:19" ht="26.25" customHeight="1" x14ac:dyDescent="0.25">
      <c r="A690" s="200" t="s">
        <v>1263</v>
      </c>
      <c r="B690" s="187" t="s">
        <v>1264</v>
      </c>
      <c r="C690" s="187" t="s">
        <v>1184</v>
      </c>
      <c r="D690" s="51"/>
      <c r="E690" s="52">
        <f>SUM(E691:E692)</f>
        <v>700</v>
      </c>
      <c r="F690" s="52">
        <f>SUM(F691:F692)</f>
        <v>700</v>
      </c>
      <c r="G690" s="52">
        <f>SUM(G691:G692)</f>
        <v>205.8</v>
      </c>
      <c r="H690" s="158" t="s">
        <v>1742</v>
      </c>
      <c r="I690" s="181" t="s">
        <v>653</v>
      </c>
      <c r="J690" s="183">
        <v>0</v>
      </c>
      <c r="K690" s="198">
        <v>0</v>
      </c>
      <c r="L690" s="24" t="s">
        <v>229</v>
      </c>
      <c r="M690" s="24" t="s">
        <v>23</v>
      </c>
      <c r="N690" s="24" t="s">
        <v>23</v>
      </c>
      <c r="O690" s="24" t="s">
        <v>23</v>
      </c>
      <c r="P690" s="24"/>
      <c r="Q690" s="24"/>
      <c r="R690" s="187" t="s">
        <v>1266</v>
      </c>
      <c r="S690" s="189" t="s">
        <v>1265</v>
      </c>
    </row>
    <row r="691" spans="1:19" ht="23.25" customHeight="1" x14ac:dyDescent="0.25">
      <c r="A691" s="201"/>
      <c r="B691" s="203"/>
      <c r="C691" s="203"/>
      <c r="D691" s="28" t="s">
        <v>25</v>
      </c>
      <c r="E691" s="29">
        <v>642</v>
      </c>
      <c r="F691" s="29">
        <v>642</v>
      </c>
      <c r="G691" s="29">
        <v>147.80000000000001</v>
      </c>
      <c r="H691" s="220"/>
      <c r="I691" s="204"/>
      <c r="J691" s="205"/>
      <c r="K691" s="221"/>
      <c r="L691" s="31" t="s">
        <v>42</v>
      </c>
      <c r="M691" s="31" t="s">
        <v>23</v>
      </c>
      <c r="N691" s="31" t="s">
        <v>23</v>
      </c>
      <c r="O691" s="31" t="s">
        <v>23</v>
      </c>
      <c r="P691" s="31"/>
      <c r="Q691" s="31"/>
      <c r="R691" s="203"/>
      <c r="S691" s="191"/>
    </row>
    <row r="692" spans="1:19" ht="35.25" customHeight="1" thickBot="1" x14ac:dyDescent="0.3">
      <c r="A692" s="202"/>
      <c r="B692" s="188"/>
      <c r="C692" s="188"/>
      <c r="D692" s="28" t="s">
        <v>30</v>
      </c>
      <c r="E692" s="29">
        <v>58</v>
      </c>
      <c r="F692" s="29">
        <v>58</v>
      </c>
      <c r="G692" s="29">
        <v>58</v>
      </c>
      <c r="H692" s="159"/>
      <c r="I692" s="182"/>
      <c r="J692" s="184"/>
      <c r="K692" s="199"/>
      <c r="L692" s="31"/>
      <c r="M692" s="31"/>
      <c r="N692" s="31"/>
      <c r="O692" s="31"/>
      <c r="P692" s="31"/>
      <c r="Q692" s="31"/>
      <c r="R692" s="188"/>
      <c r="S692" s="190"/>
    </row>
    <row r="693" spans="1:19" ht="45.75" hidden="1" thickBot="1" x14ac:dyDescent="0.3">
      <c r="A693" s="19" t="s">
        <v>1267</v>
      </c>
      <c r="B693" s="20" t="s">
        <v>1268</v>
      </c>
      <c r="C693" s="21"/>
      <c r="D693" s="21" t="s">
        <v>201</v>
      </c>
      <c r="E693" s="33">
        <v>0</v>
      </c>
      <c r="F693" s="33">
        <v>0</v>
      </c>
      <c r="G693" s="33">
        <v>0</v>
      </c>
      <c r="H693" s="21"/>
      <c r="I693" s="23"/>
      <c r="J693" s="46"/>
      <c r="K693" s="46"/>
      <c r="L693" s="24"/>
      <c r="M693" s="24"/>
      <c r="N693" s="24"/>
      <c r="O693" s="24"/>
      <c r="P693" s="24"/>
      <c r="Q693" s="24"/>
      <c r="R693" s="21"/>
      <c r="S693" s="25"/>
    </row>
    <row r="694" spans="1:19" ht="32.25" customHeight="1" x14ac:dyDescent="0.25">
      <c r="A694" s="200" t="s">
        <v>1269</v>
      </c>
      <c r="B694" s="187" t="s">
        <v>1270</v>
      </c>
      <c r="C694" s="181"/>
      <c r="D694" s="51"/>
      <c r="E694" s="52">
        <f>SUM(E695:E700)</f>
        <v>891.00000000000011</v>
      </c>
      <c r="F694" s="52">
        <f>SUM(F695:F700)-0.1</f>
        <v>951.7</v>
      </c>
      <c r="G694" s="52">
        <f>SUM(G695:G700)-0.1</f>
        <v>924.40000000000009</v>
      </c>
      <c r="H694" s="21" t="s">
        <v>1187</v>
      </c>
      <c r="I694" s="23" t="s">
        <v>653</v>
      </c>
      <c r="J694" s="50">
        <v>67</v>
      </c>
      <c r="K694" s="66">
        <v>84</v>
      </c>
      <c r="L694" s="24" t="s">
        <v>401</v>
      </c>
      <c r="M694" s="24" t="s">
        <v>23</v>
      </c>
      <c r="N694" s="24" t="s">
        <v>43</v>
      </c>
      <c r="O694" s="24" t="s">
        <v>23</v>
      </c>
      <c r="P694" s="24"/>
      <c r="Q694" s="24"/>
      <c r="R694" s="187" t="s">
        <v>1271</v>
      </c>
      <c r="S694" s="189" t="s">
        <v>1743</v>
      </c>
    </row>
    <row r="695" spans="1:19" ht="24" customHeight="1" x14ac:dyDescent="0.25">
      <c r="A695" s="201"/>
      <c r="B695" s="203"/>
      <c r="C695" s="204"/>
      <c r="D695" s="28" t="s">
        <v>175</v>
      </c>
      <c r="E695" s="29">
        <v>5.5</v>
      </c>
      <c r="F695" s="29">
        <v>5.5</v>
      </c>
      <c r="G695" s="29">
        <v>2.8</v>
      </c>
      <c r="H695" s="213" t="s">
        <v>1185</v>
      </c>
      <c r="I695" s="214" t="s">
        <v>653</v>
      </c>
      <c r="J695" s="215">
        <v>4</v>
      </c>
      <c r="K695" s="216">
        <v>5</v>
      </c>
      <c r="L695" s="31" t="s">
        <v>82</v>
      </c>
      <c r="M695" s="31" t="s">
        <v>23</v>
      </c>
      <c r="N695" s="31" t="s">
        <v>82</v>
      </c>
      <c r="O695" s="31" t="s">
        <v>23</v>
      </c>
      <c r="P695" s="31"/>
      <c r="Q695" s="31"/>
      <c r="R695" s="203"/>
      <c r="S695" s="191"/>
    </row>
    <row r="696" spans="1:19" x14ac:dyDescent="0.25">
      <c r="A696" s="201"/>
      <c r="B696" s="203"/>
      <c r="C696" s="204"/>
      <c r="D696" s="28" t="s">
        <v>180</v>
      </c>
      <c r="E696" s="29"/>
      <c r="F696" s="29">
        <v>21</v>
      </c>
      <c r="G696" s="29"/>
      <c r="H696" s="203"/>
      <c r="I696" s="204"/>
      <c r="J696" s="205"/>
      <c r="K696" s="206"/>
      <c r="L696" s="31"/>
      <c r="M696" s="31"/>
      <c r="N696" s="31"/>
      <c r="O696" s="31"/>
      <c r="P696" s="31"/>
      <c r="Q696" s="31"/>
      <c r="R696" s="203"/>
      <c r="S696" s="191"/>
    </row>
    <row r="697" spans="1:19" x14ac:dyDescent="0.25">
      <c r="A697" s="201"/>
      <c r="B697" s="203"/>
      <c r="C697" s="204"/>
      <c r="D697" s="28" t="s">
        <v>863</v>
      </c>
      <c r="E697" s="29">
        <v>45.8</v>
      </c>
      <c r="F697" s="29"/>
      <c r="G697" s="29"/>
      <c r="H697" s="203"/>
      <c r="I697" s="204"/>
      <c r="J697" s="205"/>
      <c r="K697" s="206"/>
      <c r="L697" s="31"/>
      <c r="M697" s="31"/>
      <c r="N697" s="31"/>
      <c r="O697" s="31"/>
      <c r="P697" s="31"/>
      <c r="Q697" s="31"/>
      <c r="R697" s="203"/>
      <c r="S697" s="191"/>
    </row>
    <row r="698" spans="1:19" x14ac:dyDescent="0.25">
      <c r="A698" s="201"/>
      <c r="B698" s="203"/>
      <c r="C698" s="204"/>
      <c r="D698" s="28" t="s">
        <v>201</v>
      </c>
      <c r="E698" s="29">
        <v>334</v>
      </c>
      <c r="F698" s="29">
        <v>348.6</v>
      </c>
      <c r="G698" s="29">
        <v>348.6</v>
      </c>
      <c r="H698" s="203"/>
      <c r="I698" s="204"/>
      <c r="J698" s="205"/>
      <c r="K698" s="206"/>
      <c r="L698" s="31"/>
      <c r="M698" s="31"/>
      <c r="N698" s="31"/>
      <c r="O698" s="31"/>
      <c r="P698" s="31"/>
      <c r="Q698" s="31"/>
      <c r="R698" s="203"/>
      <c r="S698" s="191"/>
    </row>
    <row r="699" spans="1:19" ht="40.5" customHeight="1" x14ac:dyDescent="0.25">
      <c r="A699" s="201"/>
      <c r="B699" s="203"/>
      <c r="C699" s="204"/>
      <c r="D699" s="28" t="s">
        <v>25</v>
      </c>
      <c r="E699" s="29">
        <v>505.1</v>
      </c>
      <c r="F699" s="29">
        <v>576.1</v>
      </c>
      <c r="G699" s="29">
        <v>572.5</v>
      </c>
      <c r="H699" s="203"/>
      <c r="I699" s="204"/>
      <c r="J699" s="205"/>
      <c r="K699" s="206"/>
      <c r="L699" s="31"/>
      <c r="M699" s="31"/>
      <c r="N699" s="31"/>
      <c r="O699" s="31"/>
      <c r="P699" s="31"/>
      <c r="Q699" s="31"/>
      <c r="R699" s="203"/>
      <c r="S699" s="191"/>
    </row>
    <row r="700" spans="1:19" ht="46.5" customHeight="1" thickBot="1" x14ac:dyDescent="0.3">
      <c r="A700" s="202"/>
      <c r="B700" s="188"/>
      <c r="C700" s="182"/>
      <c r="D700" s="28" t="s">
        <v>30</v>
      </c>
      <c r="E700" s="29">
        <v>0.6</v>
      </c>
      <c r="F700" s="29">
        <v>0.6</v>
      </c>
      <c r="G700" s="29">
        <v>0.6</v>
      </c>
      <c r="H700" s="188"/>
      <c r="I700" s="182"/>
      <c r="J700" s="184"/>
      <c r="K700" s="165"/>
      <c r="L700" s="31"/>
      <c r="M700" s="31"/>
      <c r="N700" s="31"/>
      <c r="O700" s="31"/>
      <c r="P700" s="31"/>
      <c r="Q700" s="31"/>
      <c r="R700" s="188"/>
      <c r="S700" s="190"/>
    </row>
    <row r="701" spans="1:19" ht="43.5" customHeight="1" thickBot="1" x14ac:dyDescent="0.3">
      <c r="A701" s="12" t="s">
        <v>1272</v>
      </c>
      <c r="B701" s="168" t="s">
        <v>1273</v>
      </c>
      <c r="C701" s="169"/>
      <c r="D701" s="170"/>
      <c r="E701" s="15">
        <f>E702+E706+E707+E708</f>
        <v>86</v>
      </c>
      <c r="F701" s="15">
        <f>F702+F706+F707+F708</f>
        <v>200.8</v>
      </c>
      <c r="G701" s="15">
        <f>G702+G706+G707+G708</f>
        <v>154.5</v>
      </c>
      <c r="H701" s="171"/>
      <c r="I701" s="172"/>
      <c r="J701" s="172"/>
      <c r="K701" s="172"/>
      <c r="L701" s="172"/>
      <c r="M701" s="172"/>
      <c r="N701" s="172"/>
      <c r="O701" s="172"/>
      <c r="P701" s="172"/>
      <c r="Q701" s="172"/>
      <c r="R701" s="172"/>
      <c r="S701" s="173"/>
    </row>
    <row r="702" spans="1:19" ht="34.5" customHeight="1" x14ac:dyDescent="0.25">
      <c r="A702" s="200" t="s">
        <v>1274</v>
      </c>
      <c r="B702" s="187" t="s">
        <v>1275</v>
      </c>
      <c r="C702" s="187" t="s">
        <v>207</v>
      </c>
      <c r="D702" s="51"/>
      <c r="E702" s="52">
        <f>SUM(E703:E705)</f>
        <v>86</v>
      </c>
      <c r="F702" s="52">
        <f>SUM(F703:F705)</f>
        <v>200.8</v>
      </c>
      <c r="G702" s="52">
        <f>SUM(G703:G705)-0.1</f>
        <v>154.5</v>
      </c>
      <c r="H702" s="21" t="s">
        <v>1276</v>
      </c>
      <c r="I702" s="23" t="s">
        <v>215</v>
      </c>
      <c r="J702" s="50">
        <v>100</v>
      </c>
      <c r="K702" s="66">
        <v>100</v>
      </c>
      <c r="L702" s="24" t="s">
        <v>23</v>
      </c>
      <c r="M702" s="24" t="s">
        <v>23</v>
      </c>
      <c r="N702" s="24" t="s">
        <v>23</v>
      </c>
      <c r="O702" s="24" t="s">
        <v>23</v>
      </c>
      <c r="P702" s="24"/>
      <c r="Q702" s="24"/>
      <c r="R702" s="21"/>
      <c r="S702" s="25"/>
    </row>
    <row r="703" spans="1:19" ht="32.25" customHeight="1" x14ac:dyDescent="0.25">
      <c r="A703" s="201"/>
      <c r="B703" s="203"/>
      <c r="C703" s="203"/>
      <c r="D703" s="28" t="s">
        <v>30</v>
      </c>
      <c r="E703" s="29">
        <v>43.5</v>
      </c>
      <c r="F703" s="29">
        <v>43.5</v>
      </c>
      <c r="G703" s="29">
        <v>29.7</v>
      </c>
      <c r="H703" s="213" t="s">
        <v>1277</v>
      </c>
      <c r="I703" s="214" t="s">
        <v>215</v>
      </c>
      <c r="J703" s="215">
        <v>100</v>
      </c>
      <c r="K703" s="216">
        <v>100</v>
      </c>
      <c r="L703" s="31" t="s">
        <v>23</v>
      </c>
      <c r="M703" s="31" t="s">
        <v>23</v>
      </c>
      <c r="N703" s="31" t="s">
        <v>23</v>
      </c>
      <c r="O703" s="31" t="s">
        <v>23</v>
      </c>
      <c r="P703" s="31"/>
      <c r="Q703" s="31"/>
      <c r="R703" s="214"/>
      <c r="S703" s="156"/>
    </row>
    <row r="704" spans="1:19" x14ac:dyDescent="0.25">
      <c r="A704" s="201"/>
      <c r="B704" s="203"/>
      <c r="C704" s="203"/>
      <c r="D704" s="28" t="s">
        <v>217</v>
      </c>
      <c r="E704" s="29">
        <v>42.5</v>
      </c>
      <c r="F704" s="29">
        <v>135.80000000000001</v>
      </c>
      <c r="G704" s="29">
        <v>120.4</v>
      </c>
      <c r="H704" s="203"/>
      <c r="I704" s="204"/>
      <c r="J704" s="205"/>
      <c r="K704" s="206"/>
      <c r="L704" s="31"/>
      <c r="M704" s="31"/>
      <c r="N704" s="31"/>
      <c r="O704" s="31"/>
      <c r="P704" s="31"/>
      <c r="Q704" s="31"/>
      <c r="R704" s="204"/>
      <c r="S704" s="219"/>
    </row>
    <row r="705" spans="1:19" ht="14.25" customHeight="1" thickBot="1" x14ac:dyDescent="0.3">
      <c r="A705" s="202"/>
      <c r="B705" s="188"/>
      <c r="C705" s="188"/>
      <c r="D705" s="28" t="s">
        <v>25</v>
      </c>
      <c r="E705" s="29"/>
      <c r="F705" s="29">
        <v>21.5</v>
      </c>
      <c r="G705" s="29">
        <v>4.5</v>
      </c>
      <c r="H705" s="188"/>
      <c r="I705" s="182"/>
      <c r="J705" s="184"/>
      <c r="K705" s="165"/>
      <c r="L705" s="31"/>
      <c r="M705" s="31"/>
      <c r="N705" s="31"/>
      <c r="O705" s="31"/>
      <c r="P705" s="31"/>
      <c r="Q705" s="31"/>
      <c r="R705" s="182"/>
      <c r="S705" s="157"/>
    </row>
    <row r="706" spans="1:19" ht="105.75" hidden="1" thickBot="1" x14ac:dyDescent="0.3">
      <c r="A706" s="19" t="s">
        <v>1278</v>
      </c>
      <c r="B706" s="20" t="s">
        <v>1279</v>
      </c>
      <c r="C706" s="21" t="s">
        <v>399</v>
      </c>
      <c r="D706" s="21" t="s">
        <v>25</v>
      </c>
      <c r="E706" s="33">
        <v>0</v>
      </c>
      <c r="F706" s="33">
        <v>0</v>
      </c>
      <c r="G706" s="33">
        <v>0</v>
      </c>
      <c r="H706" s="21" t="s">
        <v>1280</v>
      </c>
      <c r="I706" s="23" t="s">
        <v>215</v>
      </c>
      <c r="J706" s="46">
        <v>0</v>
      </c>
      <c r="K706" s="46">
        <v>0</v>
      </c>
      <c r="L706" s="24" t="s">
        <v>42</v>
      </c>
      <c r="M706" s="24" t="s">
        <v>23</v>
      </c>
      <c r="N706" s="24" t="s">
        <v>23</v>
      </c>
      <c r="O706" s="24" t="s">
        <v>23</v>
      </c>
      <c r="P706" s="24"/>
      <c r="Q706" s="24"/>
      <c r="R706" s="21"/>
      <c r="S706" s="25"/>
    </row>
    <row r="707" spans="1:19" ht="90.75" hidden="1" thickBot="1" x14ac:dyDescent="0.3">
      <c r="A707" s="19" t="s">
        <v>1281</v>
      </c>
      <c r="B707" s="20" t="s">
        <v>1282</v>
      </c>
      <c r="C707" s="21" t="s">
        <v>1184</v>
      </c>
      <c r="D707" s="21" t="s">
        <v>25</v>
      </c>
      <c r="E707" s="33">
        <v>0</v>
      </c>
      <c r="F707" s="33">
        <v>0</v>
      </c>
      <c r="G707" s="33">
        <v>0</v>
      </c>
      <c r="H707" s="21" t="s">
        <v>415</v>
      </c>
      <c r="I707" s="23" t="s">
        <v>215</v>
      </c>
      <c r="J707" s="46">
        <v>0</v>
      </c>
      <c r="K707" s="46">
        <v>0</v>
      </c>
      <c r="L707" s="24" t="s">
        <v>155</v>
      </c>
      <c r="M707" s="24" t="s">
        <v>23</v>
      </c>
      <c r="N707" s="24" t="s">
        <v>23</v>
      </c>
      <c r="O707" s="24" t="s">
        <v>23</v>
      </c>
      <c r="P707" s="24"/>
      <c r="Q707" s="24"/>
      <c r="R707" s="21"/>
      <c r="S707" s="25"/>
    </row>
    <row r="708" spans="1:19" ht="75.75" hidden="1" thickBot="1" x14ac:dyDescent="0.3">
      <c r="A708" s="19" t="s">
        <v>1283</v>
      </c>
      <c r="B708" s="20" t="s">
        <v>1284</v>
      </c>
      <c r="C708" s="21"/>
      <c r="D708" s="21"/>
      <c r="E708" s="33">
        <v>0</v>
      </c>
      <c r="F708" s="33">
        <v>0</v>
      </c>
      <c r="G708" s="33">
        <v>0</v>
      </c>
      <c r="H708" s="21"/>
      <c r="I708" s="23"/>
      <c r="J708" s="46"/>
      <c r="K708" s="46"/>
      <c r="L708" s="24"/>
      <c r="M708" s="24"/>
      <c r="N708" s="24"/>
      <c r="O708" s="24"/>
      <c r="P708" s="24"/>
      <c r="Q708" s="24"/>
      <c r="R708" s="21"/>
      <c r="S708" s="25"/>
    </row>
    <row r="709" spans="1:19" ht="73.5" customHeight="1" thickBot="1" x14ac:dyDescent="0.3">
      <c r="A709" s="12" t="s">
        <v>1285</v>
      </c>
      <c r="B709" s="168" t="s">
        <v>1286</v>
      </c>
      <c r="C709" s="169"/>
      <c r="D709" s="170"/>
      <c r="E709" s="15">
        <f>SUM(E710:E710)</f>
        <v>233.3</v>
      </c>
      <c r="F709" s="15">
        <f>SUM(F710:F710)</f>
        <v>236.2</v>
      </c>
      <c r="G709" s="15">
        <f>SUM(G710:G710)</f>
        <v>234.6</v>
      </c>
      <c r="H709" s="171"/>
      <c r="I709" s="172"/>
      <c r="J709" s="172"/>
      <c r="K709" s="172"/>
      <c r="L709" s="172"/>
      <c r="M709" s="172"/>
      <c r="N709" s="172"/>
      <c r="O709" s="172"/>
      <c r="P709" s="172"/>
      <c r="Q709" s="172"/>
      <c r="R709" s="172"/>
      <c r="S709" s="173"/>
    </row>
    <row r="710" spans="1:19" ht="46.5" customHeight="1" x14ac:dyDescent="0.25">
      <c r="A710" s="200" t="s">
        <v>1287</v>
      </c>
      <c r="B710" s="187" t="s">
        <v>1288</v>
      </c>
      <c r="C710" s="187" t="s">
        <v>1184</v>
      </c>
      <c r="D710" s="51"/>
      <c r="E710" s="52">
        <f>SUM(E711:E712)</f>
        <v>233.3</v>
      </c>
      <c r="F710" s="52">
        <f>SUM(F711:F712)</f>
        <v>236.2</v>
      </c>
      <c r="G710" s="52">
        <f>SUM(G711:G712)</f>
        <v>234.6</v>
      </c>
      <c r="H710" s="21" t="s">
        <v>1289</v>
      </c>
      <c r="I710" s="23" t="s">
        <v>653</v>
      </c>
      <c r="J710" s="50">
        <v>14</v>
      </c>
      <c r="K710" s="67">
        <v>12</v>
      </c>
      <c r="L710" s="24" t="s">
        <v>135</v>
      </c>
      <c r="M710" s="24" t="s">
        <v>23</v>
      </c>
      <c r="N710" s="24" t="s">
        <v>135</v>
      </c>
      <c r="O710" s="24" t="s">
        <v>23</v>
      </c>
      <c r="P710" s="24"/>
      <c r="Q710" s="24"/>
      <c r="R710" s="21" t="s">
        <v>1290</v>
      </c>
      <c r="S710" s="25"/>
    </row>
    <row r="711" spans="1:19" ht="27" customHeight="1" x14ac:dyDescent="0.25">
      <c r="A711" s="201"/>
      <c r="B711" s="203"/>
      <c r="C711" s="203"/>
      <c r="D711" s="28" t="s">
        <v>25</v>
      </c>
      <c r="E711" s="29">
        <v>50.7</v>
      </c>
      <c r="F711" s="29">
        <v>50.7</v>
      </c>
      <c r="G711" s="29">
        <v>50.4</v>
      </c>
      <c r="H711" s="213" t="s">
        <v>1187</v>
      </c>
      <c r="I711" s="214" t="s">
        <v>653</v>
      </c>
      <c r="J711" s="215">
        <v>1000</v>
      </c>
      <c r="K711" s="218">
        <v>859</v>
      </c>
      <c r="L711" s="31" t="s">
        <v>949</v>
      </c>
      <c r="M711" s="31" t="s">
        <v>23</v>
      </c>
      <c r="N711" s="31" t="s">
        <v>459</v>
      </c>
      <c r="O711" s="31" t="s">
        <v>23</v>
      </c>
      <c r="P711" s="31"/>
      <c r="Q711" s="31"/>
      <c r="R711" s="213" t="s">
        <v>1291</v>
      </c>
      <c r="S711" s="217" t="s">
        <v>1744</v>
      </c>
    </row>
    <row r="712" spans="1:19" ht="58.5" customHeight="1" thickBot="1" x14ac:dyDescent="0.3">
      <c r="A712" s="202"/>
      <c r="B712" s="188"/>
      <c r="C712" s="188"/>
      <c r="D712" s="28" t="s">
        <v>192</v>
      </c>
      <c r="E712" s="29">
        <v>182.6</v>
      </c>
      <c r="F712" s="29">
        <v>185.5</v>
      </c>
      <c r="G712" s="29">
        <v>184.2</v>
      </c>
      <c r="H712" s="188"/>
      <c r="I712" s="182"/>
      <c r="J712" s="184"/>
      <c r="K712" s="186"/>
      <c r="L712" s="31"/>
      <c r="M712" s="31"/>
      <c r="N712" s="31"/>
      <c r="O712" s="31"/>
      <c r="P712" s="31"/>
      <c r="Q712" s="31"/>
      <c r="R712" s="188"/>
      <c r="S712" s="190"/>
    </row>
    <row r="713" spans="1:19" ht="59.25" customHeight="1" thickBot="1" x14ac:dyDescent="0.3">
      <c r="A713" s="12" t="s">
        <v>1292</v>
      </c>
      <c r="B713" s="168" t="s">
        <v>1293</v>
      </c>
      <c r="C713" s="169"/>
      <c r="D713" s="170"/>
      <c r="E713" s="15">
        <f>SUM(E714:E714)</f>
        <v>2576.8000000000002</v>
      </c>
      <c r="F713" s="15">
        <f>SUM(F714:F714)</f>
        <v>2955.1</v>
      </c>
      <c r="G713" s="15">
        <f>SUM(G714:G714)</f>
        <v>2027.5</v>
      </c>
      <c r="H713" s="171"/>
      <c r="I713" s="172"/>
      <c r="J713" s="172"/>
      <c r="K713" s="172"/>
      <c r="L713" s="172"/>
      <c r="M713" s="172"/>
      <c r="N713" s="172"/>
      <c r="O713" s="172"/>
      <c r="P713" s="172"/>
      <c r="Q713" s="172"/>
      <c r="R713" s="172"/>
      <c r="S713" s="173"/>
    </row>
    <row r="714" spans="1:19" ht="363" customHeight="1" x14ac:dyDescent="0.25">
      <c r="A714" s="210" t="s">
        <v>1294</v>
      </c>
      <c r="B714" s="181" t="s">
        <v>1295</v>
      </c>
      <c r="C714" s="181" t="s">
        <v>1296</v>
      </c>
      <c r="D714" s="51"/>
      <c r="E714" s="52">
        <f>SUM(E715:E717)</f>
        <v>2576.8000000000002</v>
      </c>
      <c r="F714" s="52">
        <f>SUM(F715:F717)</f>
        <v>2955.1</v>
      </c>
      <c r="G714" s="52">
        <f>SUM(G715:G717)</f>
        <v>2027.5</v>
      </c>
      <c r="H714" s="21" t="s">
        <v>1297</v>
      </c>
      <c r="I714" s="23" t="s">
        <v>653</v>
      </c>
      <c r="J714" s="50">
        <v>1500</v>
      </c>
      <c r="K714" s="66">
        <v>1536</v>
      </c>
      <c r="L714" s="24" t="s">
        <v>673</v>
      </c>
      <c r="M714" s="24" t="s">
        <v>23</v>
      </c>
      <c r="N714" s="24" t="s">
        <v>673</v>
      </c>
      <c r="O714" s="24" t="s">
        <v>23</v>
      </c>
      <c r="P714" s="24"/>
      <c r="Q714" s="24"/>
      <c r="R714" s="83" t="s">
        <v>1746</v>
      </c>
      <c r="S714" s="25"/>
    </row>
    <row r="715" spans="1:19" ht="35.25" customHeight="1" x14ac:dyDescent="0.25">
      <c r="A715" s="211"/>
      <c r="B715" s="204"/>
      <c r="C715" s="204"/>
      <c r="D715" s="28" t="s">
        <v>1114</v>
      </c>
      <c r="E715" s="29">
        <v>568.5</v>
      </c>
      <c r="F715" s="29">
        <v>568.5</v>
      </c>
      <c r="G715" s="29">
        <v>496.3</v>
      </c>
      <c r="H715" s="213" t="s">
        <v>1297</v>
      </c>
      <c r="I715" s="214" t="s">
        <v>653</v>
      </c>
      <c r="J715" s="215">
        <v>17015</v>
      </c>
      <c r="K715" s="216" t="s">
        <v>1747</v>
      </c>
      <c r="L715" s="31" t="s">
        <v>1298</v>
      </c>
      <c r="M715" s="31" t="s">
        <v>23</v>
      </c>
      <c r="N715" s="31" t="s">
        <v>1298</v>
      </c>
      <c r="O715" s="31" t="s">
        <v>23</v>
      </c>
      <c r="P715" s="31"/>
      <c r="Q715" s="31"/>
      <c r="R715" s="213" t="s">
        <v>1299</v>
      </c>
      <c r="S715" s="217" t="s">
        <v>1745</v>
      </c>
    </row>
    <row r="716" spans="1:19" ht="45" customHeight="1" x14ac:dyDescent="0.25">
      <c r="A716" s="211"/>
      <c r="B716" s="204"/>
      <c r="C716" s="204"/>
      <c r="D716" s="28" t="s">
        <v>25</v>
      </c>
      <c r="E716" s="29">
        <v>2008.3</v>
      </c>
      <c r="F716" s="29">
        <v>1856.7</v>
      </c>
      <c r="G716" s="29">
        <v>1058.5999999999999</v>
      </c>
      <c r="H716" s="203"/>
      <c r="I716" s="204"/>
      <c r="J716" s="205"/>
      <c r="K716" s="206"/>
      <c r="L716" s="31"/>
      <c r="M716" s="31"/>
      <c r="N716" s="31"/>
      <c r="O716" s="31"/>
      <c r="P716" s="31"/>
      <c r="Q716" s="31"/>
      <c r="R716" s="203"/>
      <c r="S716" s="191"/>
    </row>
    <row r="717" spans="1:19" ht="15.75" thickBot="1" x14ac:dyDescent="0.3">
      <c r="A717" s="212"/>
      <c r="B717" s="182"/>
      <c r="C717" s="182"/>
      <c r="D717" s="28" t="s">
        <v>201</v>
      </c>
      <c r="E717" s="29"/>
      <c r="F717" s="29">
        <v>529.9</v>
      </c>
      <c r="G717" s="29">
        <v>472.6</v>
      </c>
      <c r="H717" s="188"/>
      <c r="I717" s="182"/>
      <c r="J717" s="184"/>
      <c r="K717" s="165"/>
      <c r="L717" s="31"/>
      <c r="M717" s="31"/>
      <c r="N717" s="31"/>
      <c r="O717" s="31"/>
      <c r="P717" s="31"/>
      <c r="Q717" s="31"/>
      <c r="R717" s="188"/>
      <c r="S717" s="190"/>
    </row>
    <row r="718" spans="1:19" ht="45.75" customHeight="1" thickBot="1" x14ac:dyDescent="0.3">
      <c r="A718" s="12" t="s">
        <v>1300</v>
      </c>
      <c r="B718" s="168" t="s">
        <v>1301</v>
      </c>
      <c r="C718" s="169"/>
      <c r="D718" s="170"/>
      <c r="E718" s="15">
        <f>E719+E721</f>
        <v>17618.5</v>
      </c>
      <c r="F718" s="15">
        <f>F719+F721</f>
        <v>18870.5</v>
      </c>
      <c r="G718" s="15">
        <f>G719+G721</f>
        <v>18635</v>
      </c>
      <c r="H718" s="171"/>
      <c r="I718" s="172"/>
      <c r="J718" s="172"/>
      <c r="K718" s="172"/>
      <c r="L718" s="172"/>
      <c r="M718" s="172"/>
      <c r="N718" s="172"/>
      <c r="O718" s="172"/>
      <c r="P718" s="172"/>
      <c r="Q718" s="172"/>
      <c r="R718" s="172"/>
      <c r="S718" s="173"/>
    </row>
    <row r="719" spans="1:19" ht="41.25" customHeight="1" x14ac:dyDescent="0.25">
      <c r="A719" s="200" t="s">
        <v>1302</v>
      </c>
      <c r="B719" s="187" t="s">
        <v>1303</v>
      </c>
      <c r="C719" s="187" t="s">
        <v>1296</v>
      </c>
      <c r="D719" s="51"/>
      <c r="E719" s="52">
        <f>SUM(E720:E720)</f>
        <v>17496</v>
      </c>
      <c r="F719" s="52">
        <f>SUM(F720:F720)</f>
        <v>18757.099999999999</v>
      </c>
      <c r="G719" s="52">
        <f>SUM(G720:G720)</f>
        <v>18524</v>
      </c>
      <c r="H719" s="187" t="s">
        <v>1297</v>
      </c>
      <c r="I719" s="181" t="s">
        <v>653</v>
      </c>
      <c r="J719" s="183">
        <v>19000</v>
      </c>
      <c r="K719" s="164" t="s">
        <v>1749</v>
      </c>
      <c r="L719" s="24" t="s">
        <v>1304</v>
      </c>
      <c r="M719" s="24" t="s">
        <v>23</v>
      </c>
      <c r="N719" s="24" t="s">
        <v>1304</v>
      </c>
      <c r="O719" s="24" t="s">
        <v>23</v>
      </c>
      <c r="P719" s="24"/>
      <c r="Q719" s="24"/>
      <c r="R719" s="187" t="s">
        <v>1305</v>
      </c>
      <c r="S719" s="189" t="s">
        <v>1748</v>
      </c>
    </row>
    <row r="720" spans="1:19" ht="30" customHeight="1" thickBot="1" x14ac:dyDescent="0.3">
      <c r="A720" s="202"/>
      <c r="B720" s="188"/>
      <c r="C720" s="188"/>
      <c r="D720" s="28" t="s">
        <v>192</v>
      </c>
      <c r="E720" s="29">
        <v>17496</v>
      </c>
      <c r="F720" s="29">
        <v>18757.099999999999</v>
      </c>
      <c r="G720" s="29">
        <v>18524</v>
      </c>
      <c r="H720" s="188"/>
      <c r="I720" s="182"/>
      <c r="J720" s="184"/>
      <c r="K720" s="165"/>
      <c r="L720" s="31"/>
      <c r="M720" s="31"/>
      <c r="N720" s="31"/>
      <c r="O720" s="31"/>
      <c r="P720" s="31"/>
      <c r="Q720" s="31"/>
      <c r="R720" s="188"/>
      <c r="S720" s="190"/>
    </row>
    <row r="721" spans="1:19" ht="36" customHeight="1" x14ac:dyDescent="0.25">
      <c r="A721" s="200" t="s">
        <v>1306</v>
      </c>
      <c r="B721" s="187" t="s">
        <v>1307</v>
      </c>
      <c r="C721" s="187" t="s">
        <v>1296</v>
      </c>
      <c r="D721" s="51"/>
      <c r="E721" s="52">
        <f>SUM(E722:E722)</f>
        <v>122.5</v>
      </c>
      <c r="F721" s="52">
        <f>SUM(F722:F722)</f>
        <v>113.4</v>
      </c>
      <c r="G721" s="52">
        <f>SUM(G722:G722)</f>
        <v>111</v>
      </c>
      <c r="H721" s="187" t="s">
        <v>1308</v>
      </c>
      <c r="I721" s="181" t="s">
        <v>653</v>
      </c>
      <c r="J721" s="183">
        <v>33</v>
      </c>
      <c r="K721" s="164" t="s">
        <v>1818</v>
      </c>
      <c r="L721" s="24" t="s">
        <v>436</v>
      </c>
      <c r="M721" s="24" t="s">
        <v>23</v>
      </c>
      <c r="N721" s="24" t="s">
        <v>436</v>
      </c>
      <c r="O721" s="24" t="s">
        <v>23</v>
      </c>
      <c r="P721" s="24"/>
      <c r="Q721" s="24"/>
      <c r="R721" s="187" t="s">
        <v>1309</v>
      </c>
      <c r="S721" s="189"/>
    </row>
    <row r="722" spans="1:19" ht="25.5" customHeight="1" thickBot="1" x14ac:dyDescent="0.3">
      <c r="A722" s="202"/>
      <c r="B722" s="188"/>
      <c r="C722" s="188"/>
      <c r="D722" s="28" t="s">
        <v>192</v>
      </c>
      <c r="E722" s="29">
        <v>122.5</v>
      </c>
      <c r="F722" s="29">
        <v>113.4</v>
      </c>
      <c r="G722" s="29">
        <v>111</v>
      </c>
      <c r="H722" s="188"/>
      <c r="I722" s="182"/>
      <c r="J722" s="184"/>
      <c r="K722" s="165"/>
      <c r="L722" s="31"/>
      <c r="M722" s="31"/>
      <c r="N722" s="31"/>
      <c r="O722" s="31"/>
      <c r="P722" s="31"/>
      <c r="Q722" s="31"/>
      <c r="R722" s="188"/>
      <c r="S722" s="190"/>
    </row>
    <row r="723" spans="1:19" ht="25.5" customHeight="1" thickBot="1" x14ac:dyDescent="0.3">
      <c r="A723" s="12" t="s">
        <v>1310</v>
      </c>
      <c r="B723" s="168" t="s">
        <v>1311</v>
      </c>
      <c r="C723" s="169"/>
      <c r="D723" s="170"/>
      <c r="E723" s="15">
        <f>E724+E726</f>
        <v>8344.7999999999993</v>
      </c>
      <c r="F723" s="15">
        <f>F724+F726</f>
        <v>7249.8</v>
      </c>
      <c r="G723" s="15">
        <f>G724+G726-0.1</f>
        <v>7037.4999999999991</v>
      </c>
      <c r="H723" s="171"/>
      <c r="I723" s="172"/>
      <c r="J723" s="172"/>
      <c r="K723" s="172"/>
      <c r="L723" s="172"/>
      <c r="M723" s="172"/>
      <c r="N723" s="172"/>
      <c r="O723" s="172"/>
      <c r="P723" s="172"/>
      <c r="Q723" s="172"/>
      <c r="R723" s="172"/>
      <c r="S723" s="173"/>
    </row>
    <row r="724" spans="1:19" ht="32.25" customHeight="1" x14ac:dyDescent="0.25">
      <c r="A724" s="200" t="s">
        <v>1312</v>
      </c>
      <c r="B724" s="187" t="s">
        <v>1311</v>
      </c>
      <c r="C724" s="187" t="s">
        <v>1296</v>
      </c>
      <c r="D724" s="51"/>
      <c r="E724" s="52">
        <f>SUM(E725:E725)</f>
        <v>8023.8</v>
      </c>
      <c r="F724" s="52">
        <f>SUM(F725:F725)</f>
        <v>6975.8</v>
      </c>
      <c r="G724" s="52">
        <f>SUM(G725:G725)</f>
        <v>6784.4</v>
      </c>
      <c r="H724" s="187" t="s">
        <v>1297</v>
      </c>
      <c r="I724" s="181" t="s">
        <v>653</v>
      </c>
      <c r="J724" s="183">
        <v>6251</v>
      </c>
      <c r="K724" s="164">
        <v>3690</v>
      </c>
      <c r="L724" s="24" t="s">
        <v>1313</v>
      </c>
      <c r="M724" s="24" t="s">
        <v>23</v>
      </c>
      <c r="N724" s="24" t="s">
        <v>1314</v>
      </c>
      <c r="O724" s="24" t="s">
        <v>23</v>
      </c>
      <c r="P724" s="24"/>
      <c r="Q724" s="24"/>
      <c r="R724" s="187" t="s">
        <v>1315</v>
      </c>
      <c r="S724" s="189" t="s">
        <v>1745</v>
      </c>
    </row>
    <row r="725" spans="1:19" ht="36" customHeight="1" thickBot="1" x14ac:dyDescent="0.3">
      <c r="A725" s="202"/>
      <c r="B725" s="188"/>
      <c r="C725" s="188"/>
      <c r="D725" s="28" t="s">
        <v>192</v>
      </c>
      <c r="E725" s="29">
        <v>8023.8</v>
      </c>
      <c r="F725" s="29">
        <v>6975.8</v>
      </c>
      <c r="G725" s="29">
        <v>6784.4</v>
      </c>
      <c r="H725" s="188"/>
      <c r="I725" s="182"/>
      <c r="J725" s="184"/>
      <c r="K725" s="165"/>
      <c r="L725" s="31"/>
      <c r="M725" s="31"/>
      <c r="N725" s="31"/>
      <c r="O725" s="31"/>
      <c r="P725" s="31"/>
      <c r="Q725" s="31"/>
      <c r="R725" s="188"/>
      <c r="S725" s="190"/>
    </row>
    <row r="726" spans="1:19" ht="36.75" customHeight="1" x14ac:dyDescent="0.25">
      <c r="A726" s="200" t="s">
        <v>1316</v>
      </c>
      <c r="B726" s="187" t="s">
        <v>1307</v>
      </c>
      <c r="C726" s="187" t="s">
        <v>1296</v>
      </c>
      <c r="D726" s="51"/>
      <c r="E726" s="52">
        <f>SUM(E727:E727)</f>
        <v>321</v>
      </c>
      <c r="F726" s="52">
        <f>SUM(F727:F727)</f>
        <v>274</v>
      </c>
      <c r="G726" s="52">
        <f>SUM(G727:G727)</f>
        <v>253.2</v>
      </c>
      <c r="H726" s="187" t="s">
        <v>1308</v>
      </c>
      <c r="I726" s="181" t="s">
        <v>653</v>
      </c>
      <c r="J726" s="183">
        <v>33</v>
      </c>
      <c r="K726" s="164">
        <v>33</v>
      </c>
      <c r="L726" s="24" t="s">
        <v>436</v>
      </c>
      <c r="M726" s="24" t="s">
        <v>23</v>
      </c>
      <c r="N726" s="24" t="s">
        <v>436</v>
      </c>
      <c r="O726" s="24" t="s">
        <v>23</v>
      </c>
      <c r="P726" s="24"/>
      <c r="Q726" s="24"/>
      <c r="R726" s="187" t="s">
        <v>1317</v>
      </c>
      <c r="S726" s="209"/>
    </row>
    <row r="727" spans="1:19" ht="37.5" customHeight="1" thickBot="1" x14ac:dyDescent="0.3">
      <c r="A727" s="202"/>
      <c r="B727" s="188"/>
      <c r="C727" s="188"/>
      <c r="D727" s="28" t="s">
        <v>192</v>
      </c>
      <c r="E727" s="29">
        <v>321</v>
      </c>
      <c r="F727" s="29">
        <v>274</v>
      </c>
      <c r="G727" s="29">
        <v>253.2</v>
      </c>
      <c r="H727" s="188"/>
      <c r="I727" s="182"/>
      <c r="J727" s="184"/>
      <c r="K727" s="165"/>
      <c r="L727" s="31"/>
      <c r="M727" s="31"/>
      <c r="N727" s="31"/>
      <c r="O727" s="31"/>
      <c r="P727" s="31"/>
      <c r="Q727" s="31"/>
      <c r="R727" s="188"/>
      <c r="S727" s="157"/>
    </row>
    <row r="728" spans="1:19" ht="66" customHeight="1" thickBot="1" x14ac:dyDescent="0.3">
      <c r="A728" s="12" t="s">
        <v>1318</v>
      </c>
      <c r="B728" s="168" t="s">
        <v>1319</v>
      </c>
      <c r="C728" s="169"/>
      <c r="D728" s="170"/>
      <c r="E728" s="15">
        <f>SUM(E729:E731)</f>
        <v>5.8</v>
      </c>
      <c r="F728" s="15">
        <f>SUM(F729:F731)</f>
        <v>7.5</v>
      </c>
      <c r="G728" s="15">
        <f>SUM(G729:G731)</f>
        <v>7.1</v>
      </c>
      <c r="H728" s="171"/>
      <c r="I728" s="172"/>
      <c r="J728" s="172"/>
      <c r="K728" s="172"/>
      <c r="L728" s="172"/>
      <c r="M728" s="172"/>
      <c r="N728" s="172"/>
      <c r="O728" s="172"/>
      <c r="P728" s="172"/>
      <c r="Q728" s="172"/>
      <c r="R728" s="172"/>
      <c r="S728" s="173"/>
    </row>
    <row r="729" spans="1:19" ht="96.75" customHeight="1" thickBot="1" x14ac:dyDescent="0.3">
      <c r="A729" s="19" t="s">
        <v>1320</v>
      </c>
      <c r="B729" s="20" t="s">
        <v>1321</v>
      </c>
      <c r="C729" s="21" t="s">
        <v>1296</v>
      </c>
      <c r="D729" s="21" t="s">
        <v>192</v>
      </c>
      <c r="E729" s="33">
        <v>0</v>
      </c>
      <c r="F729" s="33">
        <v>1.7</v>
      </c>
      <c r="G729" s="33">
        <v>1.7</v>
      </c>
      <c r="H729" s="21" t="s">
        <v>1297</v>
      </c>
      <c r="I729" s="23" t="s">
        <v>653</v>
      </c>
      <c r="J729" s="50">
        <v>1</v>
      </c>
      <c r="K729" s="66">
        <v>1</v>
      </c>
      <c r="L729" s="24" t="s">
        <v>23</v>
      </c>
      <c r="M729" s="24" t="s">
        <v>23</v>
      </c>
      <c r="N729" s="24" t="s">
        <v>23</v>
      </c>
      <c r="O729" s="24" t="s">
        <v>23</v>
      </c>
      <c r="P729" s="24"/>
      <c r="Q729" s="24"/>
      <c r="R729" s="21"/>
      <c r="S729" s="25"/>
    </row>
    <row r="730" spans="1:19" ht="120.75" thickBot="1" x14ac:dyDescent="0.3">
      <c r="A730" s="19" t="s">
        <v>1322</v>
      </c>
      <c r="B730" s="20" t="s">
        <v>1323</v>
      </c>
      <c r="C730" s="21" t="s">
        <v>1296</v>
      </c>
      <c r="D730" s="21" t="s">
        <v>1114</v>
      </c>
      <c r="E730" s="33">
        <v>1</v>
      </c>
      <c r="F730" s="33">
        <v>1</v>
      </c>
      <c r="G730" s="33">
        <v>0.6</v>
      </c>
      <c r="H730" s="21" t="s">
        <v>1297</v>
      </c>
      <c r="I730" s="23" t="s">
        <v>653</v>
      </c>
      <c r="J730" s="50">
        <v>2</v>
      </c>
      <c r="K730" s="66">
        <v>1</v>
      </c>
      <c r="L730" s="24" t="s">
        <v>52</v>
      </c>
      <c r="M730" s="24" t="s">
        <v>23</v>
      </c>
      <c r="N730" s="24" t="s">
        <v>52</v>
      </c>
      <c r="O730" s="24" t="s">
        <v>23</v>
      </c>
      <c r="P730" s="24"/>
      <c r="Q730" s="24"/>
      <c r="R730" s="21" t="s">
        <v>1324</v>
      </c>
      <c r="S730" s="25" t="s">
        <v>1750</v>
      </c>
    </row>
    <row r="731" spans="1:19" ht="75.75" thickBot="1" x14ac:dyDescent="0.3">
      <c r="A731" s="19" t="s">
        <v>1325</v>
      </c>
      <c r="B731" s="20" t="s">
        <v>1326</v>
      </c>
      <c r="C731" s="21" t="s">
        <v>1296</v>
      </c>
      <c r="D731" s="21" t="s">
        <v>25</v>
      </c>
      <c r="E731" s="33">
        <v>4.8</v>
      </c>
      <c r="F731" s="33">
        <v>4.8</v>
      </c>
      <c r="G731" s="33">
        <v>4.8</v>
      </c>
      <c r="H731" s="21" t="s">
        <v>1297</v>
      </c>
      <c r="I731" s="23" t="s">
        <v>653</v>
      </c>
      <c r="J731" s="50">
        <v>2</v>
      </c>
      <c r="K731" s="66">
        <v>2</v>
      </c>
      <c r="L731" s="24" t="s">
        <v>52</v>
      </c>
      <c r="M731" s="24" t="s">
        <v>23</v>
      </c>
      <c r="N731" s="24" t="s">
        <v>52</v>
      </c>
      <c r="O731" s="24" t="s">
        <v>23</v>
      </c>
      <c r="P731" s="24"/>
      <c r="Q731" s="24"/>
      <c r="R731" s="21"/>
      <c r="S731" s="25"/>
    </row>
    <row r="732" spans="1:19" ht="27.75" customHeight="1" thickBot="1" x14ac:dyDescent="0.3">
      <c r="A732" s="12" t="s">
        <v>1327</v>
      </c>
      <c r="B732" s="168" t="s">
        <v>1328</v>
      </c>
      <c r="C732" s="169"/>
      <c r="D732" s="170"/>
      <c r="E732" s="15">
        <f>SUM(E733:E733)</f>
        <v>661.1</v>
      </c>
      <c r="F732" s="15">
        <f>SUM(F733:F733)</f>
        <v>761.2</v>
      </c>
      <c r="G732" s="15">
        <f>SUM(G733:G733)</f>
        <v>674.3</v>
      </c>
      <c r="H732" s="171"/>
      <c r="I732" s="172"/>
      <c r="J732" s="172"/>
      <c r="K732" s="172"/>
      <c r="L732" s="172"/>
      <c r="M732" s="172"/>
      <c r="N732" s="172"/>
      <c r="O732" s="172"/>
      <c r="P732" s="172"/>
      <c r="Q732" s="172"/>
      <c r="R732" s="172"/>
      <c r="S732" s="173"/>
    </row>
    <row r="733" spans="1:19" ht="141" customHeight="1" thickBot="1" x14ac:dyDescent="0.3">
      <c r="A733" s="19" t="s">
        <v>1329</v>
      </c>
      <c r="B733" s="20" t="s">
        <v>1330</v>
      </c>
      <c r="C733" s="21" t="s">
        <v>1296</v>
      </c>
      <c r="D733" s="21" t="s">
        <v>1114</v>
      </c>
      <c r="E733" s="33">
        <v>661.1</v>
      </c>
      <c r="F733" s="33">
        <v>761.2</v>
      </c>
      <c r="G733" s="33">
        <v>674.3</v>
      </c>
      <c r="H733" s="21" t="s">
        <v>1297</v>
      </c>
      <c r="I733" s="23" t="s">
        <v>653</v>
      </c>
      <c r="J733" s="50">
        <v>1750</v>
      </c>
      <c r="K733" s="66">
        <v>4846</v>
      </c>
      <c r="L733" s="24" t="s">
        <v>1331</v>
      </c>
      <c r="M733" s="24" t="s">
        <v>23</v>
      </c>
      <c r="N733" s="24" t="s">
        <v>1332</v>
      </c>
      <c r="O733" s="24" t="s">
        <v>23</v>
      </c>
      <c r="P733" s="24"/>
      <c r="Q733" s="24"/>
      <c r="R733" s="21" t="s">
        <v>1333</v>
      </c>
      <c r="S733" s="25"/>
    </row>
    <row r="734" spans="1:19" ht="62.25" customHeight="1" thickBot="1" x14ac:dyDescent="0.3">
      <c r="A734" s="12" t="s">
        <v>1334</v>
      </c>
      <c r="B734" s="168" t="s">
        <v>1335</v>
      </c>
      <c r="C734" s="169"/>
      <c r="D734" s="170"/>
      <c r="E734" s="15">
        <f>SUM(E735:E735)</f>
        <v>2582.3000000000002</v>
      </c>
      <c r="F734" s="15">
        <f>SUM(F735:F735)</f>
        <v>1832.3</v>
      </c>
      <c r="G734" s="15">
        <f>SUM(G735:G735)</f>
        <v>1823.7</v>
      </c>
      <c r="H734" s="171"/>
      <c r="I734" s="172"/>
      <c r="J734" s="172"/>
      <c r="K734" s="172"/>
      <c r="L734" s="172"/>
      <c r="M734" s="172"/>
      <c r="N734" s="172"/>
      <c r="O734" s="172"/>
      <c r="P734" s="172"/>
      <c r="Q734" s="172"/>
      <c r="R734" s="172"/>
      <c r="S734" s="173"/>
    </row>
    <row r="735" spans="1:19" ht="172.5" customHeight="1" thickBot="1" x14ac:dyDescent="0.3">
      <c r="A735" s="19" t="s">
        <v>1336</v>
      </c>
      <c r="B735" s="20" t="s">
        <v>1337</v>
      </c>
      <c r="C735" s="21" t="s">
        <v>523</v>
      </c>
      <c r="D735" s="21" t="s">
        <v>25</v>
      </c>
      <c r="E735" s="33">
        <v>2582.3000000000002</v>
      </c>
      <c r="F735" s="33">
        <v>1832.3</v>
      </c>
      <c r="G735" s="33">
        <v>1823.7</v>
      </c>
      <c r="H735" s="21" t="s">
        <v>1338</v>
      </c>
      <c r="I735" s="23" t="s">
        <v>215</v>
      </c>
      <c r="J735" s="66">
        <v>100</v>
      </c>
      <c r="K735" s="66" t="s">
        <v>1716</v>
      </c>
      <c r="L735" s="24" t="s">
        <v>42</v>
      </c>
      <c r="M735" s="24" t="s">
        <v>23</v>
      </c>
      <c r="N735" s="24" t="s">
        <v>42</v>
      </c>
      <c r="O735" s="24" t="s">
        <v>23</v>
      </c>
      <c r="P735" s="24"/>
      <c r="Q735" s="24"/>
      <c r="R735" s="21" t="s">
        <v>1339</v>
      </c>
      <c r="S735" s="25" t="s">
        <v>1340</v>
      </c>
    </row>
    <row r="736" spans="1:19" ht="71.25" customHeight="1" thickBot="1" x14ac:dyDescent="0.3">
      <c r="A736" s="8" t="s">
        <v>1341</v>
      </c>
      <c r="B736" s="174" t="s">
        <v>1342</v>
      </c>
      <c r="C736" s="175"/>
      <c r="D736" s="176"/>
      <c r="E736" s="11">
        <f>E737+E739</f>
        <v>60</v>
      </c>
      <c r="F736" s="11">
        <f>F737+F739</f>
        <v>51.9</v>
      </c>
      <c r="G736" s="11">
        <f>G737+G739</f>
        <v>51.9</v>
      </c>
      <c r="H736" s="177"/>
      <c r="I736" s="178"/>
      <c r="J736" s="178"/>
      <c r="K736" s="178"/>
      <c r="L736" s="178"/>
      <c r="M736" s="178"/>
      <c r="N736" s="178"/>
      <c r="O736" s="178"/>
      <c r="P736" s="178"/>
      <c r="Q736" s="178"/>
      <c r="R736" s="178"/>
      <c r="S736" s="179"/>
    </row>
    <row r="737" spans="1:19" ht="0.75" hidden="1" customHeight="1" thickBot="1" x14ac:dyDescent="0.3">
      <c r="A737" s="12" t="s">
        <v>1343</v>
      </c>
      <c r="B737" s="13" t="s">
        <v>1344</v>
      </c>
      <c r="C737" s="14"/>
      <c r="D737" s="14"/>
      <c r="E737" s="15">
        <f>SUM(E738:E738)</f>
        <v>0</v>
      </c>
      <c r="F737" s="15">
        <f>SUM(F738:F738)</f>
        <v>0</v>
      </c>
      <c r="G737" s="15">
        <f>SUM(G738:G738)</f>
        <v>0</v>
      </c>
      <c r="H737" s="14"/>
      <c r="I737" s="16"/>
      <c r="J737" s="48"/>
      <c r="K737" s="48"/>
      <c r="L737" s="17"/>
      <c r="M737" s="17"/>
      <c r="N737" s="17"/>
      <c r="O737" s="17"/>
      <c r="P737" s="17"/>
      <c r="Q737" s="17"/>
      <c r="R737" s="14"/>
      <c r="S737" s="18"/>
    </row>
    <row r="738" spans="1:19" ht="60.75" hidden="1" thickBot="1" x14ac:dyDescent="0.3">
      <c r="A738" s="19" t="s">
        <v>1345</v>
      </c>
      <c r="B738" s="20" t="s">
        <v>952</v>
      </c>
      <c r="C738" s="21" t="s">
        <v>1184</v>
      </c>
      <c r="D738" s="21" t="s">
        <v>25</v>
      </c>
      <c r="E738" s="33">
        <v>0</v>
      </c>
      <c r="F738" s="33">
        <v>0</v>
      </c>
      <c r="G738" s="33">
        <v>0</v>
      </c>
      <c r="H738" s="21"/>
      <c r="I738" s="23"/>
      <c r="J738" s="46"/>
      <c r="K738" s="46"/>
      <c r="L738" s="24"/>
      <c r="M738" s="24"/>
      <c r="N738" s="24"/>
      <c r="O738" s="24"/>
      <c r="P738" s="24"/>
      <c r="Q738" s="24"/>
      <c r="R738" s="21"/>
      <c r="S738" s="25"/>
    </row>
    <row r="739" spans="1:19" ht="45.75" thickBot="1" x14ac:dyDescent="0.3">
      <c r="A739" s="12" t="s">
        <v>1346</v>
      </c>
      <c r="B739" s="13" t="s">
        <v>1347</v>
      </c>
      <c r="C739" s="14"/>
      <c r="D739" s="14"/>
      <c r="E739" s="15">
        <f>SUM(E740:E740)</f>
        <v>60</v>
      </c>
      <c r="F739" s="15">
        <f>SUM(F740:F740)</f>
        <v>51.9</v>
      </c>
      <c r="G739" s="15">
        <f>SUM(G740:G740)</f>
        <v>51.9</v>
      </c>
      <c r="H739" s="171"/>
      <c r="I739" s="172"/>
      <c r="J739" s="172"/>
      <c r="K739" s="172"/>
      <c r="L739" s="172"/>
      <c r="M739" s="172"/>
      <c r="N739" s="172"/>
      <c r="O739" s="172"/>
      <c r="P739" s="172"/>
      <c r="Q739" s="172"/>
      <c r="R739" s="172"/>
      <c r="S739" s="173"/>
    </row>
    <row r="740" spans="1:19" ht="39" customHeight="1" x14ac:dyDescent="0.25">
      <c r="A740" s="200" t="s">
        <v>1348</v>
      </c>
      <c r="B740" s="187" t="s">
        <v>1349</v>
      </c>
      <c r="C740" s="187" t="s">
        <v>1184</v>
      </c>
      <c r="D740" s="187" t="s">
        <v>25</v>
      </c>
      <c r="E740" s="207">
        <f>SUM(E741:E741)+60</f>
        <v>60</v>
      </c>
      <c r="F740" s="207">
        <f>SUM(F741:F741)+51.9</f>
        <v>51.9</v>
      </c>
      <c r="G740" s="207">
        <f>SUM(G741:G741)+51.9</f>
        <v>51.9</v>
      </c>
      <c r="H740" s="21" t="s">
        <v>1350</v>
      </c>
      <c r="I740" s="23" t="s">
        <v>653</v>
      </c>
      <c r="J740" s="50">
        <v>165</v>
      </c>
      <c r="K740" s="66">
        <v>226</v>
      </c>
      <c r="L740" s="24" t="s">
        <v>41</v>
      </c>
      <c r="M740" s="24" t="s">
        <v>23</v>
      </c>
      <c r="N740" s="24" t="s">
        <v>1351</v>
      </c>
      <c r="O740" s="24" t="s">
        <v>23</v>
      </c>
      <c r="P740" s="24"/>
      <c r="Q740" s="24"/>
      <c r="R740" s="21"/>
      <c r="S740" s="25"/>
    </row>
    <row r="741" spans="1:19" ht="90.75" thickBot="1" x14ac:dyDescent="0.3">
      <c r="A741" s="202"/>
      <c r="B741" s="188"/>
      <c r="C741" s="188"/>
      <c r="D741" s="188"/>
      <c r="E741" s="208"/>
      <c r="F741" s="208"/>
      <c r="G741" s="208"/>
      <c r="H741" s="28" t="s">
        <v>1352</v>
      </c>
      <c r="I741" s="30" t="s">
        <v>215</v>
      </c>
      <c r="J741" s="62">
        <v>95</v>
      </c>
      <c r="K741" s="68">
        <v>22</v>
      </c>
      <c r="L741" s="31" t="s">
        <v>384</v>
      </c>
      <c r="M741" s="31" t="s">
        <v>23</v>
      </c>
      <c r="N741" s="31" t="s">
        <v>384</v>
      </c>
      <c r="O741" s="31" t="s">
        <v>23</v>
      </c>
      <c r="P741" s="31"/>
      <c r="Q741" s="31"/>
      <c r="R741" s="28" t="s">
        <v>1751</v>
      </c>
      <c r="S741" s="32" t="s">
        <v>1752</v>
      </c>
    </row>
    <row r="742" spans="1:19" ht="34.5" customHeight="1" thickBot="1" x14ac:dyDescent="0.3">
      <c r="A742" s="8" t="s">
        <v>1353</v>
      </c>
      <c r="B742" s="174" t="s">
        <v>1354</v>
      </c>
      <c r="C742" s="175"/>
      <c r="D742" s="176"/>
      <c r="E742" s="11">
        <f>E743+E747+E754</f>
        <v>1402.7</v>
      </c>
      <c r="F742" s="11">
        <f>F743+F747+F754</f>
        <v>1315.3000000000002</v>
      </c>
      <c r="G742" s="11">
        <f>G743+G747+G754-0.1</f>
        <v>730.6</v>
      </c>
      <c r="H742" s="177"/>
      <c r="I742" s="178"/>
      <c r="J742" s="178"/>
      <c r="K742" s="178"/>
      <c r="L742" s="178"/>
      <c r="M742" s="178"/>
      <c r="N742" s="178"/>
      <c r="O742" s="178"/>
      <c r="P742" s="178"/>
      <c r="Q742" s="178"/>
      <c r="R742" s="178"/>
      <c r="S742" s="179"/>
    </row>
    <row r="743" spans="1:19" ht="34.5" customHeight="1" thickBot="1" x14ac:dyDescent="0.3">
      <c r="A743" s="12" t="s">
        <v>1355</v>
      </c>
      <c r="B743" s="168" t="s">
        <v>1356</v>
      </c>
      <c r="C743" s="169"/>
      <c r="D743" s="170"/>
      <c r="E743" s="15">
        <f>SUM(E744:E746)</f>
        <v>456.8</v>
      </c>
      <c r="F743" s="15">
        <f>SUM(F744:F746)</f>
        <v>360.7</v>
      </c>
      <c r="G743" s="15">
        <f>SUM(G744:G746)</f>
        <v>304.8</v>
      </c>
      <c r="H743" s="171"/>
      <c r="I743" s="172"/>
      <c r="J743" s="172"/>
      <c r="K743" s="172"/>
      <c r="L743" s="172"/>
      <c r="M743" s="172"/>
      <c r="N743" s="172"/>
      <c r="O743" s="172"/>
      <c r="P743" s="172"/>
      <c r="Q743" s="172"/>
      <c r="R743" s="172"/>
      <c r="S743" s="173"/>
    </row>
    <row r="744" spans="1:19" ht="126" customHeight="1" thickBot="1" x14ac:dyDescent="0.3">
      <c r="A744" s="19" t="s">
        <v>1357</v>
      </c>
      <c r="B744" s="20" t="s">
        <v>1358</v>
      </c>
      <c r="C744" s="21" t="s">
        <v>1296</v>
      </c>
      <c r="D744" s="21" t="s">
        <v>25</v>
      </c>
      <c r="E744" s="33">
        <v>2</v>
      </c>
      <c r="F744" s="33">
        <v>2</v>
      </c>
      <c r="G744" s="33">
        <v>0.8</v>
      </c>
      <c r="H744" s="21" t="s">
        <v>1359</v>
      </c>
      <c r="I744" s="23" t="s">
        <v>653</v>
      </c>
      <c r="J744" s="50">
        <v>5</v>
      </c>
      <c r="K744" s="66">
        <v>10</v>
      </c>
      <c r="L744" s="24" t="s">
        <v>82</v>
      </c>
      <c r="M744" s="24" t="s">
        <v>23</v>
      </c>
      <c r="N744" s="24" t="s">
        <v>82</v>
      </c>
      <c r="O744" s="24" t="s">
        <v>23</v>
      </c>
      <c r="P744" s="24"/>
      <c r="Q744" s="24"/>
      <c r="R744" s="21" t="s">
        <v>1360</v>
      </c>
      <c r="S744" s="25"/>
    </row>
    <row r="745" spans="1:19" ht="211.5" customHeight="1" thickBot="1" x14ac:dyDescent="0.3">
      <c r="A745" s="19" t="s">
        <v>1361</v>
      </c>
      <c r="B745" s="20" t="s">
        <v>1362</v>
      </c>
      <c r="C745" s="21" t="s">
        <v>1296</v>
      </c>
      <c r="D745" s="21" t="s">
        <v>25</v>
      </c>
      <c r="E745" s="33">
        <v>436.6</v>
      </c>
      <c r="F745" s="33">
        <v>340.5</v>
      </c>
      <c r="G745" s="33">
        <v>294.5</v>
      </c>
      <c r="H745" s="21" t="s">
        <v>1363</v>
      </c>
      <c r="I745" s="23" t="s">
        <v>215</v>
      </c>
      <c r="J745" s="50">
        <v>100</v>
      </c>
      <c r="K745" s="66">
        <v>100</v>
      </c>
      <c r="L745" s="24" t="s">
        <v>42</v>
      </c>
      <c r="M745" s="24" t="s">
        <v>23</v>
      </c>
      <c r="N745" s="24" t="s">
        <v>42</v>
      </c>
      <c r="O745" s="24" t="s">
        <v>23</v>
      </c>
      <c r="P745" s="24"/>
      <c r="Q745" s="24"/>
      <c r="R745" s="21" t="s">
        <v>1364</v>
      </c>
      <c r="S745" s="25"/>
    </row>
    <row r="746" spans="1:19" ht="115.5" customHeight="1" thickBot="1" x14ac:dyDescent="0.3">
      <c r="A746" s="19" t="s">
        <v>1365</v>
      </c>
      <c r="B746" s="20" t="s">
        <v>1366</v>
      </c>
      <c r="C746" s="21" t="s">
        <v>1296</v>
      </c>
      <c r="D746" s="21" t="s">
        <v>25</v>
      </c>
      <c r="E746" s="33">
        <v>18.2</v>
      </c>
      <c r="F746" s="33">
        <v>18.2</v>
      </c>
      <c r="G746" s="33">
        <v>9.5</v>
      </c>
      <c r="H746" s="21" t="s">
        <v>1367</v>
      </c>
      <c r="I746" s="23" t="s">
        <v>215</v>
      </c>
      <c r="J746" s="50">
        <v>100</v>
      </c>
      <c r="K746" s="66">
        <v>100</v>
      </c>
      <c r="L746" s="24" t="s">
        <v>42</v>
      </c>
      <c r="M746" s="24" t="s">
        <v>23</v>
      </c>
      <c r="N746" s="24" t="s">
        <v>42</v>
      </c>
      <c r="O746" s="24" t="s">
        <v>23</v>
      </c>
      <c r="P746" s="24"/>
      <c r="Q746" s="24"/>
      <c r="R746" s="21" t="s">
        <v>1368</v>
      </c>
      <c r="S746" s="25"/>
    </row>
    <row r="747" spans="1:19" ht="30.75" customHeight="1" thickBot="1" x14ac:dyDescent="0.3">
      <c r="A747" s="12" t="s">
        <v>1369</v>
      </c>
      <c r="B747" s="168" t="s">
        <v>1370</v>
      </c>
      <c r="C747" s="169"/>
      <c r="D747" s="170"/>
      <c r="E747" s="15">
        <f>E748+E752+E753</f>
        <v>924.7</v>
      </c>
      <c r="F747" s="15">
        <f>F748+F752+F753</f>
        <v>924.7</v>
      </c>
      <c r="G747" s="15">
        <f>G748+G752+G753</f>
        <v>403.1</v>
      </c>
      <c r="H747" s="171"/>
      <c r="I747" s="172"/>
      <c r="J747" s="172"/>
      <c r="K747" s="172"/>
      <c r="L747" s="172"/>
      <c r="M747" s="172"/>
      <c r="N747" s="172"/>
      <c r="O747" s="172"/>
      <c r="P747" s="172"/>
      <c r="Q747" s="172"/>
      <c r="R747" s="172"/>
      <c r="S747" s="173"/>
    </row>
    <row r="748" spans="1:19" ht="38.25" customHeight="1" x14ac:dyDescent="0.25">
      <c r="A748" s="200" t="s">
        <v>1371</v>
      </c>
      <c r="B748" s="187" t="s">
        <v>1372</v>
      </c>
      <c r="C748" s="187" t="s">
        <v>207</v>
      </c>
      <c r="D748" s="51"/>
      <c r="E748" s="52">
        <f>SUM(E749:E751)</f>
        <v>811</v>
      </c>
      <c r="F748" s="52">
        <f>SUM(F749:F751)</f>
        <v>811</v>
      </c>
      <c r="G748" s="52">
        <f>SUM(G749:G751)</f>
        <v>402.5</v>
      </c>
      <c r="H748" s="187" t="s">
        <v>1373</v>
      </c>
      <c r="I748" s="181" t="s">
        <v>653</v>
      </c>
      <c r="J748" s="183">
        <v>6</v>
      </c>
      <c r="K748" s="164" t="s">
        <v>1753</v>
      </c>
      <c r="L748" s="24" t="s">
        <v>82</v>
      </c>
      <c r="M748" s="24" t="s">
        <v>23</v>
      </c>
      <c r="N748" s="24" t="s">
        <v>23</v>
      </c>
      <c r="O748" s="24" t="s">
        <v>23</v>
      </c>
      <c r="P748" s="24"/>
      <c r="Q748" s="24"/>
      <c r="R748" s="187" t="s">
        <v>1374</v>
      </c>
      <c r="S748" s="189" t="s">
        <v>1375</v>
      </c>
    </row>
    <row r="749" spans="1:19" x14ac:dyDescent="0.25">
      <c r="A749" s="201"/>
      <c r="B749" s="203"/>
      <c r="C749" s="203"/>
      <c r="D749" s="28" t="s">
        <v>217</v>
      </c>
      <c r="E749" s="29">
        <v>626.4</v>
      </c>
      <c r="F749" s="29">
        <v>626.4</v>
      </c>
      <c r="G749" s="29">
        <v>219.3</v>
      </c>
      <c r="H749" s="203"/>
      <c r="I749" s="204"/>
      <c r="J749" s="205"/>
      <c r="K749" s="206"/>
      <c r="L749" s="31"/>
      <c r="M749" s="31"/>
      <c r="N749" s="31"/>
      <c r="O749" s="31"/>
      <c r="P749" s="31"/>
      <c r="Q749" s="31"/>
      <c r="R749" s="203"/>
      <c r="S749" s="191"/>
    </row>
    <row r="750" spans="1:19" ht="69" customHeight="1" x14ac:dyDescent="0.25">
      <c r="A750" s="201"/>
      <c r="B750" s="203"/>
      <c r="C750" s="203"/>
      <c r="D750" s="28" t="s">
        <v>25</v>
      </c>
      <c r="E750" s="29">
        <v>89.5</v>
      </c>
      <c r="F750" s="29">
        <v>89.5</v>
      </c>
      <c r="G750" s="29">
        <v>88.1</v>
      </c>
      <c r="H750" s="203"/>
      <c r="I750" s="204"/>
      <c r="J750" s="205"/>
      <c r="K750" s="206"/>
      <c r="L750" s="31"/>
      <c r="M750" s="31"/>
      <c r="N750" s="31"/>
      <c r="O750" s="31"/>
      <c r="P750" s="31"/>
      <c r="Q750" s="31"/>
      <c r="R750" s="203"/>
      <c r="S750" s="191"/>
    </row>
    <row r="751" spans="1:19" ht="69" customHeight="1" thickBot="1" x14ac:dyDescent="0.3">
      <c r="A751" s="202"/>
      <c r="B751" s="188"/>
      <c r="C751" s="188"/>
      <c r="D751" s="28" t="s">
        <v>30</v>
      </c>
      <c r="E751" s="29">
        <v>95.1</v>
      </c>
      <c r="F751" s="29">
        <v>95.1</v>
      </c>
      <c r="G751" s="29">
        <v>95.1</v>
      </c>
      <c r="H751" s="188"/>
      <c r="I751" s="182"/>
      <c r="J751" s="184"/>
      <c r="K751" s="165"/>
      <c r="L751" s="31"/>
      <c r="M751" s="31"/>
      <c r="N751" s="31"/>
      <c r="O751" s="31"/>
      <c r="P751" s="31"/>
      <c r="Q751" s="31"/>
      <c r="R751" s="188"/>
      <c r="S751" s="190"/>
    </row>
    <row r="752" spans="1:19" ht="93.75" customHeight="1" thickBot="1" x14ac:dyDescent="0.3">
      <c r="A752" s="19" t="s">
        <v>1376</v>
      </c>
      <c r="B752" s="20" t="s">
        <v>1377</v>
      </c>
      <c r="C752" s="21" t="s">
        <v>1296</v>
      </c>
      <c r="D752" s="21" t="s">
        <v>192</v>
      </c>
      <c r="E752" s="33">
        <v>1.2</v>
      </c>
      <c r="F752" s="33">
        <v>1.2</v>
      </c>
      <c r="G752" s="33">
        <v>0.6</v>
      </c>
      <c r="H752" s="187" t="s">
        <v>616</v>
      </c>
      <c r="I752" s="181" t="s">
        <v>215</v>
      </c>
      <c r="J752" s="183">
        <v>100</v>
      </c>
      <c r="K752" s="198">
        <v>0</v>
      </c>
      <c r="L752" s="24" t="s">
        <v>42</v>
      </c>
      <c r="M752" s="24" t="s">
        <v>23</v>
      </c>
      <c r="N752" s="24" t="s">
        <v>42</v>
      </c>
      <c r="O752" s="24" t="s">
        <v>23</v>
      </c>
      <c r="P752" s="24"/>
      <c r="Q752" s="24"/>
      <c r="R752" s="21" t="s">
        <v>1378</v>
      </c>
      <c r="S752" s="25" t="s">
        <v>1754</v>
      </c>
    </row>
    <row r="753" spans="1:24" ht="77.25" customHeight="1" thickBot="1" x14ac:dyDescent="0.3">
      <c r="A753" s="19" t="s">
        <v>1379</v>
      </c>
      <c r="B753" s="20" t="s">
        <v>1380</v>
      </c>
      <c r="C753" s="21" t="s">
        <v>1296</v>
      </c>
      <c r="D753" s="21" t="s">
        <v>30</v>
      </c>
      <c r="E753" s="33">
        <v>112.5</v>
      </c>
      <c r="F753" s="33">
        <v>112.5</v>
      </c>
      <c r="G753" s="33">
        <v>0</v>
      </c>
      <c r="H753" s="188"/>
      <c r="I753" s="182"/>
      <c r="J753" s="184"/>
      <c r="K753" s="199"/>
      <c r="L753" s="24" t="s">
        <v>23</v>
      </c>
      <c r="M753" s="24" t="s">
        <v>23</v>
      </c>
      <c r="N753" s="24" t="s">
        <v>82</v>
      </c>
      <c r="O753" s="24" t="s">
        <v>23</v>
      </c>
      <c r="P753" s="24"/>
      <c r="Q753" s="24"/>
      <c r="R753" s="21" t="s">
        <v>1381</v>
      </c>
      <c r="S753" s="25" t="s">
        <v>1382</v>
      </c>
    </row>
    <row r="754" spans="1:24" ht="30.75" thickBot="1" x14ac:dyDescent="0.3">
      <c r="A754" s="12" t="s">
        <v>1383</v>
      </c>
      <c r="B754" s="168" t="s">
        <v>1384</v>
      </c>
      <c r="C754" s="169"/>
      <c r="D754" s="170"/>
      <c r="E754" s="15">
        <f>SUM(E755:E755)</f>
        <v>21.2</v>
      </c>
      <c r="F754" s="15">
        <f>SUM(F755:F755)</f>
        <v>29.9</v>
      </c>
      <c r="G754" s="15">
        <f>SUM(G755:G755)</f>
        <v>22.799999999999997</v>
      </c>
      <c r="H754" s="171"/>
      <c r="I754" s="172"/>
      <c r="J754" s="172"/>
      <c r="K754" s="172"/>
      <c r="L754" s="172"/>
      <c r="M754" s="172"/>
      <c r="N754" s="172"/>
      <c r="O754" s="172"/>
      <c r="P754" s="172"/>
      <c r="Q754" s="172"/>
      <c r="R754" s="172"/>
      <c r="S754" s="173"/>
    </row>
    <row r="755" spans="1:24" ht="39" customHeight="1" x14ac:dyDescent="0.25">
      <c r="A755" s="200" t="s">
        <v>1385</v>
      </c>
      <c r="B755" s="187" t="s">
        <v>1386</v>
      </c>
      <c r="C755" s="187" t="s">
        <v>1296</v>
      </c>
      <c r="D755" s="51"/>
      <c r="E755" s="52">
        <f>SUM(E756:E757)</f>
        <v>21.2</v>
      </c>
      <c r="F755" s="52">
        <f>SUM(F756:F757)</f>
        <v>29.9</v>
      </c>
      <c r="G755" s="52">
        <f>SUM(G756:G757)</f>
        <v>22.799999999999997</v>
      </c>
      <c r="H755" s="187" t="s">
        <v>616</v>
      </c>
      <c r="I755" s="181" t="s">
        <v>215</v>
      </c>
      <c r="J755" s="183">
        <v>100</v>
      </c>
      <c r="K755" s="164">
        <v>100</v>
      </c>
      <c r="L755" s="24" t="s">
        <v>42</v>
      </c>
      <c r="M755" s="24" t="s">
        <v>23</v>
      </c>
      <c r="N755" s="24" t="s">
        <v>42</v>
      </c>
      <c r="O755" s="24" t="s">
        <v>23</v>
      </c>
      <c r="P755" s="24"/>
      <c r="Q755" s="24"/>
      <c r="R755" s="187" t="s">
        <v>1387</v>
      </c>
      <c r="S755" s="189" t="s">
        <v>1755</v>
      </c>
    </row>
    <row r="756" spans="1:24" ht="31.5" customHeight="1" x14ac:dyDescent="0.25">
      <c r="A756" s="201"/>
      <c r="B756" s="203"/>
      <c r="C756" s="203"/>
      <c r="D756" s="28" t="s">
        <v>1114</v>
      </c>
      <c r="E756" s="29">
        <v>21.2</v>
      </c>
      <c r="F756" s="29">
        <v>21.2</v>
      </c>
      <c r="G756" s="29">
        <v>14.1</v>
      </c>
      <c r="H756" s="203"/>
      <c r="I756" s="204"/>
      <c r="J756" s="205"/>
      <c r="K756" s="206"/>
      <c r="L756" s="31"/>
      <c r="M756" s="31"/>
      <c r="N756" s="31"/>
      <c r="O756" s="31"/>
      <c r="P756" s="31"/>
      <c r="Q756" s="31"/>
      <c r="R756" s="203"/>
      <c r="S756" s="191"/>
    </row>
    <row r="757" spans="1:24" ht="81" customHeight="1" thickBot="1" x14ac:dyDescent="0.3">
      <c r="A757" s="202"/>
      <c r="B757" s="188"/>
      <c r="C757" s="188"/>
      <c r="D757" s="28" t="s">
        <v>201</v>
      </c>
      <c r="E757" s="29">
        <v>0</v>
      </c>
      <c r="F757" s="29">
        <v>8.6999999999999993</v>
      </c>
      <c r="G757" s="29">
        <v>8.6999999999999993</v>
      </c>
      <c r="H757" s="188"/>
      <c r="I757" s="182"/>
      <c r="J757" s="184"/>
      <c r="K757" s="165"/>
      <c r="L757" s="31"/>
      <c r="M757" s="31"/>
      <c r="N757" s="31"/>
      <c r="O757" s="31"/>
      <c r="P757" s="31"/>
      <c r="Q757" s="31"/>
      <c r="R757" s="188"/>
      <c r="S757" s="190"/>
    </row>
    <row r="758" spans="1:24" ht="42" customHeight="1" thickBot="1" x14ac:dyDescent="0.3">
      <c r="A758" s="8" t="s">
        <v>1388</v>
      </c>
      <c r="B758" s="174" t="s">
        <v>1389</v>
      </c>
      <c r="C758" s="175"/>
      <c r="D758" s="176"/>
      <c r="E758" s="11">
        <f t="shared" ref="E758:G759" si="4">SUM(E759:E759)</f>
        <v>220</v>
      </c>
      <c r="F758" s="11">
        <f t="shared" si="4"/>
        <v>186.7</v>
      </c>
      <c r="G758" s="11">
        <f t="shared" si="4"/>
        <v>186.7</v>
      </c>
      <c r="H758" s="177"/>
      <c r="I758" s="178"/>
      <c r="J758" s="178"/>
      <c r="K758" s="178"/>
      <c r="L758" s="178"/>
      <c r="M758" s="178"/>
      <c r="N758" s="178"/>
      <c r="O758" s="178"/>
      <c r="P758" s="178"/>
      <c r="Q758" s="178"/>
      <c r="R758" s="178"/>
      <c r="S758" s="179"/>
    </row>
    <row r="759" spans="1:24" ht="37.5" customHeight="1" thickBot="1" x14ac:dyDescent="0.3">
      <c r="A759" s="12" t="s">
        <v>1390</v>
      </c>
      <c r="B759" s="168" t="s">
        <v>1391</v>
      </c>
      <c r="C759" s="169"/>
      <c r="D759" s="170"/>
      <c r="E759" s="15">
        <f t="shared" si="4"/>
        <v>220</v>
      </c>
      <c r="F759" s="15">
        <f t="shared" si="4"/>
        <v>186.7</v>
      </c>
      <c r="G759" s="15">
        <f t="shared" si="4"/>
        <v>186.7</v>
      </c>
      <c r="H759" s="171"/>
      <c r="I759" s="172"/>
      <c r="J759" s="172"/>
      <c r="K759" s="172"/>
      <c r="L759" s="172"/>
      <c r="M759" s="172"/>
      <c r="N759" s="172"/>
      <c r="O759" s="172"/>
      <c r="P759" s="172"/>
      <c r="Q759" s="172"/>
      <c r="R759" s="172"/>
      <c r="S759" s="173"/>
    </row>
    <row r="760" spans="1:24" ht="105.75" thickBot="1" x14ac:dyDescent="0.3">
      <c r="A760" s="19" t="s">
        <v>1392</v>
      </c>
      <c r="B760" s="20" t="s">
        <v>1393</v>
      </c>
      <c r="C760" s="21" t="s">
        <v>1184</v>
      </c>
      <c r="D760" s="21" t="s">
        <v>25</v>
      </c>
      <c r="E760" s="33">
        <v>220</v>
      </c>
      <c r="F760" s="33">
        <v>186.7</v>
      </c>
      <c r="G760" s="33">
        <v>186.7</v>
      </c>
      <c r="H760" s="21" t="s">
        <v>1394</v>
      </c>
      <c r="I760" s="23" t="s">
        <v>653</v>
      </c>
      <c r="J760" s="50">
        <v>1000</v>
      </c>
      <c r="K760" s="67">
        <v>852</v>
      </c>
      <c r="L760" s="24" t="s">
        <v>954</v>
      </c>
      <c r="M760" s="24" t="s">
        <v>23</v>
      </c>
      <c r="N760" s="24" t="s">
        <v>954</v>
      </c>
      <c r="O760" s="24" t="s">
        <v>23</v>
      </c>
      <c r="P760" s="24"/>
      <c r="Q760" s="24"/>
      <c r="R760" s="21"/>
      <c r="S760" s="25" t="s">
        <v>1756</v>
      </c>
    </row>
    <row r="761" spans="1:24" ht="24" customHeight="1" thickBot="1" x14ac:dyDescent="0.3">
      <c r="A761" s="4" t="s">
        <v>1395</v>
      </c>
      <c r="B761" s="195" t="s">
        <v>1396</v>
      </c>
      <c r="C761" s="196"/>
      <c r="D761" s="197"/>
      <c r="E761" s="7">
        <f>E762+E813+E828</f>
        <v>12628.4</v>
      </c>
      <c r="F761" s="7">
        <f>F762+F813+F828</f>
        <v>14399.599999999999</v>
      </c>
      <c r="G761" s="7">
        <f>G762+G813+G828</f>
        <v>13353.8</v>
      </c>
      <c r="H761" s="192"/>
      <c r="I761" s="193"/>
      <c r="J761" s="193"/>
      <c r="K761" s="193"/>
      <c r="L761" s="193"/>
      <c r="M761" s="193"/>
      <c r="N761" s="193"/>
      <c r="O761" s="193"/>
      <c r="P761" s="193"/>
      <c r="Q761" s="193"/>
      <c r="R761" s="193"/>
      <c r="S761" s="194"/>
    </row>
    <row r="762" spans="1:24" ht="69" customHeight="1" thickBot="1" x14ac:dyDescent="0.3">
      <c r="A762" s="8" t="s">
        <v>1398</v>
      </c>
      <c r="B762" s="174" t="s">
        <v>1399</v>
      </c>
      <c r="C762" s="175"/>
      <c r="D762" s="176"/>
      <c r="E762" s="11">
        <f>E763+E778+E802+E811-0.1</f>
        <v>8214.6</v>
      </c>
      <c r="F762" s="11">
        <f>F763+F778+F802+F811-0.1</f>
        <v>8286.6999999999989</v>
      </c>
      <c r="G762" s="11">
        <f>G763+G778+G802+G811</f>
        <v>7197.9000000000005</v>
      </c>
      <c r="H762" s="177"/>
      <c r="I762" s="178"/>
      <c r="J762" s="178"/>
      <c r="K762" s="178"/>
      <c r="L762" s="178"/>
      <c r="M762" s="178"/>
      <c r="N762" s="178"/>
      <c r="O762" s="178"/>
      <c r="P762" s="178"/>
      <c r="Q762" s="178"/>
      <c r="R762" s="178"/>
      <c r="S762" s="179"/>
      <c r="V762" s="110"/>
      <c r="W762" s="111" t="s">
        <v>1</v>
      </c>
      <c r="X762" s="111" t="s">
        <v>1813</v>
      </c>
    </row>
    <row r="763" spans="1:24" ht="58.5" customHeight="1" thickBot="1" x14ac:dyDescent="0.3">
      <c r="A763" s="12" t="s">
        <v>1400</v>
      </c>
      <c r="B763" s="168" t="s">
        <v>1401</v>
      </c>
      <c r="C763" s="169"/>
      <c r="D763" s="170"/>
      <c r="E763" s="15">
        <f>E764+E775+E777</f>
        <v>7010.6</v>
      </c>
      <c r="F763" s="15">
        <f>F764+F775+F777</f>
        <v>7057.2</v>
      </c>
      <c r="G763" s="15">
        <f>G764+G775+G777+0.1</f>
        <v>6381.0000000000009</v>
      </c>
      <c r="H763" s="59"/>
      <c r="I763" s="61"/>
      <c r="J763" s="61"/>
      <c r="K763" s="61"/>
      <c r="L763" s="61"/>
      <c r="M763" s="61"/>
      <c r="N763" s="61"/>
      <c r="O763" s="61"/>
      <c r="P763" s="61"/>
      <c r="Q763" s="61"/>
      <c r="R763" s="90"/>
      <c r="S763" s="18"/>
      <c r="V763" s="117"/>
      <c r="W763" s="112" t="s">
        <v>1814</v>
      </c>
      <c r="X763" s="113">
        <v>33</v>
      </c>
    </row>
    <row r="764" spans="1:24" ht="117" customHeight="1" x14ac:dyDescent="0.25">
      <c r="A764" s="200" t="s">
        <v>1402</v>
      </c>
      <c r="B764" s="187" t="s">
        <v>1403</v>
      </c>
      <c r="C764" s="187" t="s">
        <v>1404</v>
      </c>
      <c r="D764" s="51"/>
      <c r="E764" s="52">
        <f>SUM(E765:E774)</f>
        <v>6179.2000000000007</v>
      </c>
      <c r="F764" s="52">
        <f>SUM(F765:F774)</f>
        <v>6225.8</v>
      </c>
      <c r="G764" s="52">
        <f>SUM(G765:G774)</f>
        <v>5612.6</v>
      </c>
      <c r="H764" s="21" t="s">
        <v>1405</v>
      </c>
      <c r="I764" s="23" t="s">
        <v>21</v>
      </c>
      <c r="J764" s="50">
        <v>3</v>
      </c>
      <c r="K764" s="66">
        <v>6</v>
      </c>
      <c r="L764" s="24" t="s">
        <v>82</v>
      </c>
      <c r="M764" s="24" t="s">
        <v>23</v>
      </c>
      <c r="N764" s="24" t="s">
        <v>82</v>
      </c>
      <c r="O764" s="24" t="s">
        <v>23</v>
      </c>
      <c r="P764" s="24"/>
      <c r="Q764" s="24"/>
      <c r="R764" s="21" t="s">
        <v>1757</v>
      </c>
      <c r="S764" s="25"/>
      <c r="V764" s="118"/>
      <c r="W764" s="112" t="s">
        <v>1815</v>
      </c>
      <c r="X764" s="113">
        <v>6</v>
      </c>
    </row>
    <row r="765" spans="1:24" ht="45.75" customHeight="1" x14ac:dyDescent="0.25">
      <c r="A765" s="201"/>
      <c r="B765" s="203"/>
      <c r="C765" s="203"/>
      <c r="D765" s="28" t="s">
        <v>175</v>
      </c>
      <c r="E765" s="29">
        <v>1</v>
      </c>
      <c r="F765" s="29">
        <v>1</v>
      </c>
      <c r="G765" s="29">
        <v>0.4</v>
      </c>
      <c r="H765" s="28" t="s">
        <v>1406</v>
      </c>
      <c r="I765" s="30" t="s">
        <v>21</v>
      </c>
      <c r="J765" s="62">
        <v>300</v>
      </c>
      <c r="K765" s="65">
        <v>330</v>
      </c>
      <c r="L765" s="31" t="s">
        <v>867</v>
      </c>
      <c r="M765" s="31" t="s">
        <v>23</v>
      </c>
      <c r="N765" s="31" t="s">
        <v>867</v>
      </c>
      <c r="O765" s="31" t="s">
        <v>23</v>
      </c>
      <c r="P765" s="31"/>
      <c r="Q765" s="31"/>
      <c r="R765" s="28" t="s">
        <v>1758</v>
      </c>
      <c r="S765" s="32"/>
      <c r="V765" s="116"/>
      <c r="W765" s="112" t="s">
        <v>1816</v>
      </c>
      <c r="X765" s="113"/>
    </row>
    <row r="766" spans="1:24" ht="54" customHeight="1" x14ac:dyDescent="0.25">
      <c r="A766" s="201"/>
      <c r="B766" s="203"/>
      <c r="C766" s="203"/>
      <c r="D766" s="28" t="s">
        <v>201</v>
      </c>
      <c r="E766" s="29">
        <v>0</v>
      </c>
      <c r="F766" s="29">
        <v>32</v>
      </c>
      <c r="G766" s="29">
        <v>31.7</v>
      </c>
      <c r="H766" s="28" t="s">
        <v>1407</v>
      </c>
      <c r="I766" s="30" t="s">
        <v>653</v>
      </c>
      <c r="J766" s="62">
        <v>172</v>
      </c>
      <c r="K766" s="65">
        <v>178</v>
      </c>
      <c r="L766" s="31" t="s">
        <v>1408</v>
      </c>
      <c r="M766" s="31" t="s">
        <v>23</v>
      </c>
      <c r="N766" s="31" t="s">
        <v>1408</v>
      </c>
      <c r="O766" s="31" t="s">
        <v>23</v>
      </c>
      <c r="P766" s="31"/>
      <c r="Q766" s="31"/>
      <c r="R766" s="28" t="s">
        <v>1759</v>
      </c>
      <c r="S766" s="32"/>
      <c r="V766" s="114"/>
      <c r="W766" s="119" t="s">
        <v>1817</v>
      </c>
      <c r="X766" s="115">
        <v>39</v>
      </c>
    </row>
    <row r="767" spans="1:24" ht="40.5" customHeight="1" x14ac:dyDescent="0.25">
      <c r="A767" s="201"/>
      <c r="B767" s="203"/>
      <c r="C767" s="203"/>
      <c r="D767" s="28" t="s">
        <v>25</v>
      </c>
      <c r="E767" s="29">
        <v>5928.1</v>
      </c>
      <c r="F767" s="29">
        <v>5942.7</v>
      </c>
      <c r="G767" s="29">
        <v>5535.7</v>
      </c>
      <c r="H767" s="28" t="s">
        <v>1409</v>
      </c>
      <c r="I767" s="30" t="s">
        <v>21</v>
      </c>
      <c r="J767" s="62">
        <v>1</v>
      </c>
      <c r="K767" s="65">
        <v>1</v>
      </c>
      <c r="L767" s="31" t="s">
        <v>22</v>
      </c>
      <c r="M767" s="31" t="s">
        <v>23</v>
      </c>
      <c r="N767" s="31" t="s">
        <v>22</v>
      </c>
      <c r="O767" s="31" t="s">
        <v>23</v>
      </c>
      <c r="P767" s="31"/>
      <c r="Q767" s="31"/>
      <c r="R767" s="28" t="s">
        <v>1760</v>
      </c>
      <c r="S767" s="32"/>
    </row>
    <row r="768" spans="1:24" ht="108.75" customHeight="1" x14ac:dyDescent="0.25">
      <c r="A768" s="201"/>
      <c r="B768" s="203"/>
      <c r="C768" s="203"/>
      <c r="D768" s="28" t="s">
        <v>30</v>
      </c>
      <c r="E768" s="29">
        <v>250.1</v>
      </c>
      <c r="F768" s="29">
        <v>250.1</v>
      </c>
      <c r="G768" s="29">
        <v>44.8</v>
      </c>
      <c r="H768" s="28" t="s">
        <v>1410</v>
      </c>
      <c r="I768" s="30" t="s">
        <v>215</v>
      </c>
      <c r="J768" s="62">
        <v>100</v>
      </c>
      <c r="K768" s="65">
        <v>100</v>
      </c>
      <c r="L768" s="31" t="s">
        <v>42</v>
      </c>
      <c r="M768" s="31" t="s">
        <v>23</v>
      </c>
      <c r="N768" s="31" t="s">
        <v>42</v>
      </c>
      <c r="O768" s="31" t="s">
        <v>23</v>
      </c>
      <c r="P768" s="31"/>
      <c r="Q768" s="31"/>
      <c r="R768" s="28" t="s">
        <v>1411</v>
      </c>
      <c r="S768" s="32"/>
    </row>
    <row r="769" spans="1:19" ht="315" customHeight="1" x14ac:dyDescent="0.25">
      <c r="A769" s="201"/>
      <c r="B769" s="203"/>
      <c r="C769" s="203"/>
      <c r="D769" s="214"/>
      <c r="E769" s="270"/>
      <c r="F769" s="270"/>
      <c r="G769" s="270"/>
      <c r="H769" s="28" t="s">
        <v>1412</v>
      </c>
      <c r="I769" s="30" t="s">
        <v>653</v>
      </c>
      <c r="J769" s="62">
        <v>250</v>
      </c>
      <c r="K769" s="68">
        <v>205</v>
      </c>
      <c r="L769" s="31" t="s">
        <v>1225</v>
      </c>
      <c r="M769" s="31" t="s">
        <v>23</v>
      </c>
      <c r="N769" s="31" t="s">
        <v>1225</v>
      </c>
      <c r="O769" s="31" t="s">
        <v>23</v>
      </c>
      <c r="P769" s="31"/>
      <c r="Q769" s="31"/>
      <c r="R769" s="28" t="s">
        <v>1413</v>
      </c>
      <c r="S769" s="32" t="s">
        <v>1761</v>
      </c>
    </row>
    <row r="770" spans="1:19" ht="35.25" customHeight="1" x14ac:dyDescent="0.25">
      <c r="A770" s="201"/>
      <c r="B770" s="203"/>
      <c r="C770" s="203"/>
      <c r="D770" s="204"/>
      <c r="E770" s="271"/>
      <c r="F770" s="271"/>
      <c r="G770" s="271"/>
      <c r="H770" s="28" t="s">
        <v>1414</v>
      </c>
      <c r="I770" s="30" t="s">
        <v>21</v>
      </c>
      <c r="J770" s="62">
        <v>5</v>
      </c>
      <c r="K770" s="65">
        <v>22</v>
      </c>
      <c r="L770" s="31" t="s">
        <v>82</v>
      </c>
      <c r="M770" s="31" t="s">
        <v>23</v>
      </c>
      <c r="N770" s="31"/>
      <c r="O770" s="31"/>
      <c r="P770" s="31"/>
      <c r="Q770" s="31"/>
      <c r="R770" s="28" t="s">
        <v>1762</v>
      </c>
      <c r="S770" s="32"/>
    </row>
    <row r="771" spans="1:19" ht="39" customHeight="1" x14ac:dyDescent="0.25">
      <c r="A771" s="201"/>
      <c r="B771" s="203"/>
      <c r="C771" s="203"/>
      <c r="D771" s="204"/>
      <c r="E771" s="271"/>
      <c r="F771" s="271"/>
      <c r="G771" s="271"/>
      <c r="H771" s="28" t="s">
        <v>1415</v>
      </c>
      <c r="I771" s="30" t="s">
        <v>21</v>
      </c>
      <c r="J771" s="62">
        <v>15</v>
      </c>
      <c r="K771" s="65">
        <v>84</v>
      </c>
      <c r="L771" s="31" t="s">
        <v>244</v>
      </c>
      <c r="M771" s="31" t="s">
        <v>23</v>
      </c>
      <c r="N771" s="31" t="s">
        <v>244</v>
      </c>
      <c r="O771" s="31" t="s">
        <v>23</v>
      </c>
      <c r="P771" s="31"/>
      <c r="Q771" s="31"/>
      <c r="R771" s="28" t="s">
        <v>1763</v>
      </c>
      <c r="S771" s="32"/>
    </row>
    <row r="772" spans="1:19" ht="73.5" customHeight="1" x14ac:dyDescent="0.25">
      <c r="A772" s="201"/>
      <c r="B772" s="203"/>
      <c r="C772" s="203"/>
      <c r="D772" s="204"/>
      <c r="E772" s="271"/>
      <c r="F772" s="271"/>
      <c r="G772" s="271"/>
      <c r="H772" s="28" t="s">
        <v>1416</v>
      </c>
      <c r="I772" s="30" t="s">
        <v>653</v>
      </c>
      <c r="J772" s="62">
        <v>93</v>
      </c>
      <c r="K772" s="68">
        <v>86</v>
      </c>
      <c r="L772" s="31" t="s">
        <v>1417</v>
      </c>
      <c r="M772" s="31" t="s">
        <v>23</v>
      </c>
      <c r="N772" s="31" t="s">
        <v>1417</v>
      </c>
      <c r="O772" s="31" t="s">
        <v>23</v>
      </c>
      <c r="P772" s="31"/>
      <c r="Q772" s="31"/>
      <c r="R772" s="28" t="s">
        <v>1764</v>
      </c>
      <c r="S772" s="32"/>
    </row>
    <row r="773" spans="1:19" ht="58.5" customHeight="1" x14ac:dyDescent="0.25">
      <c r="A773" s="201"/>
      <c r="B773" s="203"/>
      <c r="C773" s="203"/>
      <c r="D773" s="204"/>
      <c r="E773" s="271"/>
      <c r="F773" s="271"/>
      <c r="G773" s="271"/>
      <c r="H773" s="28" t="s">
        <v>1418</v>
      </c>
      <c r="I773" s="30" t="s">
        <v>21</v>
      </c>
      <c r="J773" s="62">
        <v>2</v>
      </c>
      <c r="K773" s="65">
        <v>2</v>
      </c>
      <c r="L773" s="31"/>
      <c r="M773" s="31"/>
      <c r="N773" s="31"/>
      <c r="O773" s="31"/>
      <c r="P773" s="31"/>
      <c r="Q773" s="31"/>
      <c r="R773" s="28" t="s">
        <v>1765</v>
      </c>
      <c r="S773" s="32"/>
    </row>
    <row r="774" spans="1:19" ht="409.5" customHeight="1" thickBot="1" x14ac:dyDescent="0.3">
      <c r="A774" s="202"/>
      <c r="B774" s="188"/>
      <c r="C774" s="188"/>
      <c r="D774" s="182"/>
      <c r="E774" s="274"/>
      <c r="F774" s="274"/>
      <c r="G774" s="274"/>
      <c r="H774" s="28" t="s">
        <v>1419</v>
      </c>
      <c r="I774" s="30" t="s">
        <v>21</v>
      </c>
      <c r="J774" s="62">
        <v>1</v>
      </c>
      <c r="K774" s="65">
        <v>1</v>
      </c>
      <c r="L774" s="31"/>
      <c r="M774" s="31"/>
      <c r="N774" s="31"/>
      <c r="O774" s="31"/>
      <c r="P774" s="31"/>
      <c r="Q774" s="31"/>
      <c r="R774" s="28" t="s">
        <v>1420</v>
      </c>
      <c r="S774" s="32"/>
    </row>
    <row r="775" spans="1:19" ht="42" customHeight="1" x14ac:dyDescent="0.25">
      <c r="A775" s="200" t="s">
        <v>1421</v>
      </c>
      <c r="B775" s="187" t="s">
        <v>1422</v>
      </c>
      <c r="C775" s="187" t="s">
        <v>1404</v>
      </c>
      <c r="D775" s="187" t="s">
        <v>25</v>
      </c>
      <c r="E775" s="207">
        <f>SUM(E776:E776)+548.4</f>
        <v>548.4</v>
      </c>
      <c r="F775" s="207">
        <f>SUM(F776:F776)+548.4</f>
        <v>548.4</v>
      </c>
      <c r="G775" s="207">
        <f>SUM(G776:G776)+486.7</f>
        <v>486.7</v>
      </c>
      <c r="H775" s="21" t="s">
        <v>1423</v>
      </c>
      <c r="I775" s="23" t="s">
        <v>21</v>
      </c>
      <c r="J775" s="50">
        <v>31</v>
      </c>
      <c r="K775" s="66">
        <v>31</v>
      </c>
      <c r="L775" s="24" t="s">
        <v>836</v>
      </c>
      <c r="M775" s="24" t="s">
        <v>23</v>
      </c>
      <c r="N775" s="24" t="s">
        <v>836</v>
      </c>
      <c r="O775" s="24" t="s">
        <v>23</v>
      </c>
      <c r="P775" s="24"/>
      <c r="Q775" s="24"/>
      <c r="R775" s="21"/>
      <c r="S775" s="25"/>
    </row>
    <row r="776" spans="1:19" ht="45.75" customHeight="1" thickBot="1" x14ac:dyDescent="0.3">
      <c r="A776" s="202"/>
      <c r="B776" s="188"/>
      <c r="C776" s="188"/>
      <c r="D776" s="188"/>
      <c r="E776" s="208"/>
      <c r="F776" s="208"/>
      <c r="G776" s="208"/>
      <c r="H776" s="28" t="s">
        <v>1424</v>
      </c>
      <c r="I776" s="30" t="s">
        <v>21</v>
      </c>
      <c r="J776" s="62">
        <v>8</v>
      </c>
      <c r="K776" s="65">
        <v>8</v>
      </c>
      <c r="L776" s="31" t="s">
        <v>128</v>
      </c>
      <c r="M776" s="31" t="s">
        <v>23</v>
      </c>
      <c r="N776" s="31" t="s">
        <v>128</v>
      </c>
      <c r="O776" s="31" t="s">
        <v>23</v>
      </c>
      <c r="P776" s="31"/>
      <c r="Q776" s="31"/>
      <c r="R776" s="28"/>
      <c r="S776" s="32"/>
    </row>
    <row r="777" spans="1:19" ht="75.75" thickBot="1" x14ac:dyDescent="0.3">
      <c r="A777" s="19" t="s">
        <v>1425</v>
      </c>
      <c r="B777" s="20" t="s">
        <v>1426</v>
      </c>
      <c r="C777" s="21" t="s">
        <v>1427</v>
      </c>
      <c r="D777" s="21" t="s">
        <v>25</v>
      </c>
      <c r="E777" s="33">
        <v>283</v>
      </c>
      <c r="F777" s="33">
        <v>283</v>
      </c>
      <c r="G777" s="33">
        <v>281.60000000000002</v>
      </c>
      <c r="H777" s="21" t="s">
        <v>1308</v>
      </c>
      <c r="I777" s="23" t="s">
        <v>21</v>
      </c>
      <c r="J777" s="50">
        <v>10</v>
      </c>
      <c r="K777" s="66">
        <v>10</v>
      </c>
      <c r="L777" s="24" t="s">
        <v>89</v>
      </c>
      <c r="M777" s="24" t="s">
        <v>23</v>
      </c>
      <c r="N777" s="24" t="s">
        <v>89</v>
      </c>
      <c r="O777" s="24" t="s">
        <v>23</v>
      </c>
      <c r="P777" s="24"/>
      <c r="Q777" s="24"/>
      <c r="R777" s="21"/>
      <c r="S777" s="25"/>
    </row>
    <row r="778" spans="1:19" ht="45.75" customHeight="1" thickBot="1" x14ac:dyDescent="0.3">
      <c r="A778" s="12" t="s">
        <v>1428</v>
      </c>
      <c r="B778" s="168" t="s">
        <v>1429</v>
      </c>
      <c r="C778" s="169"/>
      <c r="D778" s="170"/>
      <c r="E778" s="15">
        <f>E779+E780+E781+E782+E783+E784+E785+E786+E787+E788+E789+E790+E791+E792+E793+E794+E795+E796+E799+E801+0.1</f>
        <v>410.5</v>
      </c>
      <c r="F778" s="15">
        <f>F779+F780+F781+F782+F783+F784+F785+F786+F787+F788+F789+F790+F791+F792+F793+F794+F795+F796+F799+F801+0.1</f>
        <v>436.00000000000006</v>
      </c>
      <c r="G778" s="15">
        <f>G779+G780+G781+G782+G783+G784+G785+G786+G787+G788+G789+G790+G791+G792+G793+G794+G795+G796+G799+G801</f>
        <v>429.4</v>
      </c>
      <c r="H778" s="171"/>
      <c r="I778" s="172"/>
      <c r="J778" s="172"/>
      <c r="K778" s="172"/>
      <c r="L778" s="172"/>
      <c r="M778" s="172"/>
      <c r="N778" s="172"/>
      <c r="O778" s="172"/>
      <c r="P778" s="172"/>
      <c r="Q778" s="172"/>
      <c r="R778" s="172"/>
      <c r="S778" s="173"/>
    </row>
    <row r="779" spans="1:19" ht="45.75" thickBot="1" x14ac:dyDescent="0.3">
      <c r="A779" s="19" t="s">
        <v>1430</v>
      </c>
      <c r="B779" s="20" t="s">
        <v>1431</v>
      </c>
      <c r="C779" s="21" t="s">
        <v>1397</v>
      </c>
      <c r="D779" s="21" t="s">
        <v>1114</v>
      </c>
      <c r="E779" s="33">
        <v>15.5</v>
      </c>
      <c r="F779" s="33">
        <v>15.5</v>
      </c>
      <c r="G779" s="33">
        <v>15.5</v>
      </c>
      <c r="H779" s="92" t="s">
        <v>1769</v>
      </c>
      <c r="I779" s="93" t="s">
        <v>215</v>
      </c>
      <c r="J779" s="94">
        <v>100</v>
      </c>
      <c r="K779" s="95" t="s">
        <v>1716</v>
      </c>
      <c r="L779" s="24"/>
      <c r="M779" s="24"/>
      <c r="N779" s="24"/>
      <c r="O779" s="24"/>
      <c r="P779" s="24"/>
      <c r="Q779" s="24"/>
      <c r="R779" s="21"/>
      <c r="S779" s="25"/>
    </row>
    <row r="780" spans="1:19" ht="45.75" thickBot="1" x14ac:dyDescent="0.3">
      <c r="A780" s="19" t="s">
        <v>1432</v>
      </c>
      <c r="B780" s="20" t="s">
        <v>1433</v>
      </c>
      <c r="C780" s="21" t="s">
        <v>1397</v>
      </c>
      <c r="D780" s="21" t="s">
        <v>1114</v>
      </c>
      <c r="E780" s="33">
        <v>1</v>
      </c>
      <c r="F780" s="33">
        <v>1</v>
      </c>
      <c r="G780" s="33">
        <v>1</v>
      </c>
      <c r="H780" s="92" t="s">
        <v>1769</v>
      </c>
      <c r="I780" s="93" t="s">
        <v>215</v>
      </c>
      <c r="J780" s="94">
        <v>100</v>
      </c>
      <c r="K780" s="95" t="s">
        <v>1716</v>
      </c>
      <c r="L780" s="24"/>
      <c r="M780" s="24"/>
      <c r="N780" s="24"/>
      <c r="O780" s="24"/>
      <c r="P780" s="24"/>
      <c r="Q780" s="24"/>
      <c r="R780" s="21"/>
      <c r="S780" s="25"/>
    </row>
    <row r="781" spans="1:19" ht="32.25" thickBot="1" x14ac:dyDescent="0.3">
      <c r="A781" s="19" t="s">
        <v>1434</v>
      </c>
      <c r="B781" s="20" t="s">
        <v>1435</v>
      </c>
      <c r="C781" s="21" t="s">
        <v>1436</v>
      </c>
      <c r="D781" s="21" t="s">
        <v>1114</v>
      </c>
      <c r="E781" s="33">
        <v>29</v>
      </c>
      <c r="F781" s="33">
        <v>29</v>
      </c>
      <c r="G781" s="33">
        <v>29</v>
      </c>
      <c r="H781" s="92" t="s">
        <v>1769</v>
      </c>
      <c r="I781" s="93" t="s">
        <v>215</v>
      </c>
      <c r="J781" s="94">
        <v>100</v>
      </c>
      <c r="K781" s="95" t="s">
        <v>1716</v>
      </c>
      <c r="L781" s="24"/>
      <c r="M781" s="24"/>
      <c r="N781" s="24"/>
      <c r="O781" s="24"/>
      <c r="P781" s="24"/>
      <c r="Q781" s="24"/>
      <c r="R781" s="21"/>
      <c r="S781" s="25"/>
    </row>
    <row r="782" spans="1:19" ht="60.75" thickBot="1" x14ac:dyDescent="0.3">
      <c r="A782" s="19" t="s">
        <v>1437</v>
      </c>
      <c r="B782" s="20" t="s">
        <v>1438</v>
      </c>
      <c r="C782" s="21" t="s">
        <v>523</v>
      </c>
      <c r="D782" s="21" t="s">
        <v>201</v>
      </c>
      <c r="E782" s="33">
        <v>0</v>
      </c>
      <c r="F782" s="33">
        <v>0</v>
      </c>
      <c r="G782" s="33">
        <v>0</v>
      </c>
      <c r="H782" s="92" t="s">
        <v>1769</v>
      </c>
      <c r="I782" s="93" t="s">
        <v>215</v>
      </c>
      <c r="J782" s="94">
        <v>100</v>
      </c>
      <c r="K782" s="95" t="s">
        <v>1716</v>
      </c>
      <c r="L782" s="24"/>
      <c r="M782" s="24"/>
      <c r="N782" s="24"/>
      <c r="O782" s="24"/>
      <c r="P782" s="24"/>
      <c r="Q782" s="24"/>
      <c r="R782" s="21"/>
      <c r="S782" s="25"/>
    </row>
    <row r="783" spans="1:19" ht="45.75" thickBot="1" x14ac:dyDescent="0.3">
      <c r="A783" s="19" t="s">
        <v>1439</v>
      </c>
      <c r="B783" s="20" t="s">
        <v>1440</v>
      </c>
      <c r="C783" s="21" t="s">
        <v>1441</v>
      </c>
      <c r="D783" s="21" t="s">
        <v>1114</v>
      </c>
      <c r="E783" s="33">
        <v>55.8</v>
      </c>
      <c r="F783" s="33">
        <v>55.8</v>
      </c>
      <c r="G783" s="33">
        <v>55.8</v>
      </c>
      <c r="H783" s="92" t="s">
        <v>1769</v>
      </c>
      <c r="I783" s="93" t="s">
        <v>215</v>
      </c>
      <c r="J783" s="94">
        <v>100</v>
      </c>
      <c r="K783" s="95" t="s">
        <v>1716</v>
      </c>
      <c r="L783" s="24"/>
      <c r="M783" s="24"/>
      <c r="N783" s="24"/>
      <c r="O783" s="24"/>
      <c r="P783" s="24"/>
      <c r="Q783" s="24"/>
      <c r="R783" s="21"/>
      <c r="S783" s="25"/>
    </row>
    <row r="784" spans="1:19" ht="45.75" thickBot="1" x14ac:dyDescent="0.3">
      <c r="A784" s="19" t="s">
        <v>1442</v>
      </c>
      <c r="B784" s="20" t="s">
        <v>1443</v>
      </c>
      <c r="C784" s="21" t="s">
        <v>1397</v>
      </c>
      <c r="D784" s="21" t="s">
        <v>1114</v>
      </c>
      <c r="E784" s="33">
        <v>1.7</v>
      </c>
      <c r="F784" s="33">
        <v>1.7</v>
      </c>
      <c r="G784" s="33">
        <v>1.7</v>
      </c>
      <c r="H784" s="92" t="s">
        <v>1769</v>
      </c>
      <c r="I784" s="93" t="s">
        <v>215</v>
      </c>
      <c r="J784" s="94">
        <v>100</v>
      </c>
      <c r="K784" s="95" t="s">
        <v>1716</v>
      </c>
      <c r="L784" s="24"/>
      <c r="M784" s="24"/>
      <c r="N784" s="24"/>
      <c r="O784" s="24"/>
      <c r="P784" s="24"/>
      <c r="Q784" s="24"/>
      <c r="R784" s="21"/>
      <c r="S784" s="25"/>
    </row>
    <row r="785" spans="1:19" ht="45.75" thickBot="1" x14ac:dyDescent="0.3">
      <c r="A785" s="19" t="s">
        <v>1444</v>
      </c>
      <c r="B785" s="20" t="s">
        <v>1445</v>
      </c>
      <c r="C785" s="21" t="s">
        <v>107</v>
      </c>
      <c r="D785" s="21" t="s">
        <v>1114</v>
      </c>
      <c r="E785" s="33">
        <v>15.2</v>
      </c>
      <c r="F785" s="33">
        <v>15.2</v>
      </c>
      <c r="G785" s="33">
        <v>15.2</v>
      </c>
      <c r="H785" s="92" t="s">
        <v>1769</v>
      </c>
      <c r="I785" s="93" t="s">
        <v>215</v>
      </c>
      <c r="J785" s="94">
        <v>100</v>
      </c>
      <c r="K785" s="95" t="s">
        <v>1716</v>
      </c>
      <c r="L785" s="24"/>
      <c r="M785" s="24"/>
      <c r="N785" s="24"/>
      <c r="O785" s="24"/>
      <c r="P785" s="24"/>
      <c r="Q785" s="24"/>
      <c r="R785" s="21"/>
      <c r="S785" s="25"/>
    </row>
    <row r="786" spans="1:19" ht="32.25" thickBot="1" x14ac:dyDescent="0.3">
      <c r="A786" s="19" t="s">
        <v>1446</v>
      </c>
      <c r="B786" s="20" t="s">
        <v>1447</v>
      </c>
      <c r="C786" s="21" t="s">
        <v>107</v>
      </c>
      <c r="D786" s="21" t="s">
        <v>1114</v>
      </c>
      <c r="E786" s="33">
        <v>20.2</v>
      </c>
      <c r="F786" s="33">
        <v>23.1</v>
      </c>
      <c r="G786" s="33">
        <v>23.1</v>
      </c>
      <c r="H786" s="92" t="s">
        <v>1769</v>
      </c>
      <c r="I786" s="93" t="s">
        <v>215</v>
      </c>
      <c r="J786" s="94">
        <v>100</v>
      </c>
      <c r="K786" s="95" t="s">
        <v>1716</v>
      </c>
      <c r="L786" s="24"/>
      <c r="M786" s="24"/>
      <c r="N786" s="24"/>
      <c r="O786" s="24"/>
      <c r="P786" s="24"/>
      <c r="Q786" s="24"/>
      <c r="R786" s="21"/>
      <c r="S786" s="25"/>
    </row>
    <row r="787" spans="1:19" ht="45.75" thickBot="1" x14ac:dyDescent="0.3">
      <c r="A787" s="19" t="s">
        <v>1448</v>
      </c>
      <c r="B787" s="20" t="s">
        <v>1449</v>
      </c>
      <c r="C787" s="21" t="s">
        <v>1397</v>
      </c>
      <c r="D787" s="21" t="s">
        <v>1114</v>
      </c>
      <c r="E787" s="33">
        <v>75.400000000000006</v>
      </c>
      <c r="F787" s="33">
        <v>75.400000000000006</v>
      </c>
      <c r="G787" s="33">
        <v>75.400000000000006</v>
      </c>
      <c r="H787" s="92" t="s">
        <v>1769</v>
      </c>
      <c r="I787" s="93" t="s">
        <v>215</v>
      </c>
      <c r="J787" s="94">
        <v>100</v>
      </c>
      <c r="K787" s="95" t="s">
        <v>1716</v>
      </c>
      <c r="L787" s="24"/>
      <c r="M787" s="24"/>
      <c r="N787" s="24"/>
      <c r="O787" s="24"/>
      <c r="P787" s="24"/>
      <c r="Q787" s="24"/>
      <c r="R787" s="21"/>
      <c r="S787" s="25"/>
    </row>
    <row r="788" spans="1:19" ht="60.75" thickBot="1" x14ac:dyDescent="0.3">
      <c r="A788" s="19" t="s">
        <v>1450</v>
      </c>
      <c r="B788" s="20" t="s">
        <v>1451</v>
      </c>
      <c r="C788" s="21" t="s">
        <v>354</v>
      </c>
      <c r="D788" s="21" t="s">
        <v>1114</v>
      </c>
      <c r="E788" s="33">
        <v>16.3</v>
      </c>
      <c r="F788" s="33">
        <v>16.3</v>
      </c>
      <c r="G788" s="33">
        <v>16.3</v>
      </c>
      <c r="H788" s="92" t="s">
        <v>1769</v>
      </c>
      <c r="I788" s="93" t="s">
        <v>215</v>
      </c>
      <c r="J788" s="94">
        <v>100</v>
      </c>
      <c r="K788" s="95" t="s">
        <v>1716</v>
      </c>
      <c r="L788" s="24"/>
      <c r="M788" s="24"/>
      <c r="N788" s="24"/>
      <c r="O788" s="24"/>
      <c r="P788" s="24"/>
      <c r="Q788" s="24"/>
      <c r="R788" s="21"/>
      <c r="S788" s="25"/>
    </row>
    <row r="789" spans="1:19" ht="60.75" thickBot="1" x14ac:dyDescent="0.3">
      <c r="A789" s="19" t="s">
        <v>1452</v>
      </c>
      <c r="B789" s="20" t="s">
        <v>1453</v>
      </c>
      <c r="C789" s="21" t="s">
        <v>354</v>
      </c>
      <c r="D789" s="21" t="s">
        <v>1114</v>
      </c>
      <c r="E789" s="33">
        <v>41.7</v>
      </c>
      <c r="F789" s="33">
        <v>41.7</v>
      </c>
      <c r="G789" s="33">
        <v>41.7</v>
      </c>
      <c r="H789" s="92" t="s">
        <v>1769</v>
      </c>
      <c r="I789" s="93" t="s">
        <v>215</v>
      </c>
      <c r="J789" s="94">
        <v>100</v>
      </c>
      <c r="K789" s="95" t="s">
        <v>1716</v>
      </c>
      <c r="L789" s="24"/>
      <c r="M789" s="24"/>
      <c r="N789" s="24"/>
      <c r="O789" s="24"/>
      <c r="P789" s="24"/>
      <c r="Q789" s="24"/>
      <c r="R789" s="21"/>
      <c r="S789" s="25"/>
    </row>
    <row r="790" spans="1:19" ht="60.75" thickBot="1" x14ac:dyDescent="0.3">
      <c r="A790" s="19" t="s">
        <v>1454</v>
      </c>
      <c r="B790" s="20" t="s">
        <v>1455</v>
      </c>
      <c r="C790" s="21" t="s">
        <v>257</v>
      </c>
      <c r="D790" s="21" t="s">
        <v>1114</v>
      </c>
      <c r="E790" s="33">
        <v>7</v>
      </c>
      <c r="F790" s="33">
        <v>7</v>
      </c>
      <c r="G790" s="33">
        <v>7</v>
      </c>
      <c r="H790" s="92" t="s">
        <v>1769</v>
      </c>
      <c r="I790" s="93" t="s">
        <v>215</v>
      </c>
      <c r="J790" s="94">
        <v>100</v>
      </c>
      <c r="K790" s="95" t="s">
        <v>1716</v>
      </c>
      <c r="L790" s="24"/>
      <c r="M790" s="24"/>
      <c r="N790" s="24"/>
      <c r="O790" s="24"/>
      <c r="P790" s="24"/>
      <c r="Q790" s="24"/>
      <c r="R790" s="21"/>
      <c r="S790" s="25"/>
    </row>
    <row r="791" spans="1:19" ht="45.75" thickBot="1" x14ac:dyDescent="0.3">
      <c r="A791" s="19" t="s">
        <v>1456</v>
      </c>
      <c r="B791" s="20" t="s">
        <v>1457</v>
      </c>
      <c r="C791" s="21" t="s">
        <v>1184</v>
      </c>
      <c r="D791" s="21" t="s">
        <v>1114</v>
      </c>
      <c r="E791" s="33">
        <v>4.7</v>
      </c>
      <c r="F791" s="33">
        <v>4.7</v>
      </c>
      <c r="G791" s="33">
        <v>4.4000000000000004</v>
      </c>
      <c r="H791" s="92" t="s">
        <v>1769</v>
      </c>
      <c r="I791" s="93" t="s">
        <v>215</v>
      </c>
      <c r="J791" s="94">
        <v>100</v>
      </c>
      <c r="K791" s="95" t="s">
        <v>1716</v>
      </c>
      <c r="L791" s="24"/>
      <c r="M791" s="24"/>
      <c r="N791" s="24"/>
      <c r="O791" s="24"/>
      <c r="P791" s="24"/>
      <c r="Q791" s="24"/>
      <c r="R791" s="21"/>
      <c r="S791" s="25"/>
    </row>
    <row r="792" spans="1:19" ht="75.75" thickBot="1" x14ac:dyDescent="0.3">
      <c r="A792" s="19" t="s">
        <v>1458</v>
      </c>
      <c r="B792" s="20" t="s">
        <v>1459</v>
      </c>
      <c r="C792" s="21" t="s">
        <v>1296</v>
      </c>
      <c r="D792" s="21" t="s">
        <v>1114</v>
      </c>
      <c r="E792" s="33">
        <v>17</v>
      </c>
      <c r="F792" s="33">
        <v>17</v>
      </c>
      <c r="G792" s="33">
        <v>14.6</v>
      </c>
      <c r="H792" s="92" t="s">
        <v>1769</v>
      </c>
      <c r="I792" s="93" t="s">
        <v>215</v>
      </c>
      <c r="J792" s="94">
        <v>100</v>
      </c>
      <c r="K792" s="95" t="s">
        <v>1716</v>
      </c>
      <c r="L792" s="24"/>
      <c r="M792" s="24"/>
      <c r="N792" s="24"/>
      <c r="O792" s="24"/>
      <c r="P792" s="24"/>
      <c r="Q792" s="24"/>
      <c r="R792" s="21"/>
      <c r="S792" s="25"/>
    </row>
    <row r="793" spans="1:19" ht="75.75" thickBot="1" x14ac:dyDescent="0.3">
      <c r="A793" s="19" t="s">
        <v>1460</v>
      </c>
      <c r="B793" s="20" t="s">
        <v>1461</v>
      </c>
      <c r="C793" s="21" t="s">
        <v>1296</v>
      </c>
      <c r="D793" s="21" t="s">
        <v>1114</v>
      </c>
      <c r="E793" s="33">
        <v>0.1</v>
      </c>
      <c r="F793" s="33">
        <v>0.1</v>
      </c>
      <c r="G793" s="33">
        <v>0</v>
      </c>
      <c r="H793" s="92" t="s">
        <v>1769</v>
      </c>
      <c r="I793" s="93" t="s">
        <v>215</v>
      </c>
      <c r="J793" s="94">
        <v>100</v>
      </c>
      <c r="K793" s="95" t="s">
        <v>1716</v>
      </c>
      <c r="L793" s="24"/>
      <c r="M793" s="24"/>
      <c r="N793" s="24"/>
      <c r="O793" s="24"/>
      <c r="P793" s="24"/>
      <c r="Q793" s="24"/>
      <c r="R793" s="21"/>
      <c r="S793" s="25"/>
    </row>
    <row r="794" spans="1:19" ht="45.75" thickBot="1" x14ac:dyDescent="0.3">
      <c r="A794" s="19" t="s">
        <v>1462</v>
      </c>
      <c r="B794" s="20" t="s">
        <v>1463</v>
      </c>
      <c r="C794" s="21" t="s">
        <v>1184</v>
      </c>
      <c r="D794" s="21" t="s">
        <v>1114</v>
      </c>
      <c r="E794" s="33">
        <v>26.4</v>
      </c>
      <c r="F794" s="33">
        <v>30.4</v>
      </c>
      <c r="G794" s="33">
        <v>26.9</v>
      </c>
      <c r="H794" s="92" t="s">
        <v>1769</v>
      </c>
      <c r="I794" s="93" t="s">
        <v>215</v>
      </c>
      <c r="J794" s="94">
        <v>100</v>
      </c>
      <c r="K794" s="95" t="s">
        <v>1716</v>
      </c>
      <c r="L794" s="24"/>
      <c r="M794" s="24"/>
      <c r="N794" s="24"/>
      <c r="O794" s="24"/>
      <c r="P794" s="24"/>
      <c r="Q794" s="24"/>
      <c r="R794" s="21"/>
      <c r="S794" s="25"/>
    </row>
    <row r="795" spans="1:19" ht="75.75" thickBot="1" x14ac:dyDescent="0.3">
      <c r="A795" s="19" t="s">
        <v>1464</v>
      </c>
      <c r="B795" s="20" t="s">
        <v>1465</v>
      </c>
      <c r="C795" s="21" t="s">
        <v>1296</v>
      </c>
      <c r="D795" s="21" t="s">
        <v>1114</v>
      </c>
      <c r="E795" s="33">
        <v>25.7</v>
      </c>
      <c r="F795" s="33">
        <v>44</v>
      </c>
      <c r="G795" s="33">
        <v>44</v>
      </c>
      <c r="H795" s="96" t="s">
        <v>1769</v>
      </c>
      <c r="I795" s="97" t="s">
        <v>215</v>
      </c>
      <c r="J795" s="98">
        <v>100</v>
      </c>
      <c r="K795" s="99" t="s">
        <v>1716</v>
      </c>
      <c r="L795" s="24"/>
      <c r="M795" s="24"/>
      <c r="N795" s="24"/>
      <c r="O795" s="24"/>
      <c r="P795" s="24"/>
      <c r="Q795" s="24"/>
      <c r="R795" s="21"/>
      <c r="S795" s="25"/>
    </row>
    <row r="796" spans="1:19" ht="21.75" customHeight="1" x14ac:dyDescent="0.25">
      <c r="A796" s="200" t="s">
        <v>1466</v>
      </c>
      <c r="B796" s="187" t="s">
        <v>1467</v>
      </c>
      <c r="C796" s="187" t="s">
        <v>1296</v>
      </c>
      <c r="D796" s="51"/>
      <c r="E796" s="52">
        <f>SUM(E797:E798)</f>
        <v>0.8</v>
      </c>
      <c r="F796" s="52">
        <f>SUM(F797:F798)</f>
        <v>1.1000000000000001</v>
      </c>
      <c r="G796" s="52">
        <f>SUM(G797:G798)</f>
        <v>0.89999999999999991</v>
      </c>
      <c r="H796" s="312" t="s">
        <v>1769</v>
      </c>
      <c r="I796" s="313" t="s">
        <v>215</v>
      </c>
      <c r="J796" s="314">
        <v>100</v>
      </c>
      <c r="K796" s="315" t="s">
        <v>1716</v>
      </c>
      <c r="L796" s="24"/>
      <c r="M796" s="24"/>
      <c r="N796" s="24"/>
      <c r="O796" s="24"/>
      <c r="P796" s="24"/>
      <c r="Q796" s="24"/>
      <c r="R796" s="181"/>
      <c r="S796" s="209"/>
    </row>
    <row r="797" spans="1:19" ht="39" customHeight="1" x14ac:dyDescent="0.25">
      <c r="A797" s="201"/>
      <c r="B797" s="203"/>
      <c r="C797" s="203"/>
      <c r="D797" s="28" t="s">
        <v>1114</v>
      </c>
      <c r="E797" s="29">
        <v>0.8</v>
      </c>
      <c r="F797" s="29">
        <v>0.8</v>
      </c>
      <c r="G797" s="29">
        <v>0.6</v>
      </c>
      <c r="H797" s="312"/>
      <c r="I797" s="313"/>
      <c r="J797" s="314"/>
      <c r="K797" s="315"/>
      <c r="L797" s="31"/>
      <c r="M797" s="31"/>
      <c r="N797" s="31"/>
      <c r="O797" s="31"/>
      <c r="P797" s="31"/>
      <c r="Q797" s="31"/>
      <c r="R797" s="204"/>
      <c r="S797" s="219"/>
    </row>
    <row r="798" spans="1:19" ht="52.5" customHeight="1" thickBot="1" x14ac:dyDescent="0.3">
      <c r="A798" s="202"/>
      <c r="B798" s="188"/>
      <c r="C798" s="188"/>
      <c r="D798" s="28" t="s">
        <v>201</v>
      </c>
      <c r="E798" s="29">
        <v>0</v>
      </c>
      <c r="F798" s="29">
        <v>0.3</v>
      </c>
      <c r="G798" s="29">
        <v>0.3</v>
      </c>
      <c r="H798" s="312"/>
      <c r="I798" s="313"/>
      <c r="J798" s="314"/>
      <c r="K798" s="315"/>
      <c r="L798" s="31"/>
      <c r="M798" s="31"/>
      <c r="N798" s="31"/>
      <c r="O798" s="31"/>
      <c r="P798" s="31"/>
      <c r="Q798" s="31"/>
      <c r="R798" s="182"/>
      <c r="S798" s="157"/>
    </row>
    <row r="799" spans="1:19" ht="33" customHeight="1" x14ac:dyDescent="0.25">
      <c r="A799" s="200" t="s">
        <v>1468</v>
      </c>
      <c r="B799" s="187" t="s">
        <v>1469</v>
      </c>
      <c r="C799" s="187" t="s">
        <v>1043</v>
      </c>
      <c r="D799" s="187" t="s">
        <v>1114</v>
      </c>
      <c r="E799" s="207">
        <f>SUM(E800:E800)+14.7</f>
        <v>14.7</v>
      </c>
      <c r="F799" s="207">
        <f>SUM(F800:F800)+14.7</f>
        <v>14.7</v>
      </c>
      <c r="G799" s="207">
        <f>SUM(G800:G800)+14.7</f>
        <v>14.7</v>
      </c>
      <c r="H799" s="85" t="s">
        <v>1470</v>
      </c>
      <c r="I799" s="84" t="s">
        <v>21</v>
      </c>
      <c r="J799" s="86">
        <v>50</v>
      </c>
      <c r="K799" s="100">
        <v>14</v>
      </c>
      <c r="L799" s="24" t="s">
        <v>237</v>
      </c>
      <c r="M799" s="24" t="s">
        <v>23</v>
      </c>
      <c r="N799" s="24" t="s">
        <v>237</v>
      </c>
      <c r="O799" s="24" t="s">
        <v>23</v>
      </c>
      <c r="P799" s="24"/>
      <c r="Q799" s="24"/>
      <c r="R799" s="187" t="s">
        <v>1471</v>
      </c>
      <c r="S799" s="25" t="s">
        <v>1472</v>
      </c>
    </row>
    <row r="800" spans="1:19" ht="42" customHeight="1" thickBot="1" x14ac:dyDescent="0.3">
      <c r="A800" s="202"/>
      <c r="B800" s="188"/>
      <c r="C800" s="188"/>
      <c r="D800" s="188"/>
      <c r="E800" s="208"/>
      <c r="F800" s="208"/>
      <c r="G800" s="208"/>
      <c r="H800" s="28" t="s">
        <v>1473</v>
      </c>
      <c r="I800" s="30" t="s">
        <v>21</v>
      </c>
      <c r="J800" s="62">
        <v>10</v>
      </c>
      <c r="K800" s="64">
        <v>0</v>
      </c>
      <c r="L800" s="31" t="s">
        <v>89</v>
      </c>
      <c r="M800" s="31" t="s">
        <v>23</v>
      </c>
      <c r="N800" s="31" t="s">
        <v>89</v>
      </c>
      <c r="O800" s="31" t="s">
        <v>23</v>
      </c>
      <c r="P800" s="31"/>
      <c r="Q800" s="31"/>
      <c r="R800" s="188"/>
      <c r="S800" s="32" t="s">
        <v>1474</v>
      </c>
    </row>
    <row r="801" spans="1:19" ht="53.25" customHeight="1" thickBot="1" x14ac:dyDescent="0.3">
      <c r="A801" s="19" t="s">
        <v>1475</v>
      </c>
      <c r="B801" s="20" t="s">
        <v>1476</v>
      </c>
      <c r="C801" s="21" t="s">
        <v>1477</v>
      </c>
      <c r="D801" s="21" t="s">
        <v>1114</v>
      </c>
      <c r="E801" s="33">
        <v>42.2</v>
      </c>
      <c r="F801" s="33">
        <v>42.2</v>
      </c>
      <c r="G801" s="33">
        <v>42.2</v>
      </c>
      <c r="H801" s="21" t="s">
        <v>1478</v>
      </c>
      <c r="I801" s="23" t="s">
        <v>215</v>
      </c>
      <c r="J801" s="50">
        <v>100</v>
      </c>
      <c r="K801" s="66">
        <v>100</v>
      </c>
      <c r="L801" s="24" t="s">
        <v>42</v>
      </c>
      <c r="M801" s="24" t="s">
        <v>23</v>
      </c>
      <c r="N801" s="24" t="s">
        <v>42</v>
      </c>
      <c r="O801" s="24" t="s">
        <v>23</v>
      </c>
      <c r="P801" s="24"/>
      <c r="Q801" s="24"/>
      <c r="R801" s="21"/>
      <c r="S801" s="25" t="s">
        <v>1479</v>
      </c>
    </row>
    <row r="802" spans="1:19" ht="39" customHeight="1" thickBot="1" x14ac:dyDescent="0.3">
      <c r="A802" s="12" t="s">
        <v>1480</v>
      </c>
      <c r="B802" s="168" t="s">
        <v>1481</v>
      </c>
      <c r="C802" s="169"/>
      <c r="D802" s="170"/>
      <c r="E802" s="15">
        <f>E803+E805+E809</f>
        <v>726.7</v>
      </c>
      <c r="F802" s="15">
        <f>F803+F805+F809</f>
        <v>726.7</v>
      </c>
      <c r="G802" s="15">
        <f>G803+G805+G809</f>
        <v>337.09999999999997</v>
      </c>
      <c r="H802" s="171"/>
      <c r="I802" s="172"/>
      <c r="J802" s="172"/>
      <c r="K802" s="172"/>
      <c r="L802" s="172"/>
      <c r="M802" s="172"/>
      <c r="N802" s="172"/>
      <c r="O802" s="172"/>
      <c r="P802" s="172"/>
      <c r="Q802" s="172"/>
      <c r="R802" s="172"/>
      <c r="S802" s="173"/>
    </row>
    <row r="803" spans="1:19" ht="246.75" customHeight="1" x14ac:dyDescent="0.25">
      <c r="A803" s="200" t="s">
        <v>1482</v>
      </c>
      <c r="B803" s="158" t="s">
        <v>1483</v>
      </c>
      <c r="C803" s="187" t="s">
        <v>1397</v>
      </c>
      <c r="D803" s="181"/>
      <c r="E803" s="261">
        <f>SUM(E804:E804)</f>
        <v>0</v>
      </c>
      <c r="F803" s="261">
        <f>SUM(F804:F804)</f>
        <v>0</v>
      </c>
      <c r="G803" s="261">
        <f>SUM(G804:G804)</f>
        <v>0</v>
      </c>
      <c r="H803" s="158" t="s">
        <v>1484</v>
      </c>
      <c r="I803" s="181" t="s">
        <v>215</v>
      </c>
      <c r="J803" s="183">
        <v>15</v>
      </c>
      <c r="K803" s="164" t="s">
        <v>1785</v>
      </c>
      <c r="L803" s="24" t="s">
        <v>244</v>
      </c>
      <c r="M803" s="24" t="s">
        <v>23</v>
      </c>
      <c r="N803" s="24" t="s">
        <v>427</v>
      </c>
      <c r="O803" s="24" t="s">
        <v>23</v>
      </c>
      <c r="P803" s="24"/>
      <c r="Q803" s="24"/>
      <c r="R803" s="187" t="s">
        <v>1786</v>
      </c>
      <c r="S803" s="247" t="s">
        <v>1787</v>
      </c>
    </row>
    <row r="804" spans="1:19" ht="123" customHeight="1" thickBot="1" x14ac:dyDescent="0.3">
      <c r="A804" s="202"/>
      <c r="B804" s="159"/>
      <c r="C804" s="188"/>
      <c r="D804" s="182"/>
      <c r="E804" s="262"/>
      <c r="F804" s="262"/>
      <c r="G804" s="262"/>
      <c r="H804" s="159"/>
      <c r="I804" s="182"/>
      <c r="J804" s="184"/>
      <c r="K804" s="165"/>
      <c r="L804" s="31" t="s">
        <v>23</v>
      </c>
      <c r="M804" s="31" t="s">
        <v>23</v>
      </c>
      <c r="N804" s="31" t="s">
        <v>23</v>
      </c>
      <c r="O804" s="31" t="s">
        <v>23</v>
      </c>
      <c r="P804" s="31"/>
      <c r="Q804" s="31"/>
      <c r="R804" s="188"/>
      <c r="S804" s="248"/>
    </row>
    <row r="805" spans="1:19" ht="39.75" customHeight="1" x14ac:dyDescent="0.25">
      <c r="A805" s="200" t="s">
        <v>1485</v>
      </c>
      <c r="B805" s="187" t="s">
        <v>1486</v>
      </c>
      <c r="C805" s="187" t="s">
        <v>207</v>
      </c>
      <c r="D805" s="51"/>
      <c r="E805" s="52">
        <f>SUM(E806:E808)</f>
        <v>506.90000000000003</v>
      </c>
      <c r="F805" s="52">
        <f>SUM(F806:F808)</f>
        <v>506.90000000000003</v>
      </c>
      <c r="G805" s="52">
        <f>SUM(G806:G808)</f>
        <v>180.39999999999998</v>
      </c>
      <c r="H805" s="187" t="s">
        <v>1487</v>
      </c>
      <c r="I805" s="181" t="s">
        <v>21</v>
      </c>
      <c r="J805" s="183">
        <v>12</v>
      </c>
      <c r="K805" s="164">
        <v>12</v>
      </c>
      <c r="L805" s="24" t="s">
        <v>52</v>
      </c>
      <c r="M805" s="24" t="s">
        <v>23</v>
      </c>
      <c r="N805" s="24"/>
      <c r="O805" s="24"/>
      <c r="P805" s="24"/>
      <c r="Q805" s="24"/>
      <c r="R805" s="187" t="s">
        <v>1488</v>
      </c>
      <c r="S805" s="189"/>
    </row>
    <row r="806" spans="1:19" x14ac:dyDescent="0.25">
      <c r="A806" s="201"/>
      <c r="B806" s="203"/>
      <c r="C806" s="203"/>
      <c r="D806" s="28" t="s">
        <v>217</v>
      </c>
      <c r="E806" s="29">
        <v>415.8</v>
      </c>
      <c r="F806" s="29">
        <v>415.8</v>
      </c>
      <c r="G806" s="29">
        <v>122</v>
      </c>
      <c r="H806" s="203"/>
      <c r="I806" s="204"/>
      <c r="J806" s="205"/>
      <c r="K806" s="206"/>
      <c r="L806" s="31"/>
      <c r="M806" s="31"/>
      <c r="N806" s="31"/>
      <c r="O806" s="31"/>
      <c r="P806" s="31"/>
      <c r="Q806" s="31"/>
      <c r="R806" s="203"/>
      <c r="S806" s="191"/>
    </row>
    <row r="807" spans="1:19" x14ac:dyDescent="0.25">
      <c r="A807" s="201"/>
      <c r="B807" s="203"/>
      <c r="C807" s="203"/>
      <c r="D807" s="28" t="s">
        <v>25</v>
      </c>
      <c r="E807" s="29">
        <v>33.1</v>
      </c>
      <c r="F807" s="29">
        <v>33.1</v>
      </c>
      <c r="G807" s="29">
        <v>9.6999999999999993</v>
      </c>
      <c r="H807" s="203"/>
      <c r="I807" s="204"/>
      <c r="J807" s="205"/>
      <c r="K807" s="206"/>
      <c r="L807" s="31"/>
      <c r="M807" s="31"/>
      <c r="N807" s="31"/>
      <c r="O807" s="31"/>
      <c r="P807" s="31"/>
      <c r="Q807" s="31"/>
      <c r="R807" s="203"/>
      <c r="S807" s="191"/>
    </row>
    <row r="808" spans="1:19" ht="15.75" thickBot="1" x14ac:dyDescent="0.3">
      <c r="A808" s="202"/>
      <c r="B808" s="188"/>
      <c r="C808" s="188"/>
      <c r="D808" s="28" t="s">
        <v>30</v>
      </c>
      <c r="E808" s="29">
        <v>58</v>
      </c>
      <c r="F808" s="29">
        <v>58</v>
      </c>
      <c r="G808" s="29">
        <v>48.7</v>
      </c>
      <c r="H808" s="188"/>
      <c r="I808" s="182"/>
      <c r="J808" s="184"/>
      <c r="K808" s="165"/>
      <c r="L808" s="31"/>
      <c r="M808" s="31"/>
      <c r="N808" s="31"/>
      <c r="O808" s="31"/>
      <c r="P808" s="31"/>
      <c r="Q808" s="31"/>
      <c r="R808" s="188"/>
      <c r="S808" s="190"/>
    </row>
    <row r="809" spans="1:19" ht="29.25" customHeight="1" x14ac:dyDescent="0.25">
      <c r="A809" s="200" t="s">
        <v>1489</v>
      </c>
      <c r="B809" s="187" t="s">
        <v>1490</v>
      </c>
      <c r="C809" s="187" t="s">
        <v>207</v>
      </c>
      <c r="D809" s="51"/>
      <c r="E809" s="52">
        <f>SUM(E810:E810)</f>
        <v>219.8</v>
      </c>
      <c r="F809" s="52">
        <f>SUM(F810:F810)</f>
        <v>219.8</v>
      </c>
      <c r="G809" s="52">
        <f>SUM(G810:G810)</f>
        <v>156.69999999999999</v>
      </c>
      <c r="H809" s="187" t="s">
        <v>1491</v>
      </c>
      <c r="I809" s="181" t="s">
        <v>21</v>
      </c>
      <c r="J809" s="183">
        <v>1</v>
      </c>
      <c r="K809" s="164">
        <v>1</v>
      </c>
      <c r="L809" s="24" t="s">
        <v>23</v>
      </c>
      <c r="M809" s="24" t="s">
        <v>23</v>
      </c>
      <c r="N809" s="24" t="s">
        <v>23</v>
      </c>
      <c r="O809" s="24" t="s">
        <v>23</v>
      </c>
      <c r="P809" s="24"/>
      <c r="Q809" s="24"/>
      <c r="R809" s="187" t="s">
        <v>1492</v>
      </c>
      <c r="S809" s="189"/>
    </row>
    <row r="810" spans="1:19" ht="63.75" customHeight="1" thickBot="1" x14ac:dyDescent="0.3">
      <c r="A810" s="202"/>
      <c r="B810" s="188"/>
      <c r="C810" s="188"/>
      <c r="D810" s="28" t="s">
        <v>30</v>
      </c>
      <c r="E810" s="29">
        <v>219.8</v>
      </c>
      <c r="F810" s="29">
        <v>219.8</v>
      </c>
      <c r="G810" s="29">
        <v>156.69999999999999</v>
      </c>
      <c r="H810" s="188"/>
      <c r="I810" s="182"/>
      <c r="J810" s="184"/>
      <c r="K810" s="165"/>
      <c r="L810" s="31"/>
      <c r="M810" s="31"/>
      <c r="N810" s="31"/>
      <c r="O810" s="31"/>
      <c r="P810" s="31"/>
      <c r="Q810" s="31"/>
      <c r="R810" s="188"/>
      <c r="S810" s="190"/>
    </row>
    <row r="811" spans="1:19" ht="40.5" customHeight="1" thickBot="1" x14ac:dyDescent="0.3">
      <c r="A811" s="12" t="s">
        <v>1493</v>
      </c>
      <c r="B811" s="168" t="s">
        <v>1494</v>
      </c>
      <c r="C811" s="169"/>
      <c r="D811" s="170"/>
      <c r="E811" s="15">
        <f>SUM(E812:E812)</f>
        <v>66.900000000000006</v>
      </c>
      <c r="F811" s="15">
        <f>SUM(F812:F812)</f>
        <v>66.900000000000006</v>
      </c>
      <c r="G811" s="15">
        <f>SUM(G812:G812)</f>
        <v>50.4</v>
      </c>
      <c r="H811" s="171"/>
      <c r="I811" s="172"/>
      <c r="J811" s="172"/>
      <c r="K811" s="172"/>
      <c r="L811" s="172"/>
      <c r="M811" s="172"/>
      <c r="N811" s="172"/>
      <c r="O811" s="172"/>
      <c r="P811" s="172"/>
      <c r="Q811" s="172"/>
      <c r="R811" s="172"/>
      <c r="S811" s="173"/>
    </row>
    <row r="812" spans="1:19" ht="90.75" thickBot="1" x14ac:dyDescent="0.3">
      <c r="A812" s="19" t="s">
        <v>1495</v>
      </c>
      <c r="B812" s="20" t="s">
        <v>1496</v>
      </c>
      <c r="C812" s="21" t="s">
        <v>399</v>
      </c>
      <c r="D812" s="21" t="s">
        <v>25</v>
      </c>
      <c r="E812" s="33">
        <v>66.900000000000006</v>
      </c>
      <c r="F812" s="33">
        <v>66.900000000000006</v>
      </c>
      <c r="G812" s="33">
        <v>50.4</v>
      </c>
      <c r="H812" s="21" t="s">
        <v>1497</v>
      </c>
      <c r="I812" s="23" t="s">
        <v>215</v>
      </c>
      <c r="J812" s="50">
        <v>100</v>
      </c>
      <c r="K812" s="67">
        <v>68</v>
      </c>
      <c r="L812" s="24" t="s">
        <v>42</v>
      </c>
      <c r="M812" s="24" t="s">
        <v>23</v>
      </c>
      <c r="N812" s="24" t="s">
        <v>42</v>
      </c>
      <c r="O812" s="24" t="s">
        <v>23</v>
      </c>
      <c r="P812" s="24"/>
      <c r="Q812" s="24"/>
      <c r="R812" s="21" t="s">
        <v>1498</v>
      </c>
      <c r="S812" s="25" t="s">
        <v>1770</v>
      </c>
    </row>
    <row r="813" spans="1:19" ht="31.5" customHeight="1" thickBot="1" x14ac:dyDescent="0.3">
      <c r="A813" s="8" t="s">
        <v>1499</v>
      </c>
      <c r="B813" s="177" t="s">
        <v>1500</v>
      </c>
      <c r="C813" s="178"/>
      <c r="D813" s="180"/>
      <c r="E813" s="11">
        <f>E814+E818</f>
        <v>237.30000000000004</v>
      </c>
      <c r="F813" s="11">
        <f>F814+F818</f>
        <v>238.4</v>
      </c>
      <c r="G813" s="11">
        <f>G814+G818+0.1</f>
        <v>193.89999999999998</v>
      </c>
      <c r="H813" s="177"/>
      <c r="I813" s="178"/>
      <c r="J813" s="178"/>
      <c r="K813" s="178"/>
      <c r="L813" s="178"/>
      <c r="M813" s="178"/>
      <c r="N813" s="178"/>
      <c r="O813" s="178"/>
      <c r="P813" s="178"/>
      <c r="Q813" s="178"/>
      <c r="R813" s="178"/>
      <c r="S813" s="179"/>
    </row>
    <row r="814" spans="1:19" ht="45" customHeight="1" thickBot="1" x14ac:dyDescent="0.3">
      <c r="A814" s="12" t="s">
        <v>1501</v>
      </c>
      <c r="B814" s="168" t="s">
        <v>1502</v>
      </c>
      <c r="C814" s="169"/>
      <c r="D814" s="170"/>
      <c r="E814" s="15">
        <f>SUM(E815:E816)</f>
        <v>52.800000000000004</v>
      </c>
      <c r="F814" s="15">
        <f>SUM(F815:F816)</f>
        <v>52.800000000000004</v>
      </c>
      <c r="G814" s="15">
        <f>SUM(G815:G816)</f>
        <v>50.599999999999994</v>
      </c>
      <c r="H814" s="171"/>
      <c r="I814" s="172"/>
      <c r="J814" s="172"/>
      <c r="K814" s="172"/>
      <c r="L814" s="172"/>
      <c r="M814" s="172"/>
      <c r="N814" s="172"/>
      <c r="O814" s="172"/>
      <c r="P814" s="172"/>
      <c r="Q814" s="172"/>
      <c r="R814" s="172"/>
      <c r="S814" s="173"/>
    </row>
    <row r="815" spans="1:19" ht="198" customHeight="1" thickBot="1" x14ac:dyDescent="0.3">
      <c r="A815" s="19" t="s">
        <v>1503</v>
      </c>
      <c r="B815" s="20" t="s">
        <v>1504</v>
      </c>
      <c r="C815" s="21" t="s">
        <v>354</v>
      </c>
      <c r="D815" s="21" t="s">
        <v>25</v>
      </c>
      <c r="E815" s="33">
        <v>47.7</v>
      </c>
      <c r="F815" s="33">
        <v>47.7</v>
      </c>
      <c r="G815" s="33">
        <v>47.3</v>
      </c>
      <c r="H815" s="21" t="s">
        <v>1505</v>
      </c>
      <c r="I815" s="23" t="s">
        <v>21</v>
      </c>
      <c r="J815" s="50">
        <v>7</v>
      </c>
      <c r="K815" s="66">
        <v>9</v>
      </c>
      <c r="L815" s="24" t="s">
        <v>127</v>
      </c>
      <c r="M815" s="24" t="s">
        <v>23</v>
      </c>
      <c r="N815" s="24" t="s">
        <v>127</v>
      </c>
      <c r="O815" s="24" t="s">
        <v>23</v>
      </c>
      <c r="P815" s="24"/>
      <c r="Q815" s="24"/>
      <c r="R815" s="21" t="s">
        <v>1506</v>
      </c>
      <c r="S815" s="25"/>
    </row>
    <row r="816" spans="1:19" ht="30.75" customHeight="1" x14ac:dyDescent="0.25">
      <c r="A816" s="200" t="s">
        <v>1507</v>
      </c>
      <c r="B816" s="187" t="s">
        <v>1508</v>
      </c>
      <c r="C816" s="187" t="s">
        <v>207</v>
      </c>
      <c r="D816" s="51"/>
      <c r="E816" s="52">
        <f>SUM(E817:E817)</f>
        <v>5.0999999999999996</v>
      </c>
      <c r="F816" s="52">
        <f>SUM(F817:F817)</f>
        <v>5.0999999999999996</v>
      </c>
      <c r="G816" s="52">
        <f>SUM(G817:G817)</f>
        <v>3.3</v>
      </c>
      <c r="H816" s="187" t="s">
        <v>1509</v>
      </c>
      <c r="I816" s="181" t="s">
        <v>21</v>
      </c>
      <c r="J816" s="183">
        <v>1</v>
      </c>
      <c r="K816" s="164">
        <v>1</v>
      </c>
      <c r="L816" s="24"/>
      <c r="M816" s="24"/>
      <c r="N816" s="24"/>
      <c r="O816" s="24"/>
      <c r="P816" s="24"/>
      <c r="Q816" s="24"/>
      <c r="R816" s="187" t="s">
        <v>1510</v>
      </c>
      <c r="S816" s="189"/>
    </row>
    <row r="817" spans="1:19" ht="51.75" customHeight="1" thickBot="1" x14ac:dyDescent="0.3">
      <c r="A817" s="202"/>
      <c r="B817" s="188"/>
      <c r="C817" s="188"/>
      <c r="D817" s="28" t="s">
        <v>30</v>
      </c>
      <c r="E817" s="29">
        <v>5.0999999999999996</v>
      </c>
      <c r="F817" s="29">
        <v>5.0999999999999996</v>
      </c>
      <c r="G817" s="29">
        <v>3.3</v>
      </c>
      <c r="H817" s="188"/>
      <c r="I817" s="182"/>
      <c r="J817" s="184"/>
      <c r="K817" s="165"/>
      <c r="L817" s="31"/>
      <c r="M817" s="31"/>
      <c r="N817" s="31"/>
      <c r="O817" s="31"/>
      <c r="P817" s="31"/>
      <c r="Q817" s="31"/>
      <c r="R817" s="188"/>
      <c r="S817" s="190"/>
    </row>
    <row r="818" spans="1:19" ht="45.75" customHeight="1" thickBot="1" x14ac:dyDescent="0.3">
      <c r="A818" s="12" t="s">
        <v>1511</v>
      </c>
      <c r="B818" s="168" t="s">
        <v>1512</v>
      </c>
      <c r="C818" s="169"/>
      <c r="D818" s="170"/>
      <c r="E818" s="15">
        <f>E819+E820+E822+E824+E825</f>
        <v>184.50000000000003</v>
      </c>
      <c r="F818" s="15">
        <f>F819+F820+F822+F824+F825</f>
        <v>185.6</v>
      </c>
      <c r="G818" s="15">
        <f>G819+G820+G822+G824+G825-0.1</f>
        <v>143.19999999999999</v>
      </c>
      <c r="H818" s="171"/>
      <c r="I818" s="172"/>
      <c r="J818" s="172"/>
      <c r="K818" s="172"/>
      <c r="L818" s="172"/>
      <c r="M818" s="172"/>
      <c r="N818" s="172"/>
      <c r="O818" s="172"/>
      <c r="P818" s="172"/>
      <c r="Q818" s="172"/>
      <c r="R818" s="172"/>
      <c r="S818" s="173"/>
    </row>
    <row r="819" spans="1:19" ht="240.75" customHeight="1" thickBot="1" x14ac:dyDescent="0.3">
      <c r="A819" s="19" t="s">
        <v>1513</v>
      </c>
      <c r="B819" s="20" t="s">
        <v>1514</v>
      </c>
      <c r="C819" s="21" t="s">
        <v>1515</v>
      </c>
      <c r="D819" s="21" t="s">
        <v>192</v>
      </c>
      <c r="E819" s="33">
        <v>72.400000000000006</v>
      </c>
      <c r="F819" s="33">
        <v>73.5</v>
      </c>
      <c r="G819" s="33">
        <v>55.3</v>
      </c>
      <c r="H819" s="21" t="s">
        <v>1516</v>
      </c>
      <c r="I819" s="23" t="s">
        <v>21</v>
      </c>
      <c r="J819" s="50">
        <v>8</v>
      </c>
      <c r="K819" s="66">
        <v>12</v>
      </c>
      <c r="L819" s="24" t="s">
        <v>129</v>
      </c>
      <c r="M819" s="24" t="s">
        <v>23</v>
      </c>
      <c r="N819" s="24" t="s">
        <v>89</v>
      </c>
      <c r="O819" s="24" t="s">
        <v>23</v>
      </c>
      <c r="P819" s="24"/>
      <c r="Q819" s="24"/>
      <c r="R819" s="21" t="s">
        <v>1771</v>
      </c>
      <c r="S819" s="25"/>
    </row>
    <row r="820" spans="1:19" ht="120" customHeight="1" x14ac:dyDescent="0.25">
      <c r="A820" s="200" t="s">
        <v>1517</v>
      </c>
      <c r="B820" s="187" t="s">
        <v>1518</v>
      </c>
      <c r="C820" s="187" t="s">
        <v>1515</v>
      </c>
      <c r="D820" s="187" t="s">
        <v>25</v>
      </c>
      <c r="E820" s="207">
        <f>SUM(E821:E821)+33.9</f>
        <v>33.9</v>
      </c>
      <c r="F820" s="207">
        <f>SUM(F821:F821)+33.9</f>
        <v>33.9</v>
      </c>
      <c r="G820" s="207">
        <f>SUM(G821:G821)+28</f>
        <v>28</v>
      </c>
      <c r="H820" s="21" t="s">
        <v>1519</v>
      </c>
      <c r="I820" s="23" t="s">
        <v>21</v>
      </c>
      <c r="J820" s="50">
        <v>1</v>
      </c>
      <c r="K820" s="63">
        <v>0</v>
      </c>
      <c r="L820" s="24" t="s">
        <v>22</v>
      </c>
      <c r="M820" s="24" t="s">
        <v>23</v>
      </c>
      <c r="N820" s="24" t="s">
        <v>22</v>
      </c>
      <c r="O820" s="24" t="s">
        <v>23</v>
      </c>
      <c r="P820" s="24"/>
      <c r="Q820" s="24"/>
      <c r="R820" s="21" t="s">
        <v>1520</v>
      </c>
      <c r="S820" s="25" t="s">
        <v>1772</v>
      </c>
    </row>
    <row r="821" spans="1:19" ht="396.75" customHeight="1" thickBot="1" x14ac:dyDescent="0.3">
      <c r="A821" s="202"/>
      <c r="B821" s="188"/>
      <c r="C821" s="188"/>
      <c r="D821" s="188"/>
      <c r="E821" s="208"/>
      <c r="F821" s="208"/>
      <c r="G821" s="208"/>
      <c r="H821" s="28" t="s">
        <v>1516</v>
      </c>
      <c r="I821" s="30" t="s">
        <v>21</v>
      </c>
      <c r="J821" s="62">
        <v>16</v>
      </c>
      <c r="K821" s="68">
        <v>13</v>
      </c>
      <c r="L821" s="31" t="s">
        <v>135</v>
      </c>
      <c r="M821" s="31" t="s">
        <v>23</v>
      </c>
      <c r="N821" s="31" t="s">
        <v>104</v>
      </c>
      <c r="O821" s="31" t="s">
        <v>23</v>
      </c>
      <c r="P821" s="31"/>
      <c r="Q821" s="31"/>
      <c r="R821" s="28" t="s">
        <v>1773</v>
      </c>
      <c r="S821" s="32" t="s">
        <v>1774</v>
      </c>
    </row>
    <row r="822" spans="1:19" ht="60" x14ac:dyDescent="0.25">
      <c r="A822" s="200" t="s">
        <v>1521</v>
      </c>
      <c r="B822" s="187" t="s">
        <v>1522</v>
      </c>
      <c r="C822" s="187" t="s">
        <v>207</v>
      </c>
      <c r="D822" s="187" t="s">
        <v>25</v>
      </c>
      <c r="E822" s="207">
        <f>SUM(E823:E823)+16.8</f>
        <v>16.8</v>
      </c>
      <c r="F822" s="207">
        <f>SUM(F823:F823)+16.8</f>
        <v>16.8</v>
      </c>
      <c r="G822" s="207">
        <f>SUM(G823:G823)+1.9</f>
        <v>1.9</v>
      </c>
      <c r="H822" s="187" t="s">
        <v>1523</v>
      </c>
      <c r="I822" s="181" t="s">
        <v>21</v>
      </c>
      <c r="J822" s="183">
        <v>10</v>
      </c>
      <c r="K822" s="185">
        <v>2</v>
      </c>
      <c r="L822" s="24" t="s">
        <v>23</v>
      </c>
      <c r="M822" s="24" t="s">
        <v>23</v>
      </c>
      <c r="N822" s="24" t="s">
        <v>23</v>
      </c>
      <c r="O822" s="24" t="s">
        <v>23</v>
      </c>
      <c r="P822" s="24"/>
      <c r="Q822" s="24"/>
      <c r="R822" s="187" t="s">
        <v>1524</v>
      </c>
      <c r="S822" s="189" t="s">
        <v>1775</v>
      </c>
    </row>
    <row r="823" spans="1:19" ht="75.75" thickBot="1" x14ac:dyDescent="0.3">
      <c r="A823" s="202"/>
      <c r="B823" s="188"/>
      <c r="C823" s="188"/>
      <c r="D823" s="188"/>
      <c r="E823" s="208"/>
      <c r="F823" s="208"/>
      <c r="G823" s="208"/>
      <c r="H823" s="188"/>
      <c r="I823" s="182"/>
      <c r="J823" s="184"/>
      <c r="K823" s="186"/>
      <c r="L823" s="31" t="s">
        <v>89</v>
      </c>
      <c r="M823" s="31" t="s">
        <v>23</v>
      </c>
      <c r="N823" s="31" t="s">
        <v>23</v>
      </c>
      <c r="O823" s="31" t="s">
        <v>23</v>
      </c>
      <c r="P823" s="31"/>
      <c r="Q823" s="31"/>
      <c r="R823" s="188"/>
      <c r="S823" s="190"/>
    </row>
    <row r="824" spans="1:19" ht="105.75" thickBot="1" x14ac:dyDescent="0.3">
      <c r="A824" s="19" t="s">
        <v>1525</v>
      </c>
      <c r="B824" s="20" t="s">
        <v>1526</v>
      </c>
      <c r="C824" s="21" t="s">
        <v>1776</v>
      </c>
      <c r="D824" s="21" t="s">
        <v>25</v>
      </c>
      <c r="E824" s="33">
        <v>50</v>
      </c>
      <c r="F824" s="33">
        <v>50</v>
      </c>
      <c r="G824" s="33">
        <v>50</v>
      </c>
      <c r="H824" s="21" t="s">
        <v>1516</v>
      </c>
      <c r="I824" s="23" t="s">
        <v>21</v>
      </c>
      <c r="J824" s="50">
        <v>1</v>
      </c>
      <c r="K824" s="66">
        <v>1</v>
      </c>
      <c r="L824" s="24" t="s">
        <v>52</v>
      </c>
      <c r="M824" s="24" t="s">
        <v>23</v>
      </c>
      <c r="N824" s="24" t="s">
        <v>52</v>
      </c>
      <c r="O824" s="24" t="s">
        <v>23</v>
      </c>
      <c r="P824" s="24"/>
      <c r="Q824" s="24"/>
      <c r="R824" s="21" t="s">
        <v>1777</v>
      </c>
      <c r="S824" s="25"/>
    </row>
    <row r="825" spans="1:19" ht="100.5" customHeight="1" x14ac:dyDescent="0.25">
      <c r="A825" s="200" t="s">
        <v>1527</v>
      </c>
      <c r="B825" s="187" t="s">
        <v>1447</v>
      </c>
      <c r="C825" s="187" t="s">
        <v>123</v>
      </c>
      <c r="D825" s="187" t="s">
        <v>25</v>
      </c>
      <c r="E825" s="207">
        <f>SUM(E826:E827)+11.4</f>
        <v>11.4</v>
      </c>
      <c r="F825" s="207">
        <f>SUM(F826:F827)+11.4</f>
        <v>11.4</v>
      </c>
      <c r="G825" s="207">
        <f>SUM(G826:G827)+8.1</f>
        <v>8.1</v>
      </c>
      <c r="H825" s="21" t="s">
        <v>1528</v>
      </c>
      <c r="I825" s="23" t="s">
        <v>215</v>
      </c>
      <c r="J825" s="50">
        <v>0.9</v>
      </c>
      <c r="K825" s="66">
        <v>35</v>
      </c>
      <c r="L825" s="24" t="s">
        <v>1529</v>
      </c>
      <c r="M825" s="24" t="s">
        <v>23</v>
      </c>
      <c r="N825" s="24" t="s">
        <v>304</v>
      </c>
      <c r="O825" s="24" t="s">
        <v>23</v>
      </c>
      <c r="P825" s="24"/>
      <c r="Q825" s="24"/>
      <c r="R825" s="21" t="s">
        <v>1778</v>
      </c>
      <c r="S825" s="25"/>
    </row>
    <row r="826" spans="1:19" ht="68.25" customHeight="1" x14ac:dyDescent="0.25">
      <c r="A826" s="201"/>
      <c r="B826" s="203"/>
      <c r="C826" s="203"/>
      <c r="D826" s="203"/>
      <c r="E826" s="255"/>
      <c r="F826" s="255"/>
      <c r="G826" s="255"/>
      <c r="H826" s="28" t="s">
        <v>1530</v>
      </c>
      <c r="I826" s="30" t="s">
        <v>653</v>
      </c>
      <c r="J826" s="62">
        <v>1500</v>
      </c>
      <c r="K826" s="65" t="s">
        <v>1811</v>
      </c>
      <c r="L826" s="31" t="s">
        <v>1531</v>
      </c>
      <c r="M826" s="31" t="s">
        <v>23</v>
      </c>
      <c r="N826" s="31" t="s">
        <v>1531</v>
      </c>
      <c r="O826" s="31" t="s">
        <v>23</v>
      </c>
      <c r="P826" s="31"/>
      <c r="Q826" s="31"/>
      <c r="R826" s="28" t="s">
        <v>1532</v>
      </c>
      <c r="S826" s="32" t="s">
        <v>1779</v>
      </c>
    </row>
    <row r="827" spans="1:19" ht="328.5" customHeight="1" thickBot="1" x14ac:dyDescent="0.3">
      <c r="A827" s="202"/>
      <c r="B827" s="188"/>
      <c r="C827" s="188"/>
      <c r="D827" s="188"/>
      <c r="E827" s="208"/>
      <c r="F827" s="208"/>
      <c r="G827" s="208"/>
      <c r="H827" s="28" t="s">
        <v>1516</v>
      </c>
      <c r="I827" s="30" t="s">
        <v>21</v>
      </c>
      <c r="J827" s="62">
        <v>9</v>
      </c>
      <c r="K827" s="68">
        <v>7</v>
      </c>
      <c r="L827" s="31" t="s">
        <v>129</v>
      </c>
      <c r="M827" s="31" t="s">
        <v>23</v>
      </c>
      <c r="N827" s="31" t="s">
        <v>129</v>
      </c>
      <c r="O827" s="31" t="s">
        <v>23</v>
      </c>
      <c r="P827" s="31"/>
      <c r="Q827" s="31"/>
      <c r="R827" s="28" t="s">
        <v>1780</v>
      </c>
      <c r="S827" s="32" t="s">
        <v>1781</v>
      </c>
    </row>
    <row r="828" spans="1:19" ht="39.75" customHeight="1" thickBot="1" x14ac:dyDescent="0.3">
      <c r="A828" s="8" t="s">
        <v>1533</v>
      </c>
      <c r="B828" s="174" t="s">
        <v>1534</v>
      </c>
      <c r="C828" s="175"/>
      <c r="D828" s="176"/>
      <c r="E828" s="11">
        <f>E829+E838</f>
        <v>4176.5</v>
      </c>
      <c r="F828" s="11">
        <f>F829+F838</f>
        <v>5874.4999999999991</v>
      </c>
      <c r="G828" s="11">
        <f>G829+G838</f>
        <v>5962</v>
      </c>
      <c r="H828" s="177"/>
      <c r="I828" s="178"/>
      <c r="J828" s="178"/>
      <c r="K828" s="178"/>
      <c r="L828" s="178"/>
      <c r="M828" s="178"/>
      <c r="N828" s="178"/>
      <c r="O828" s="178"/>
      <c r="P828" s="178"/>
      <c r="Q828" s="178"/>
      <c r="R828" s="178"/>
      <c r="S828" s="179"/>
    </row>
    <row r="829" spans="1:19" ht="30.75" customHeight="1" thickBot="1" x14ac:dyDescent="0.3">
      <c r="A829" s="12" t="s">
        <v>1535</v>
      </c>
      <c r="B829" s="168" t="s">
        <v>1536</v>
      </c>
      <c r="C829" s="169"/>
      <c r="D829" s="170"/>
      <c r="E829" s="15">
        <f>E830+E832+E833+E834+E837</f>
        <v>4162</v>
      </c>
      <c r="F829" s="15">
        <f>F830+F832+F833+F834+F837</f>
        <v>5737.2999999999993</v>
      </c>
      <c r="G829" s="15">
        <f>G830+G832+G833+G834+G837</f>
        <v>5874.7</v>
      </c>
      <c r="H829" s="171"/>
      <c r="I829" s="172"/>
      <c r="J829" s="172"/>
      <c r="K829" s="172"/>
      <c r="L829" s="172"/>
      <c r="M829" s="172"/>
      <c r="N829" s="172"/>
      <c r="O829" s="172"/>
      <c r="P829" s="172"/>
      <c r="Q829" s="172"/>
      <c r="R829" s="172"/>
      <c r="S829" s="173"/>
    </row>
    <row r="830" spans="1:19" ht="51.75" customHeight="1" x14ac:dyDescent="0.25">
      <c r="A830" s="200" t="s">
        <v>1537</v>
      </c>
      <c r="B830" s="187" t="s">
        <v>1538</v>
      </c>
      <c r="C830" s="187" t="s">
        <v>1539</v>
      </c>
      <c r="D830" s="51"/>
      <c r="E830" s="52">
        <f>SUM(E831:E831)</f>
        <v>3591.8</v>
      </c>
      <c r="F830" s="52">
        <f>SUM(F831:F831)</f>
        <v>3591.8</v>
      </c>
      <c r="G830" s="52">
        <f>SUM(G831:G831)</f>
        <v>3582.5</v>
      </c>
      <c r="H830" s="21" t="s">
        <v>1540</v>
      </c>
      <c r="I830" s="23" t="s">
        <v>215</v>
      </c>
      <c r="J830" s="50">
        <v>100</v>
      </c>
      <c r="K830" s="66">
        <v>100</v>
      </c>
      <c r="L830" s="24" t="s">
        <v>42</v>
      </c>
      <c r="M830" s="24" t="s">
        <v>23</v>
      </c>
      <c r="N830" s="24" t="s">
        <v>42</v>
      </c>
      <c r="O830" s="24" t="s">
        <v>23</v>
      </c>
      <c r="P830" s="24"/>
      <c r="Q830" s="24"/>
      <c r="R830" s="181"/>
      <c r="S830" s="209"/>
    </row>
    <row r="831" spans="1:19" ht="69" customHeight="1" thickBot="1" x14ac:dyDescent="0.3">
      <c r="A831" s="202"/>
      <c r="B831" s="188"/>
      <c r="C831" s="188"/>
      <c r="D831" s="28" t="s">
        <v>25</v>
      </c>
      <c r="E831" s="29">
        <v>3591.8</v>
      </c>
      <c r="F831" s="29">
        <v>3591.8</v>
      </c>
      <c r="G831" s="29">
        <v>3582.5</v>
      </c>
      <c r="H831" s="28" t="s">
        <v>1541</v>
      </c>
      <c r="I831" s="30" t="s">
        <v>21</v>
      </c>
      <c r="J831" s="62">
        <v>6</v>
      </c>
      <c r="K831" s="65">
        <v>9</v>
      </c>
      <c r="L831" s="31" t="s">
        <v>90</v>
      </c>
      <c r="M831" s="31" t="s">
        <v>23</v>
      </c>
      <c r="N831" s="31" t="s">
        <v>90</v>
      </c>
      <c r="O831" s="31" t="s">
        <v>23</v>
      </c>
      <c r="P831" s="31"/>
      <c r="Q831" s="31"/>
      <c r="R831" s="182"/>
      <c r="S831" s="157"/>
    </row>
    <row r="832" spans="1:19" ht="124.5" customHeight="1" thickBot="1" x14ac:dyDescent="0.3">
      <c r="A832" s="19" t="s">
        <v>1542</v>
      </c>
      <c r="B832" s="20" t="s">
        <v>1543</v>
      </c>
      <c r="C832" s="21" t="s">
        <v>523</v>
      </c>
      <c r="D832" s="21" t="s">
        <v>25</v>
      </c>
      <c r="E832" s="33">
        <v>160</v>
      </c>
      <c r="F832" s="33">
        <v>163.69999999999999</v>
      </c>
      <c r="G832" s="33">
        <v>163.69999999999999</v>
      </c>
      <c r="H832" s="21" t="s">
        <v>1544</v>
      </c>
      <c r="I832" s="23" t="s">
        <v>215</v>
      </c>
      <c r="J832" s="50">
        <v>100</v>
      </c>
      <c r="K832" s="66">
        <v>100</v>
      </c>
      <c r="L832" s="24" t="s">
        <v>42</v>
      </c>
      <c r="M832" s="24" t="s">
        <v>23</v>
      </c>
      <c r="N832" s="24" t="s">
        <v>42</v>
      </c>
      <c r="O832" s="24" t="s">
        <v>23</v>
      </c>
      <c r="P832" s="24"/>
      <c r="Q832" s="24"/>
      <c r="R832" s="21" t="s">
        <v>1782</v>
      </c>
      <c r="S832" s="25"/>
    </row>
    <row r="833" spans="1:19" ht="193.5" customHeight="1" thickBot="1" x14ac:dyDescent="0.3">
      <c r="A833" s="19" t="s">
        <v>1545</v>
      </c>
      <c r="B833" s="20" t="s">
        <v>1546</v>
      </c>
      <c r="C833" s="21" t="s">
        <v>523</v>
      </c>
      <c r="D833" s="21" t="s">
        <v>25</v>
      </c>
      <c r="E833" s="33">
        <v>28.2</v>
      </c>
      <c r="F833" s="33">
        <v>28.2</v>
      </c>
      <c r="G833" s="33">
        <v>16.3</v>
      </c>
      <c r="H833" s="21" t="s">
        <v>1547</v>
      </c>
      <c r="I833" s="23" t="s">
        <v>215</v>
      </c>
      <c r="J833" s="50">
        <v>100</v>
      </c>
      <c r="K833" s="66">
        <v>100</v>
      </c>
      <c r="L833" s="24" t="s">
        <v>23</v>
      </c>
      <c r="M833" s="24" t="s">
        <v>23</v>
      </c>
      <c r="N833" s="24" t="s">
        <v>23</v>
      </c>
      <c r="O833" s="24" t="s">
        <v>23</v>
      </c>
      <c r="P833" s="24"/>
      <c r="Q833" s="24"/>
      <c r="R833" s="21" t="s">
        <v>1548</v>
      </c>
      <c r="S833" s="25"/>
    </row>
    <row r="834" spans="1:19" ht="36.75" customHeight="1" x14ac:dyDescent="0.25">
      <c r="A834" s="200" t="s">
        <v>1549</v>
      </c>
      <c r="B834" s="187" t="s">
        <v>1550</v>
      </c>
      <c r="C834" s="187" t="s">
        <v>523</v>
      </c>
      <c r="D834" s="21"/>
      <c r="E834" s="22">
        <f>SUM(E835:E836)</f>
        <v>382</v>
      </c>
      <c r="F834" s="22">
        <f>SUM(F835:F836)</f>
        <v>1953.6</v>
      </c>
      <c r="G834" s="22">
        <f>SUM(G835:G836)</f>
        <v>2112.1999999999998</v>
      </c>
      <c r="H834" s="187" t="s">
        <v>1338</v>
      </c>
      <c r="I834" s="181" t="s">
        <v>215</v>
      </c>
      <c r="J834" s="183">
        <v>100</v>
      </c>
      <c r="K834" s="164">
        <v>100</v>
      </c>
      <c r="L834" s="24" t="s">
        <v>42</v>
      </c>
      <c r="M834" s="24" t="s">
        <v>23</v>
      </c>
      <c r="N834" s="24" t="s">
        <v>42</v>
      </c>
      <c r="O834" s="24" t="s">
        <v>23</v>
      </c>
      <c r="P834" s="24"/>
      <c r="Q834" s="24"/>
      <c r="R834" s="187" t="s">
        <v>1551</v>
      </c>
      <c r="S834" s="189"/>
    </row>
    <row r="835" spans="1:19" x14ac:dyDescent="0.25">
      <c r="A835" s="201"/>
      <c r="B835" s="203"/>
      <c r="C835" s="203"/>
      <c r="D835" s="28" t="s">
        <v>25</v>
      </c>
      <c r="E835" s="29">
        <v>382</v>
      </c>
      <c r="F835" s="29">
        <v>1725</v>
      </c>
      <c r="G835" s="29">
        <v>1883.6</v>
      </c>
      <c r="H835" s="203"/>
      <c r="I835" s="204"/>
      <c r="J835" s="205"/>
      <c r="K835" s="206"/>
      <c r="L835" s="31"/>
      <c r="M835" s="31"/>
      <c r="N835" s="31"/>
      <c r="O835" s="31"/>
      <c r="P835" s="31"/>
      <c r="Q835" s="31"/>
      <c r="R835" s="203"/>
      <c r="S835" s="191"/>
    </row>
    <row r="836" spans="1:19" ht="48.75" customHeight="1" thickBot="1" x14ac:dyDescent="0.3">
      <c r="A836" s="202"/>
      <c r="B836" s="188"/>
      <c r="C836" s="188"/>
      <c r="D836" s="28" t="s">
        <v>30</v>
      </c>
      <c r="E836" s="29">
        <v>0</v>
      </c>
      <c r="F836" s="29">
        <v>228.6</v>
      </c>
      <c r="G836" s="29">
        <v>228.6</v>
      </c>
      <c r="H836" s="188"/>
      <c r="I836" s="182"/>
      <c r="J836" s="184"/>
      <c r="K836" s="165"/>
      <c r="L836" s="31"/>
      <c r="M836" s="31"/>
      <c r="N836" s="31"/>
      <c r="O836" s="31"/>
      <c r="P836" s="31"/>
      <c r="Q836" s="31"/>
      <c r="R836" s="188"/>
      <c r="S836" s="190"/>
    </row>
    <row r="837" spans="1:19" ht="60.75" hidden="1" thickBot="1" x14ac:dyDescent="0.3">
      <c r="A837" s="19" t="s">
        <v>1552</v>
      </c>
      <c r="B837" s="20" t="s">
        <v>1553</v>
      </c>
      <c r="C837" s="21" t="s">
        <v>523</v>
      </c>
      <c r="D837" s="21" t="s">
        <v>25</v>
      </c>
      <c r="E837" s="33">
        <v>0</v>
      </c>
      <c r="F837" s="33">
        <v>0</v>
      </c>
      <c r="G837" s="33">
        <v>0</v>
      </c>
      <c r="H837" s="21"/>
      <c r="I837" s="23"/>
      <c r="J837" s="46"/>
      <c r="K837" s="46"/>
      <c r="L837" s="24"/>
      <c r="M837" s="24"/>
      <c r="N837" s="24"/>
      <c r="O837" s="24"/>
      <c r="P837" s="24"/>
      <c r="Q837" s="24"/>
      <c r="R837" s="21"/>
      <c r="S837" s="25"/>
    </row>
    <row r="838" spans="1:19" ht="39" customHeight="1" thickBot="1" x14ac:dyDescent="0.3">
      <c r="A838" s="12" t="s">
        <v>1554</v>
      </c>
      <c r="B838" s="168" t="s">
        <v>1555</v>
      </c>
      <c r="C838" s="169"/>
      <c r="D838" s="170"/>
      <c r="E838" s="15">
        <f>SUM(E839:E839)</f>
        <v>14.5</v>
      </c>
      <c r="F838" s="15">
        <f>SUM(F839:F839)</f>
        <v>137.19999999999999</v>
      </c>
      <c r="G838" s="15">
        <f>SUM(G839:G839)</f>
        <v>87.300000000000011</v>
      </c>
      <c r="H838" s="171"/>
      <c r="I838" s="172"/>
      <c r="J838" s="172"/>
      <c r="K838" s="172"/>
      <c r="L838" s="172"/>
      <c r="M838" s="172"/>
      <c r="N838" s="172"/>
      <c r="O838" s="172"/>
      <c r="P838" s="172"/>
      <c r="Q838" s="172"/>
      <c r="R838" s="172"/>
      <c r="S838" s="173"/>
    </row>
    <row r="839" spans="1:19" ht="37.5" customHeight="1" x14ac:dyDescent="0.25">
      <c r="A839" s="200" t="s">
        <v>1556</v>
      </c>
      <c r="B839" s="187" t="s">
        <v>1557</v>
      </c>
      <c r="C839" s="187" t="s">
        <v>354</v>
      </c>
      <c r="D839" s="51"/>
      <c r="E839" s="52">
        <f>SUM(E840:E841)</f>
        <v>14.5</v>
      </c>
      <c r="F839" s="52">
        <f>SUM(F840:F841)</f>
        <v>137.19999999999999</v>
      </c>
      <c r="G839" s="52">
        <f>SUM(G840:G841)-0.1</f>
        <v>87.300000000000011</v>
      </c>
      <c r="H839" s="187" t="s">
        <v>1558</v>
      </c>
      <c r="I839" s="181" t="s">
        <v>215</v>
      </c>
      <c r="J839" s="183">
        <v>100</v>
      </c>
      <c r="K839" s="164">
        <v>100</v>
      </c>
      <c r="L839" s="24" t="s">
        <v>42</v>
      </c>
      <c r="M839" s="24" t="s">
        <v>23</v>
      </c>
      <c r="N839" s="24" t="s">
        <v>42</v>
      </c>
      <c r="O839" s="24" t="s">
        <v>23</v>
      </c>
      <c r="P839" s="24"/>
      <c r="Q839" s="24"/>
      <c r="R839" s="187" t="s">
        <v>1559</v>
      </c>
      <c r="S839" s="189"/>
    </row>
    <row r="840" spans="1:19" ht="69" customHeight="1" x14ac:dyDescent="0.25">
      <c r="A840" s="201"/>
      <c r="B840" s="203"/>
      <c r="C840" s="203"/>
      <c r="D840" s="28" t="s">
        <v>25</v>
      </c>
      <c r="E840" s="29">
        <v>14.5</v>
      </c>
      <c r="F840" s="29">
        <v>109.8</v>
      </c>
      <c r="G840" s="29">
        <v>60</v>
      </c>
      <c r="H840" s="203"/>
      <c r="I840" s="204"/>
      <c r="J840" s="205"/>
      <c r="K840" s="206"/>
      <c r="L840" s="31"/>
      <c r="M840" s="31"/>
      <c r="N840" s="31"/>
      <c r="O840" s="31"/>
      <c r="P840" s="31"/>
      <c r="Q840" s="31"/>
      <c r="R840" s="203"/>
      <c r="S840" s="191"/>
    </row>
    <row r="841" spans="1:19" ht="90.75" customHeight="1" thickBot="1" x14ac:dyDescent="0.3">
      <c r="A841" s="202"/>
      <c r="B841" s="188"/>
      <c r="C841" s="188"/>
      <c r="D841" s="34" t="s">
        <v>201</v>
      </c>
      <c r="E841" s="35">
        <v>0</v>
      </c>
      <c r="F841" s="35">
        <v>27.4</v>
      </c>
      <c r="G841" s="35">
        <v>27.4</v>
      </c>
      <c r="H841" s="188"/>
      <c r="I841" s="182"/>
      <c r="J841" s="184"/>
      <c r="K841" s="165"/>
      <c r="L841" s="37"/>
      <c r="M841" s="37"/>
      <c r="N841" s="37"/>
      <c r="O841" s="37"/>
      <c r="P841" s="37"/>
      <c r="Q841" s="37"/>
      <c r="R841" s="188"/>
      <c r="S841" s="190"/>
    </row>
    <row r="842" spans="1:19" s="1" customFormat="1" x14ac:dyDescent="0.25">
      <c r="A842" s="39"/>
      <c r="B842" s="39"/>
      <c r="C842" s="40"/>
      <c r="D842" s="40"/>
      <c r="E842" s="41"/>
      <c r="F842" s="41"/>
      <c r="G842" s="41"/>
      <c r="H842" s="40"/>
      <c r="I842" s="42"/>
      <c r="J842" s="43"/>
      <c r="K842" s="43"/>
      <c r="L842" s="43"/>
      <c r="M842" s="43"/>
      <c r="N842" s="43"/>
      <c r="O842" s="43"/>
      <c r="P842" s="43"/>
      <c r="Q842" s="43"/>
      <c r="R842" s="40"/>
      <c r="S842" s="40"/>
    </row>
    <row r="843" spans="1:19" s="1" customFormat="1" x14ac:dyDescent="0.25">
      <c r="A843" s="39"/>
      <c r="B843" s="39"/>
      <c r="C843" s="40"/>
      <c r="D843" s="40"/>
      <c r="E843" s="41"/>
      <c r="F843" s="41"/>
      <c r="G843" s="41"/>
      <c r="H843" s="40"/>
      <c r="I843" s="42"/>
      <c r="J843" s="43"/>
      <c r="K843" s="43"/>
      <c r="L843" s="43"/>
      <c r="M843" s="43"/>
      <c r="N843" s="43"/>
      <c r="O843" s="43"/>
      <c r="P843" s="43"/>
      <c r="Q843" s="43"/>
      <c r="R843" s="40"/>
      <c r="S843" s="40"/>
    </row>
    <row r="844" spans="1:19" ht="136.5" customHeight="1" x14ac:dyDescent="0.25">
      <c r="A844" s="137" t="s">
        <v>0</v>
      </c>
      <c r="B844" s="137" t="s">
        <v>1</v>
      </c>
      <c r="C844" s="137" t="s">
        <v>2</v>
      </c>
      <c r="D844" s="137" t="s">
        <v>3</v>
      </c>
      <c r="E844" s="137" t="s">
        <v>4</v>
      </c>
      <c r="F844" s="144"/>
      <c r="G844" s="45"/>
      <c r="H844" s="45"/>
      <c r="I844" s="45"/>
      <c r="J844" s="45"/>
      <c r="K844" s="45"/>
      <c r="L844" s="45"/>
      <c r="M844" s="45"/>
      <c r="N844" s="45"/>
      <c r="O844" s="45"/>
      <c r="P844" s="45"/>
      <c r="Q844" s="45"/>
      <c r="R844" s="45"/>
      <c r="S844" s="45"/>
    </row>
    <row r="845" spans="1:19" ht="38.25" x14ac:dyDescent="0.25">
      <c r="A845" s="138" t="s">
        <v>1560</v>
      </c>
      <c r="B845" s="138" t="s">
        <v>1561</v>
      </c>
      <c r="C845" s="135">
        <f>SUM(C846:C857)-0.1</f>
        <v>154074.5</v>
      </c>
      <c r="D845" s="135">
        <f>SUM(D846:D857)-0.1</f>
        <v>177489.30000000002</v>
      </c>
      <c r="E845" s="139">
        <f>SUM(E846:E857)+0.1</f>
        <v>156617.80000000002</v>
      </c>
      <c r="F845" s="145"/>
      <c r="G845" s="45"/>
      <c r="H845" s="45"/>
      <c r="I845" s="45"/>
      <c r="J845" s="45"/>
      <c r="K845" s="45"/>
      <c r="L845" s="45"/>
      <c r="M845" s="45"/>
      <c r="N845" s="45"/>
      <c r="O845" s="45"/>
      <c r="P845" s="45"/>
      <c r="Q845" s="45"/>
      <c r="R845" s="45"/>
      <c r="S845" s="45"/>
    </row>
    <row r="846" spans="1:19" ht="33.75" customHeight="1" x14ac:dyDescent="0.25">
      <c r="A846" s="138" t="s">
        <v>25</v>
      </c>
      <c r="B846" s="138" t="s">
        <v>1562</v>
      </c>
      <c r="C846" s="136">
        <v>69943.899999999994</v>
      </c>
      <c r="D846" s="136">
        <v>70265.100000000006</v>
      </c>
      <c r="E846" s="140">
        <v>62785.9</v>
      </c>
      <c r="F846" s="146"/>
      <c r="G846" s="45"/>
      <c r="H846" s="45"/>
      <c r="I846" s="45"/>
      <c r="J846" s="45"/>
      <c r="K846" s="45"/>
      <c r="L846" s="45"/>
      <c r="M846" s="45"/>
      <c r="N846" s="45"/>
      <c r="O846" s="45"/>
      <c r="P846" s="45"/>
      <c r="Q846" s="45"/>
      <c r="R846" s="45"/>
      <c r="S846" s="45"/>
    </row>
    <row r="847" spans="1:19" ht="32.25" customHeight="1" x14ac:dyDescent="0.25">
      <c r="A847" s="138" t="s">
        <v>402</v>
      </c>
      <c r="B847" s="138" t="s">
        <v>1563</v>
      </c>
      <c r="C847" s="140">
        <v>3500</v>
      </c>
      <c r="D847" s="140">
        <v>6700</v>
      </c>
      <c r="E847" s="140">
        <v>6623.7</v>
      </c>
      <c r="F847" s="146"/>
      <c r="G847" s="45"/>
      <c r="H847" s="45"/>
      <c r="I847" s="45"/>
      <c r="J847" s="45"/>
      <c r="K847" s="45"/>
      <c r="L847" s="45"/>
      <c r="M847" s="45"/>
      <c r="N847" s="45"/>
      <c r="O847" s="45"/>
      <c r="P847" s="45"/>
      <c r="Q847" s="45"/>
      <c r="R847" s="45"/>
      <c r="S847" s="45"/>
    </row>
    <row r="848" spans="1:19" ht="35.25" customHeight="1" x14ac:dyDescent="0.25">
      <c r="A848" s="138" t="s">
        <v>863</v>
      </c>
      <c r="B848" s="138" t="s">
        <v>1564</v>
      </c>
      <c r="C848" s="140">
        <v>31779.1</v>
      </c>
      <c r="D848" s="140">
        <v>33265.4</v>
      </c>
      <c r="E848" s="140">
        <v>33245.800000000003</v>
      </c>
      <c r="F848" s="146"/>
      <c r="G848" s="45"/>
      <c r="H848" s="45"/>
      <c r="I848" s="45"/>
      <c r="J848" s="45"/>
      <c r="K848" s="45"/>
      <c r="L848" s="45"/>
      <c r="M848" s="45"/>
      <c r="N848" s="45"/>
      <c r="O848" s="45"/>
      <c r="P848" s="45"/>
      <c r="Q848" s="45"/>
      <c r="R848" s="45"/>
      <c r="S848" s="45"/>
    </row>
    <row r="849" spans="1:19" ht="51.75" customHeight="1" x14ac:dyDescent="0.25">
      <c r="A849" s="138" t="s">
        <v>1114</v>
      </c>
      <c r="B849" s="138" t="s">
        <v>1565</v>
      </c>
      <c r="C849" s="140">
        <v>4039.5</v>
      </c>
      <c r="D849" s="140">
        <v>4776.1000000000004</v>
      </c>
      <c r="E849" s="140">
        <v>4591.8999999999996</v>
      </c>
      <c r="F849" s="146"/>
      <c r="G849" s="45"/>
      <c r="H849" s="45"/>
      <c r="I849" s="45"/>
      <c r="J849" s="45"/>
      <c r="K849" s="45"/>
      <c r="L849" s="45"/>
      <c r="M849" s="45"/>
      <c r="N849" s="45"/>
      <c r="O849" s="45"/>
      <c r="P849" s="45"/>
      <c r="Q849" s="45"/>
      <c r="R849" s="45"/>
      <c r="S849" s="45"/>
    </row>
    <row r="850" spans="1:19" ht="39" customHeight="1" x14ac:dyDescent="0.25">
      <c r="A850" s="138" t="s">
        <v>201</v>
      </c>
      <c r="B850" s="138" t="s">
        <v>1566</v>
      </c>
      <c r="C850" s="140">
        <v>5238.6000000000004</v>
      </c>
      <c r="D850" s="140">
        <v>13534.1</v>
      </c>
      <c r="E850" s="140">
        <v>11760.1</v>
      </c>
      <c r="F850" s="146"/>
      <c r="G850" s="45"/>
      <c r="H850" s="45"/>
      <c r="I850" s="45"/>
      <c r="J850" s="45"/>
      <c r="K850" s="45"/>
      <c r="L850" s="45"/>
      <c r="M850" s="45"/>
      <c r="N850" s="45"/>
      <c r="O850" s="45"/>
      <c r="P850" s="45"/>
      <c r="Q850" s="45"/>
      <c r="R850" s="45"/>
      <c r="S850" s="45"/>
    </row>
    <row r="851" spans="1:19" ht="48.75" customHeight="1" x14ac:dyDescent="0.25">
      <c r="A851" s="138" t="s">
        <v>380</v>
      </c>
      <c r="B851" s="138" t="s">
        <v>1567</v>
      </c>
      <c r="C851" s="140">
        <v>3370</v>
      </c>
      <c r="D851" s="140">
        <v>9143</v>
      </c>
      <c r="E851" s="140">
        <v>9138.1</v>
      </c>
      <c r="F851" s="146"/>
      <c r="G851" s="45"/>
      <c r="H851" s="45"/>
      <c r="I851" s="45"/>
      <c r="J851" s="45"/>
      <c r="K851" s="45"/>
      <c r="L851" s="45"/>
      <c r="M851" s="45"/>
      <c r="N851" s="45"/>
      <c r="O851" s="45"/>
      <c r="P851" s="45"/>
      <c r="Q851" s="45"/>
      <c r="R851" s="45"/>
      <c r="S851" s="45"/>
    </row>
    <row r="852" spans="1:19" ht="60" customHeight="1" x14ac:dyDescent="0.25">
      <c r="A852" s="138" t="s">
        <v>970</v>
      </c>
      <c r="B852" s="138" t="s">
        <v>1568</v>
      </c>
      <c r="C852" s="140">
        <v>439</v>
      </c>
      <c r="D852" s="140">
        <v>691</v>
      </c>
      <c r="E852" s="140">
        <v>691</v>
      </c>
      <c r="F852" s="146"/>
      <c r="G852" s="45"/>
      <c r="H852" s="45"/>
      <c r="I852" s="45"/>
      <c r="J852" s="45"/>
      <c r="K852" s="45"/>
      <c r="L852" s="45"/>
      <c r="M852" s="45"/>
      <c r="N852" s="45"/>
      <c r="O852" s="45"/>
      <c r="P852" s="45"/>
      <c r="Q852" s="45"/>
      <c r="R852" s="45"/>
      <c r="S852" s="45"/>
    </row>
    <row r="853" spans="1:19" ht="41.25" customHeight="1" x14ac:dyDescent="0.25">
      <c r="A853" s="138" t="s">
        <v>217</v>
      </c>
      <c r="B853" s="138" t="s">
        <v>1569</v>
      </c>
      <c r="C853" s="140">
        <v>15627.3</v>
      </c>
      <c r="D853" s="140">
        <v>18820</v>
      </c>
      <c r="E853" s="140">
        <v>11422.7</v>
      </c>
      <c r="F853" s="146"/>
      <c r="G853" s="45"/>
      <c r="H853" s="45"/>
      <c r="I853" s="45"/>
      <c r="J853" s="45"/>
      <c r="K853" s="45"/>
      <c r="L853" s="45"/>
      <c r="M853" s="45"/>
      <c r="N853" s="45"/>
      <c r="O853" s="45"/>
      <c r="P853" s="45"/>
      <c r="Q853" s="45"/>
      <c r="R853" s="45"/>
      <c r="S853" s="45"/>
    </row>
    <row r="854" spans="1:19" ht="45" customHeight="1" x14ac:dyDescent="0.25">
      <c r="A854" s="138" t="s">
        <v>175</v>
      </c>
      <c r="B854" s="138" t="s">
        <v>1570</v>
      </c>
      <c r="C854" s="140">
        <v>4489.5</v>
      </c>
      <c r="D854" s="140">
        <v>4647</v>
      </c>
      <c r="E854" s="140">
        <v>3020.9</v>
      </c>
      <c r="F854" s="146"/>
      <c r="G854" s="45"/>
      <c r="H854" s="45"/>
      <c r="I854" s="45"/>
      <c r="J854" s="45"/>
      <c r="K854" s="45"/>
      <c r="L854" s="45"/>
      <c r="M854" s="45"/>
      <c r="N854" s="45"/>
      <c r="O854" s="45"/>
      <c r="P854" s="45"/>
      <c r="Q854" s="45"/>
      <c r="R854" s="45"/>
      <c r="S854" s="45"/>
    </row>
    <row r="855" spans="1:19" ht="77.25" customHeight="1" x14ac:dyDescent="0.25">
      <c r="A855" s="138" t="s">
        <v>30</v>
      </c>
      <c r="B855" s="138" t="s">
        <v>1571</v>
      </c>
      <c r="C855" s="140">
        <v>15647.7</v>
      </c>
      <c r="D855" s="140">
        <v>15647.7</v>
      </c>
      <c r="E855" s="140">
        <v>13084.2</v>
      </c>
      <c r="F855" s="146"/>
      <c r="G855" s="45"/>
      <c r="H855" s="45"/>
      <c r="I855" s="45"/>
      <c r="J855" s="45"/>
      <c r="K855" s="45"/>
      <c r="L855" s="45"/>
      <c r="M855" s="45"/>
      <c r="N855" s="45"/>
      <c r="O855" s="45"/>
      <c r="P855" s="45"/>
      <c r="Q855" s="45"/>
      <c r="R855" s="45"/>
      <c r="S855" s="45"/>
    </row>
    <row r="856" spans="1:19" ht="72" customHeight="1" x14ac:dyDescent="0.25">
      <c r="A856" s="138" t="s">
        <v>274</v>
      </c>
      <c r="B856" s="138" t="s">
        <v>1572</v>
      </c>
      <c r="C856" s="140">
        <v>0</v>
      </c>
      <c r="D856" s="140">
        <v>0</v>
      </c>
      <c r="E856" s="140">
        <v>216.9</v>
      </c>
      <c r="F856" s="146"/>
      <c r="G856" s="45"/>
      <c r="H856" s="45"/>
      <c r="I856" s="45"/>
      <c r="J856" s="45"/>
      <c r="K856" s="45"/>
      <c r="L856" s="45"/>
      <c r="M856" s="45"/>
      <c r="N856" s="45"/>
      <c r="O856" s="45"/>
      <c r="P856" s="45"/>
      <c r="Q856" s="45"/>
      <c r="R856" s="45"/>
      <c r="S856" s="45"/>
    </row>
    <row r="857" spans="1:19" ht="85.5" customHeight="1" x14ac:dyDescent="0.25">
      <c r="A857" s="138" t="s">
        <v>289</v>
      </c>
      <c r="B857" s="138" t="s">
        <v>1573</v>
      </c>
      <c r="C857" s="140">
        <v>0</v>
      </c>
      <c r="D857" s="140">
        <v>0</v>
      </c>
      <c r="E857" s="140">
        <v>36.5</v>
      </c>
      <c r="F857" s="146"/>
      <c r="G857" s="45"/>
      <c r="H857" s="45"/>
      <c r="I857" s="45"/>
      <c r="J857" s="45"/>
      <c r="K857" s="45"/>
      <c r="L857" s="45"/>
      <c r="M857" s="45"/>
      <c r="N857" s="45"/>
      <c r="O857" s="45"/>
      <c r="P857" s="45"/>
      <c r="Q857" s="45"/>
      <c r="R857" s="45"/>
      <c r="S857" s="45"/>
    </row>
    <row r="858" spans="1:19" ht="32.25" customHeight="1" x14ac:dyDescent="0.25">
      <c r="A858" s="138" t="s">
        <v>1574</v>
      </c>
      <c r="B858" s="138" t="s">
        <v>1575</v>
      </c>
      <c r="C858" s="139">
        <f>SUM(C859:C861)</f>
        <v>29777.7</v>
      </c>
      <c r="D858" s="139">
        <f>SUM(D859:D861)</f>
        <v>31146</v>
      </c>
      <c r="E858" s="139">
        <f>SUM(E859:E861)+0.1</f>
        <v>28463</v>
      </c>
      <c r="F858" s="145"/>
      <c r="G858" s="45"/>
      <c r="H858" s="45"/>
      <c r="I858" s="45"/>
      <c r="J858" s="45"/>
      <c r="K858" s="45"/>
      <c r="L858" s="45"/>
      <c r="M858" s="45"/>
      <c r="N858" s="45"/>
      <c r="O858" s="45"/>
      <c r="P858" s="45"/>
      <c r="Q858" s="45"/>
      <c r="R858" s="45"/>
      <c r="S858" s="45"/>
    </row>
    <row r="859" spans="1:19" ht="44.25" customHeight="1" x14ac:dyDescent="0.25">
      <c r="A859" s="138" t="s">
        <v>192</v>
      </c>
      <c r="B859" s="138" t="s">
        <v>1576</v>
      </c>
      <c r="C859" s="140">
        <v>26904.7</v>
      </c>
      <c r="D859" s="140">
        <v>27026.799999999999</v>
      </c>
      <c r="E859" s="140">
        <v>26398.7</v>
      </c>
      <c r="F859" s="146"/>
      <c r="G859" s="45"/>
      <c r="H859" s="45"/>
      <c r="I859" s="45"/>
      <c r="J859" s="45"/>
      <c r="K859" s="45"/>
      <c r="L859" s="45"/>
      <c r="M859" s="45"/>
      <c r="N859" s="45"/>
      <c r="O859" s="45"/>
      <c r="P859" s="45"/>
      <c r="Q859" s="45"/>
      <c r="R859" s="45"/>
      <c r="S859" s="45"/>
    </row>
    <row r="860" spans="1:19" ht="43.5" customHeight="1" x14ac:dyDescent="0.25">
      <c r="A860" s="138" t="s">
        <v>196</v>
      </c>
      <c r="B860" s="138" t="s">
        <v>1577</v>
      </c>
      <c r="C860" s="140">
        <v>1930.7</v>
      </c>
      <c r="D860" s="140">
        <v>2527.6999999999998</v>
      </c>
      <c r="E860" s="140">
        <v>992.9</v>
      </c>
      <c r="F860" s="146"/>
      <c r="G860" s="45"/>
      <c r="H860" s="45"/>
      <c r="I860" s="45"/>
      <c r="J860" s="45"/>
      <c r="K860" s="45"/>
      <c r="L860" s="45"/>
      <c r="M860" s="45"/>
      <c r="N860" s="45"/>
      <c r="O860" s="45"/>
      <c r="P860" s="45"/>
      <c r="Q860" s="45"/>
      <c r="R860" s="45"/>
      <c r="S860" s="45"/>
    </row>
    <row r="861" spans="1:19" ht="37.5" customHeight="1" x14ac:dyDescent="0.25">
      <c r="A861" s="138" t="s">
        <v>180</v>
      </c>
      <c r="B861" s="138" t="s">
        <v>1578</v>
      </c>
      <c r="C861" s="140">
        <v>942.3</v>
      </c>
      <c r="D861" s="140">
        <v>1591.5</v>
      </c>
      <c r="E861" s="140">
        <v>1071.3</v>
      </c>
      <c r="F861" s="146"/>
      <c r="G861" s="45"/>
      <c r="H861" s="45"/>
      <c r="I861" s="45"/>
      <c r="J861" s="45"/>
      <c r="K861" s="45"/>
      <c r="L861" s="45"/>
      <c r="M861" s="45"/>
      <c r="N861" s="45"/>
      <c r="O861" s="45"/>
      <c r="P861" s="45"/>
      <c r="Q861" s="45"/>
      <c r="R861" s="45"/>
      <c r="S861" s="45"/>
    </row>
    <row r="862" spans="1:19" ht="32.25" customHeight="1" x14ac:dyDescent="0.25">
      <c r="A862" s="141"/>
      <c r="B862" s="142" t="s">
        <v>1579</v>
      </c>
      <c r="C862" s="143">
        <f>C845+C858</f>
        <v>183852.2</v>
      </c>
      <c r="D862" s="143">
        <f>D845+D858</f>
        <v>208635.30000000002</v>
      </c>
      <c r="E862" s="143">
        <f>E845+E858</f>
        <v>185080.80000000002</v>
      </c>
      <c r="F862" s="147"/>
      <c r="G862" s="45"/>
      <c r="H862" s="45"/>
      <c r="I862" s="45"/>
      <c r="J862" s="45"/>
      <c r="K862" s="45"/>
      <c r="L862" s="45"/>
      <c r="M862" s="45"/>
      <c r="N862" s="45"/>
      <c r="O862" s="45"/>
      <c r="P862" s="45"/>
      <c r="Q862" s="45"/>
      <c r="R862" s="45"/>
      <c r="S862" s="45"/>
    </row>
    <row r="863" spans="1:19" x14ac:dyDescent="0.25">
      <c r="A863" s="2"/>
      <c r="B863" s="2"/>
      <c r="C863" s="2"/>
      <c r="D863" s="2"/>
      <c r="E863" s="2"/>
      <c r="F863" s="2"/>
      <c r="G863" s="2"/>
      <c r="H863" s="2"/>
      <c r="I863" s="2"/>
      <c r="J863" s="2"/>
      <c r="K863" s="2"/>
      <c r="L863" s="2"/>
      <c r="M863" s="2"/>
      <c r="N863" s="2"/>
      <c r="O863" s="2"/>
      <c r="P863" s="2"/>
      <c r="Q863" s="2"/>
      <c r="R863" s="2"/>
      <c r="S863" s="2"/>
    </row>
    <row r="864" spans="1:19" x14ac:dyDescent="0.25">
      <c r="A864" s="2"/>
      <c r="B864" s="2"/>
      <c r="C864" s="2"/>
      <c r="D864" s="2"/>
      <c r="E864" s="2"/>
      <c r="F864" s="2"/>
      <c r="G864" s="2"/>
      <c r="H864" s="2"/>
      <c r="I864" s="2"/>
      <c r="J864" s="2"/>
      <c r="K864" s="2"/>
      <c r="L864" s="2"/>
      <c r="M864" s="2"/>
      <c r="N864" s="2"/>
      <c r="O864" s="2"/>
      <c r="P864" s="2"/>
      <c r="Q864" s="2"/>
      <c r="R864" s="2"/>
      <c r="S864" s="2"/>
    </row>
  </sheetData>
  <mergeCells count="1589">
    <mergeCell ref="J839:J841"/>
    <mergeCell ref="K839:K841"/>
    <mergeCell ref="R839:R841"/>
    <mergeCell ref="S839:S841"/>
    <mergeCell ref="R118:R120"/>
    <mergeCell ref="S118:S120"/>
    <mergeCell ref="A825:A827"/>
    <mergeCell ref="B825:B827"/>
    <mergeCell ref="C825:C827"/>
    <mergeCell ref="D825:D827"/>
    <mergeCell ref="E825:E827"/>
    <mergeCell ref="F825:F827"/>
    <mergeCell ref="G825:G827"/>
    <mergeCell ref="A830:A831"/>
    <mergeCell ref="B830:B831"/>
    <mergeCell ref="C830:C831"/>
    <mergeCell ref="R830:R831"/>
    <mergeCell ref="S830:S831"/>
    <mergeCell ref="A834:A836"/>
    <mergeCell ref="B834:B836"/>
    <mergeCell ref="C834:C836"/>
    <mergeCell ref="H834:H836"/>
    <mergeCell ref="I834:I836"/>
    <mergeCell ref="J834:J836"/>
    <mergeCell ref="K834:K836"/>
    <mergeCell ref="R834:R836"/>
    <mergeCell ref="A820:A821"/>
    <mergeCell ref="B820:B821"/>
    <mergeCell ref="C820:C821"/>
    <mergeCell ref="D820:D821"/>
    <mergeCell ref="E820:E821"/>
    <mergeCell ref="A822:A823"/>
    <mergeCell ref="B822:B823"/>
    <mergeCell ref="C822:C823"/>
    <mergeCell ref="D822:D823"/>
    <mergeCell ref="E822:E823"/>
    <mergeCell ref="F822:F823"/>
    <mergeCell ref="G822:G823"/>
    <mergeCell ref="H822:H823"/>
    <mergeCell ref="A839:A841"/>
    <mergeCell ref="B839:B841"/>
    <mergeCell ref="C839:C841"/>
    <mergeCell ref="H839:H841"/>
    <mergeCell ref="A809:A810"/>
    <mergeCell ref="B809:B810"/>
    <mergeCell ref="C809:C810"/>
    <mergeCell ref="H809:H810"/>
    <mergeCell ref="I839:I841"/>
    <mergeCell ref="A816:A817"/>
    <mergeCell ref="B816:B817"/>
    <mergeCell ref="C816:C817"/>
    <mergeCell ref="H816:H817"/>
    <mergeCell ref="I816:I817"/>
    <mergeCell ref="J816:J817"/>
    <mergeCell ref="K816:K817"/>
    <mergeCell ref="R816:R817"/>
    <mergeCell ref="S816:S817"/>
    <mergeCell ref="A803:A804"/>
    <mergeCell ref="B803:B804"/>
    <mergeCell ref="C803:C804"/>
    <mergeCell ref="D803:D804"/>
    <mergeCell ref="E803:E804"/>
    <mergeCell ref="A805:A808"/>
    <mergeCell ref="B805:B808"/>
    <mergeCell ref="C805:C808"/>
    <mergeCell ref="F803:F804"/>
    <mergeCell ref="G803:G804"/>
    <mergeCell ref="H803:H804"/>
    <mergeCell ref="I803:I804"/>
    <mergeCell ref="J803:J804"/>
    <mergeCell ref="K803:K804"/>
    <mergeCell ref="R803:R804"/>
    <mergeCell ref="S803:S804"/>
    <mergeCell ref="H805:H808"/>
    <mergeCell ref="I805:I808"/>
    <mergeCell ref="A796:A798"/>
    <mergeCell ref="B796:B798"/>
    <mergeCell ref="C796:C798"/>
    <mergeCell ref="H796:H798"/>
    <mergeCell ref="I796:I798"/>
    <mergeCell ref="J796:J798"/>
    <mergeCell ref="K796:K798"/>
    <mergeCell ref="R796:R798"/>
    <mergeCell ref="S796:S798"/>
    <mergeCell ref="A799:A800"/>
    <mergeCell ref="B799:B800"/>
    <mergeCell ref="C799:C800"/>
    <mergeCell ref="D799:D800"/>
    <mergeCell ref="E799:E800"/>
    <mergeCell ref="F799:F800"/>
    <mergeCell ref="G799:G800"/>
    <mergeCell ref="R799:R800"/>
    <mergeCell ref="A764:A774"/>
    <mergeCell ref="B764:B774"/>
    <mergeCell ref="C764:C774"/>
    <mergeCell ref="D769:D774"/>
    <mergeCell ref="E769:E774"/>
    <mergeCell ref="F769:F774"/>
    <mergeCell ref="G769:G774"/>
    <mergeCell ref="A775:A776"/>
    <mergeCell ref="B775:B776"/>
    <mergeCell ref="C775:C776"/>
    <mergeCell ref="D775:D776"/>
    <mergeCell ref="E775:E776"/>
    <mergeCell ref="F775:F776"/>
    <mergeCell ref="G775:G776"/>
    <mergeCell ref="K5:S5"/>
    <mergeCell ref="K6:S6"/>
    <mergeCell ref="K7:S7"/>
    <mergeCell ref="A277:A281"/>
    <mergeCell ref="B277:B281"/>
    <mergeCell ref="C277:C281"/>
    <mergeCell ref="R278:R281"/>
    <mergeCell ref="S278:S281"/>
    <mergeCell ref="H278:H281"/>
    <mergeCell ref="I278:I281"/>
    <mergeCell ref="J278:J281"/>
    <mergeCell ref="K278:K281"/>
    <mergeCell ref="A287:A289"/>
    <mergeCell ref="B287:B289"/>
    <mergeCell ref="C287:C289"/>
    <mergeCell ref="R287:R289"/>
    <mergeCell ref="S287:S289"/>
    <mergeCell ref="A282:A286"/>
    <mergeCell ref="B282:B286"/>
    <mergeCell ref="C282:C286"/>
    <mergeCell ref="R282:R286"/>
    <mergeCell ref="S282:S286"/>
    <mergeCell ref="H284:H286"/>
    <mergeCell ref="I284:I286"/>
    <mergeCell ref="J284:J286"/>
    <mergeCell ref="K284:K286"/>
    <mergeCell ref="A270:A273"/>
    <mergeCell ref="B270:B273"/>
    <mergeCell ref="C270:C273"/>
    <mergeCell ref="R270:R273"/>
    <mergeCell ref="S270:S273"/>
    <mergeCell ref="H271:H273"/>
    <mergeCell ref="I271:I273"/>
    <mergeCell ref="J271:J273"/>
    <mergeCell ref="K271:K273"/>
    <mergeCell ref="A274:A276"/>
    <mergeCell ref="B274:B276"/>
    <mergeCell ref="C274:C276"/>
    <mergeCell ref="H274:H276"/>
    <mergeCell ref="I274:I276"/>
    <mergeCell ref="J274:J276"/>
    <mergeCell ref="K274:K276"/>
    <mergeCell ref="R274:R276"/>
    <mergeCell ref="S274:S276"/>
    <mergeCell ref="H259:S259"/>
    <mergeCell ref="H260:S260"/>
    <mergeCell ref="A261:A263"/>
    <mergeCell ref="B261:B263"/>
    <mergeCell ref="C261:C263"/>
    <mergeCell ref="H262:H263"/>
    <mergeCell ref="I262:I263"/>
    <mergeCell ref="J262:J263"/>
    <mergeCell ref="K262:K263"/>
    <mergeCell ref="S262:S263"/>
    <mergeCell ref="R262:R263"/>
    <mergeCell ref="A264:A266"/>
    <mergeCell ref="B264:B266"/>
    <mergeCell ref="C264:C266"/>
    <mergeCell ref="A267:A268"/>
    <mergeCell ref="B267:B268"/>
    <mergeCell ref="C267:C268"/>
    <mergeCell ref="D267:D268"/>
    <mergeCell ref="E267:E268"/>
    <mergeCell ref="F267:F268"/>
    <mergeCell ref="G267:G268"/>
    <mergeCell ref="B260:D260"/>
    <mergeCell ref="B259:D259"/>
    <mergeCell ref="A244:A250"/>
    <mergeCell ref="B244:B250"/>
    <mergeCell ref="C244:C250"/>
    <mergeCell ref="H244:H250"/>
    <mergeCell ref="I244:I250"/>
    <mergeCell ref="J244:J250"/>
    <mergeCell ref="K244:K250"/>
    <mergeCell ref="R244:R250"/>
    <mergeCell ref="S244:S250"/>
    <mergeCell ref="A251:A255"/>
    <mergeCell ref="B251:B255"/>
    <mergeCell ref="C251:C255"/>
    <mergeCell ref="H251:H255"/>
    <mergeCell ref="I251:I255"/>
    <mergeCell ref="J251:J255"/>
    <mergeCell ref="K251:K255"/>
    <mergeCell ref="R251:R255"/>
    <mergeCell ref="S251:S255"/>
    <mergeCell ref="A233:A238"/>
    <mergeCell ref="B233:B238"/>
    <mergeCell ref="C233:C238"/>
    <mergeCell ref="R233:R238"/>
    <mergeCell ref="S233:S238"/>
    <mergeCell ref="H233:H238"/>
    <mergeCell ref="I233:I238"/>
    <mergeCell ref="J233:J238"/>
    <mergeCell ref="K233:K238"/>
    <mergeCell ref="A239:A243"/>
    <mergeCell ref="B239:B243"/>
    <mergeCell ref="C239:C243"/>
    <mergeCell ref="R239:R243"/>
    <mergeCell ref="S239:S243"/>
    <mergeCell ref="H239:H243"/>
    <mergeCell ref="I239:I243"/>
    <mergeCell ref="J239:J243"/>
    <mergeCell ref="K239:K243"/>
    <mergeCell ref="A222:A227"/>
    <mergeCell ref="B222:B227"/>
    <mergeCell ref="C222:C227"/>
    <mergeCell ref="R222:R227"/>
    <mergeCell ref="S222:S227"/>
    <mergeCell ref="H222:H227"/>
    <mergeCell ref="I222:I227"/>
    <mergeCell ref="J222:J227"/>
    <mergeCell ref="K222:K227"/>
    <mergeCell ref="A228:A232"/>
    <mergeCell ref="B228:B232"/>
    <mergeCell ref="C228:C232"/>
    <mergeCell ref="R228:R232"/>
    <mergeCell ref="S228:S232"/>
    <mergeCell ref="H228:H232"/>
    <mergeCell ref="I228:I232"/>
    <mergeCell ref="J228:J232"/>
    <mergeCell ref="K228:K232"/>
    <mergeCell ref="A212:A215"/>
    <mergeCell ref="B212:B215"/>
    <mergeCell ref="C212:C215"/>
    <mergeCell ref="R212:R215"/>
    <mergeCell ref="S212:S215"/>
    <mergeCell ref="H212:H215"/>
    <mergeCell ref="I212:I215"/>
    <mergeCell ref="J212:J215"/>
    <mergeCell ref="K212:K215"/>
    <mergeCell ref="H216:S216"/>
    <mergeCell ref="A217:A221"/>
    <mergeCell ref="B217:B221"/>
    <mergeCell ref="C217:C221"/>
    <mergeCell ref="H218:H221"/>
    <mergeCell ref="I218:I221"/>
    <mergeCell ref="J218:J221"/>
    <mergeCell ref="K218:K221"/>
    <mergeCell ref="R217:R221"/>
    <mergeCell ref="S217:S221"/>
    <mergeCell ref="B216:D216"/>
    <mergeCell ref="R202:R204"/>
    <mergeCell ref="S202:S204"/>
    <mergeCell ref="A205:A207"/>
    <mergeCell ref="B205:B207"/>
    <mergeCell ref="C205:C207"/>
    <mergeCell ref="H205:H207"/>
    <mergeCell ref="I205:I207"/>
    <mergeCell ref="J205:J207"/>
    <mergeCell ref="K205:K207"/>
    <mergeCell ref="R205:R207"/>
    <mergeCell ref="S205:S207"/>
    <mergeCell ref="H208:S208"/>
    <mergeCell ref="A209:A211"/>
    <mergeCell ref="B209:B211"/>
    <mergeCell ref="C209:C211"/>
    <mergeCell ref="H209:H211"/>
    <mergeCell ref="I209:I211"/>
    <mergeCell ref="J209:J211"/>
    <mergeCell ref="K209:K211"/>
    <mergeCell ref="R209:R211"/>
    <mergeCell ref="S209:S211"/>
    <mergeCell ref="A198:A200"/>
    <mergeCell ref="B198:B200"/>
    <mergeCell ref="C198:C200"/>
    <mergeCell ref="D198:D200"/>
    <mergeCell ref="E198:E200"/>
    <mergeCell ref="F198:F200"/>
    <mergeCell ref="G198:G200"/>
    <mergeCell ref="A195:A196"/>
    <mergeCell ref="B195:B196"/>
    <mergeCell ref="C195:C196"/>
    <mergeCell ref="A201:A204"/>
    <mergeCell ref="B201:B204"/>
    <mergeCell ref="C201:C204"/>
    <mergeCell ref="H202:H204"/>
    <mergeCell ref="I202:I204"/>
    <mergeCell ref="J202:J204"/>
    <mergeCell ref="K202:K204"/>
    <mergeCell ref="H182:S182"/>
    <mergeCell ref="H183:S183"/>
    <mergeCell ref="A184:A186"/>
    <mergeCell ref="B184:B186"/>
    <mergeCell ref="C184:C186"/>
    <mergeCell ref="H187:S187"/>
    <mergeCell ref="H188:S188"/>
    <mergeCell ref="B187:D187"/>
    <mergeCell ref="B188:D188"/>
    <mergeCell ref="H195:H196"/>
    <mergeCell ref="I195:I196"/>
    <mergeCell ref="J195:J196"/>
    <mergeCell ref="K195:K196"/>
    <mergeCell ref="R195:R196"/>
    <mergeCell ref="S195:S196"/>
    <mergeCell ref="B189:D189"/>
    <mergeCell ref="H189:S189"/>
    <mergeCell ref="A190:A194"/>
    <mergeCell ref="B190:B194"/>
    <mergeCell ref="C190:C194"/>
    <mergeCell ref="H191:H194"/>
    <mergeCell ref="I191:I194"/>
    <mergeCell ref="J191:J194"/>
    <mergeCell ref="K191:K194"/>
    <mergeCell ref="R190:R194"/>
    <mergeCell ref="S190:S194"/>
    <mergeCell ref="A171:A173"/>
    <mergeCell ref="B171:B173"/>
    <mergeCell ref="C171:C173"/>
    <mergeCell ref="A174:A176"/>
    <mergeCell ref="B174:B176"/>
    <mergeCell ref="C174:C176"/>
    <mergeCell ref="H174:H176"/>
    <mergeCell ref="I174:I176"/>
    <mergeCell ref="J174:J176"/>
    <mergeCell ref="K174:K176"/>
    <mergeCell ref="R174:R176"/>
    <mergeCell ref="S174:S176"/>
    <mergeCell ref="H177:S177"/>
    <mergeCell ref="A178:A180"/>
    <mergeCell ref="B178:B180"/>
    <mergeCell ref="C178:C180"/>
    <mergeCell ref="H178:H180"/>
    <mergeCell ref="I178:I180"/>
    <mergeCell ref="J178:J180"/>
    <mergeCell ref="K178:K180"/>
    <mergeCell ref="R178:R180"/>
    <mergeCell ref="S178:S180"/>
    <mergeCell ref="H164:S164"/>
    <mergeCell ref="A165:A167"/>
    <mergeCell ref="B165:B167"/>
    <mergeCell ref="C165:C167"/>
    <mergeCell ref="H165:H167"/>
    <mergeCell ref="I165:I167"/>
    <mergeCell ref="J165:J167"/>
    <mergeCell ref="K165:K167"/>
    <mergeCell ref="R165:R167"/>
    <mergeCell ref="S165:S167"/>
    <mergeCell ref="A168:A170"/>
    <mergeCell ref="B168:B170"/>
    <mergeCell ref="C168:C170"/>
    <mergeCell ref="H168:H170"/>
    <mergeCell ref="I168:I170"/>
    <mergeCell ref="J168:J170"/>
    <mergeCell ref="K168:K170"/>
    <mergeCell ref="R168:R170"/>
    <mergeCell ref="S168:S170"/>
    <mergeCell ref="A157:A159"/>
    <mergeCell ref="B157:B159"/>
    <mergeCell ref="C157:C159"/>
    <mergeCell ref="H157:H159"/>
    <mergeCell ref="I157:I159"/>
    <mergeCell ref="J157:J159"/>
    <mergeCell ref="K157:K159"/>
    <mergeCell ref="R157:R159"/>
    <mergeCell ref="S157:S159"/>
    <mergeCell ref="A160:A163"/>
    <mergeCell ref="B160:B163"/>
    <mergeCell ref="C160:C163"/>
    <mergeCell ref="H160:H163"/>
    <mergeCell ref="I160:I163"/>
    <mergeCell ref="J160:J163"/>
    <mergeCell ref="K160:K163"/>
    <mergeCell ref="R160:R163"/>
    <mergeCell ref="S160:S163"/>
    <mergeCell ref="A149:A153"/>
    <mergeCell ref="B149:B153"/>
    <mergeCell ref="C149:C153"/>
    <mergeCell ref="H150:H153"/>
    <mergeCell ref="I150:I153"/>
    <mergeCell ref="J150:J153"/>
    <mergeCell ref="K150:K153"/>
    <mergeCell ref="R150:R153"/>
    <mergeCell ref="S150:S153"/>
    <mergeCell ref="A154:A156"/>
    <mergeCell ref="B154:B156"/>
    <mergeCell ref="C154:C156"/>
    <mergeCell ref="H154:H156"/>
    <mergeCell ref="I154:I156"/>
    <mergeCell ref="J154:J156"/>
    <mergeCell ref="K154:K156"/>
    <mergeCell ref="R154:R156"/>
    <mergeCell ref="S154:S156"/>
    <mergeCell ref="H137:S137"/>
    <mergeCell ref="A138:A140"/>
    <mergeCell ref="B138:B140"/>
    <mergeCell ref="C138:C140"/>
    <mergeCell ref="H138:H140"/>
    <mergeCell ref="I138:I140"/>
    <mergeCell ref="J138:J140"/>
    <mergeCell ref="K138:K140"/>
    <mergeCell ref="R138:R140"/>
    <mergeCell ref="S138:S140"/>
    <mergeCell ref="H142:S142"/>
    <mergeCell ref="A143:A147"/>
    <mergeCell ref="B143:B147"/>
    <mergeCell ref="C143:C147"/>
    <mergeCell ref="H143:H147"/>
    <mergeCell ref="I143:I147"/>
    <mergeCell ref="J143:J147"/>
    <mergeCell ref="K143:K147"/>
    <mergeCell ref="R144:R147"/>
    <mergeCell ref="S143:S147"/>
    <mergeCell ref="A128:A132"/>
    <mergeCell ref="B128:B132"/>
    <mergeCell ref="C128:C132"/>
    <mergeCell ref="H128:H132"/>
    <mergeCell ref="I128:I132"/>
    <mergeCell ref="J128:J132"/>
    <mergeCell ref="K128:K132"/>
    <mergeCell ref="R128:R132"/>
    <mergeCell ref="S128:S132"/>
    <mergeCell ref="A133:A135"/>
    <mergeCell ref="B133:B135"/>
    <mergeCell ref="C133:C135"/>
    <mergeCell ref="H133:H135"/>
    <mergeCell ref="I133:I135"/>
    <mergeCell ref="J133:J135"/>
    <mergeCell ref="K133:K135"/>
    <mergeCell ref="R133:R135"/>
    <mergeCell ref="S133:S135"/>
    <mergeCell ref="A121:A123"/>
    <mergeCell ref="B121:B123"/>
    <mergeCell ref="C121:C123"/>
    <mergeCell ref="H122:H123"/>
    <mergeCell ref="I122:I123"/>
    <mergeCell ref="J122:J123"/>
    <mergeCell ref="K122:K123"/>
    <mergeCell ref="R122:R123"/>
    <mergeCell ref="S122:S123"/>
    <mergeCell ref="H124:S124"/>
    <mergeCell ref="A125:A127"/>
    <mergeCell ref="B125:B127"/>
    <mergeCell ref="C125:C127"/>
    <mergeCell ref="H125:H127"/>
    <mergeCell ref="I125:I127"/>
    <mergeCell ref="J125:J127"/>
    <mergeCell ref="K125:K127"/>
    <mergeCell ref="R125:R127"/>
    <mergeCell ref="S125:S127"/>
    <mergeCell ref="H112:S112"/>
    <mergeCell ref="H113:S113"/>
    <mergeCell ref="H114:S114"/>
    <mergeCell ref="B113:D113"/>
    <mergeCell ref="B114:D114"/>
    <mergeCell ref="B112:D112"/>
    <mergeCell ref="A115:A117"/>
    <mergeCell ref="B115:B117"/>
    <mergeCell ref="C115:C117"/>
    <mergeCell ref="H116:H117"/>
    <mergeCell ref="I116:I117"/>
    <mergeCell ref="J116:J117"/>
    <mergeCell ref="K116:K117"/>
    <mergeCell ref="R116:R117"/>
    <mergeCell ref="S116:S117"/>
    <mergeCell ref="A118:A120"/>
    <mergeCell ref="B118:B120"/>
    <mergeCell ref="C118:C120"/>
    <mergeCell ref="H119:H120"/>
    <mergeCell ref="I119:I120"/>
    <mergeCell ref="J119:J120"/>
    <mergeCell ref="K119:K120"/>
    <mergeCell ref="A106:A108"/>
    <mergeCell ref="B106:B108"/>
    <mergeCell ref="C106:C108"/>
    <mergeCell ref="H106:H108"/>
    <mergeCell ref="I106:I108"/>
    <mergeCell ref="J106:J108"/>
    <mergeCell ref="K106:K108"/>
    <mergeCell ref="R106:R108"/>
    <mergeCell ref="S106:S108"/>
    <mergeCell ref="H109:S109"/>
    <mergeCell ref="A110:A111"/>
    <mergeCell ref="B110:B111"/>
    <mergeCell ref="C110:C111"/>
    <mergeCell ref="D110:D111"/>
    <mergeCell ref="E110:E111"/>
    <mergeCell ref="F110:F111"/>
    <mergeCell ref="G110:G111"/>
    <mergeCell ref="R110:R111"/>
    <mergeCell ref="S110:S111"/>
    <mergeCell ref="A100:A102"/>
    <mergeCell ref="B100:B102"/>
    <mergeCell ref="C100:C102"/>
    <mergeCell ref="H100:H102"/>
    <mergeCell ref="I100:I102"/>
    <mergeCell ref="J100:J102"/>
    <mergeCell ref="K100:K102"/>
    <mergeCell ref="R100:R102"/>
    <mergeCell ref="S100:S102"/>
    <mergeCell ref="A103:A105"/>
    <mergeCell ref="B103:B105"/>
    <mergeCell ref="C103:C105"/>
    <mergeCell ref="H103:H105"/>
    <mergeCell ref="I103:I105"/>
    <mergeCell ref="J103:J105"/>
    <mergeCell ref="K103:K105"/>
    <mergeCell ref="R103:R105"/>
    <mergeCell ref="S103:S105"/>
    <mergeCell ref="I92:I94"/>
    <mergeCell ref="J92:J94"/>
    <mergeCell ref="K92:K94"/>
    <mergeCell ref="R92:R94"/>
    <mergeCell ref="S92:S94"/>
    <mergeCell ref="B80:D80"/>
    <mergeCell ref="B81:D81"/>
    <mergeCell ref="R82:R84"/>
    <mergeCell ref="S82:S84"/>
    <mergeCell ref="J89:J91"/>
    <mergeCell ref="K89:K91"/>
    <mergeCell ref="R89:R91"/>
    <mergeCell ref="S89:S91"/>
    <mergeCell ref="H81:S81"/>
    <mergeCell ref="H95:S95"/>
    <mergeCell ref="H96:S96"/>
    <mergeCell ref="A97:A99"/>
    <mergeCell ref="B97:B99"/>
    <mergeCell ref="C97:C99"/>
    <mergeCell ref="C92:C94"/>
    <mergeCell ref="H97:H99"/>
    <mergeCell ref="I97:I99"/>
    <mergeCell ref="J97:J99"/>
    <mergeCell ref="K97:K99"/>
    <mergeCell ref="R97:R99"/>
    <mergeCell ref="S97:S99"/>
    <mergeCell ref="A92:A94"/>
    <mergeCell ref="A85:A88"/>
    <mergeCell ref="B85:B88"/>
    <mergeCell ref="C85:C88"/>
    <mergeCell ref="H85:H88"/>
    <mergeCell ref="I85:I88"/>
    <mergeCell ref="D9:R9"/>
    <mergeCell ref="D10:R10"/>
    <mergeCell ref="E13:G14"/>
    <mergeCell ref="H13:K13"/>
    <mergeCell ref="A19:A20"/>
    <mergeCell ref="B19:B20"/>
    <mergeCell ref="C19:C20"/>
    <mergeCell ref="A21:A23"/>
    <mergeCell ref="B21:B23"/>
    <mergeCell ref="C21:C23"/>
    <mergeCell ref="H16:S16"/>
    <mergeCell ref="H17:S17"/>
    <mergeCell ref="H18:S18"/>
    <mergeCell ref="J14:J15"/>
    <mergeCell ref="K14:K15"/>
    <mergeCell ref="R13:R15"/>
    <mergeCell ref="S13:S15"/>
    <mergeCell ref="R19:R20"/>
    <mergeCell ref="S19:S20"/>
    <mergeCell ref="H19:H20"/>
    <mergeCell ref="I19:I20"/>
    <mergeCell ref="J19:J20"/>
    <mergeCell ref="K19:K20"/>
    <mergeCell ref="A13:A15"/>
    <mergeCell ref="B13:B15"/>
    <mergeCell ref="C13:C15"/>
    <mergeCell ref="D13:D15"/>
    <mergeCell ref="H14:H15"/>
    <mergeCell ref="I14:I15"/>
    <mergeCell ref="L14:M14"/>
    <mergeCell ref="N14:O14"/>
    <mergeCell ref="P14:Q14"/>
    <mergeCell ref="A47:A49"/>
    <mergeCell ref="B47:B49"/>
    <mergeCell ref="C47:C49"/>
    <mergeCell ref="B46:D46"/>
    <mergeCell ref="B45:D45"/>
    <mergeCell ref="B43:D43"/>
    <mergeCell ref="B41:D41"/>
    <mergeCell ref="B40:D40"/>
    <mergeCell ref="F32:F33"/>
    <mergeCell ref="A30:A33"/>
    <mergeCell ref="B30:B33"/>
    <mergeCell ref="C30:C33"/>
    <mergeCell ref="D32:D33"/>
    <mergeCell ref="E32:E33"/>
    <mergeCell ref="A25:A27"/>
    <mergeCell ref="B25:B27"/>
    <mergeCell ref="H25:H27"/>
    <mergeCell ref="B36:D36"/>
    <mergeCell ref="B35:D35"/>
    <mergeCell ref="H41:S41"/>
    <mergeCell ref="H45:S45"/>
    <mergeCell ref="H46:S46"/>
    <mergeCell ref="B29:D29"/>
    <mergeCell ref="B28:D28"/>
    <mergeCell ref="B16:D16"/>
    <mergeCell ref="B17:D17"/>
    <mergeCell ref="B18:D18"/>
    <mergeCell ref="H52:S52"/>
    <mergeCell ref="H51:S51"/>
    <mergeCell ref="H50:S50"/>
    <mergeCell ref="B51:D51"/>
    <mergeCell ref="B52:D52"/>
    <mergeCell ref="G32:G33"/>
    <mergeCell ref="K25:K27"/>
    <mergeCell ref="R25:R27"/>
    <mergeCell ref="S25:S27"/>
    <mergeCell ref="H28:S28"/>
    <mergeCell ref="H29:S29"/>
    <mergeCell ref="H35:S35"/>
    <mergeCell ref="H36:S36"/>
    <mergeCell ref="H40:S40"/>
    <mergeCell ref="I25:I27"/>
    <mergeCell ref="J25:J27"/>
    <mergeCell ref="D22:D23"/>
    <mergeCell ref="E22:E23"/>
    <mergeCell ref="F22:F23"/>
    <mergeCell ref="G22:G23"/>
    <mergeCell ref="J85:J88"/>
    <mergeCell ref="K85:K88"/>
    <mergeCell ref="R85:R88"/>
    <mergeCell ref="S85:S88"/>
    <mergeCell ref="A82:A84"/>
    <mergeCell ref="B82:B84"/>
    <mergeCell ref="C82:C84"/>
    <mergeCell ref="A58:A69"/>
    <mergeCell ref="B58:B69"/>
    <mergeCell ref="C58:C69"/>
    <mergeCell ref="A71:A78"/>
    <mergeCell ref="B71:B78"/>
    <mergeCell ref="C71:C79"/>
    <mergeCell ref="H70:S70"/>
    <mergeCell ref="B70:D70"/>
    <mergeCell ref="D59:D69"/>
    <mergeCell ref="E59:E69"/>
    <mergeCell ref="F59:F69"/>
    <mergeCell ref="G59:G69"/>
    <mergeCell ref="H83:H84"/>
    <mergeCell ref="I83:I84"/>
    <mergeCell ref="J83:J84"/>
    <mergeCell ref="K83:K84"/>
    <mergeCell ref="B92:B94"/>
    <mergeCell ref="H92:H94"/>
    <mergeCell ref="S290:S293"/>
    <mergeCell ref="H292:H293"/>
    <mergeCell ref="I292:I293"/>
    <mergeCell ref="J292:J293"/>
    <mergeCell ref="K292:K293"/>
    <mergeCell ref="H288:H289"/>
    <mergeCell ref="I288:I289"/>
    <mergeCell ref="J288:J289"/>
    <mergeCell ref="K288:K289"/>
    <mergeCell ref="A89:A91"/>
    <mergeCell ref="B89:B91"/>
    <mergeCell ref="C89:C91"/>
    <mergeCell ref="H89:H91"/>
    <mergeCell ref="I89:I91"/>
    <mergeCell ref="A290:A293"/>
    <mergeCell ref="B290:B293"/>
    <mergeCell ref="C290:C293"/>
    <mergeCell ref="R290:R293"/>
    <mergeCell ref="H148:S148"/>
    <mergeCell ref="B142:C142"/>
    <mergeCell ref="B148:C148"/>
    <mergeCell ref="B137:D137"/>
    <mergeCell ref="B124:D124"/>
    <mergeCell ref="B164:D164"/>
    <mergeCell ref="B177:D177"/>
    <mergeCell ref="B182:D182"/>
    <mergeCell ref="B183:D183"/>
    <mergeCell ref="B197:D197"/>
    <mergeCell ref="H197:S197"/>
    <mergeCell ref="B208:D208"/>
    <mergeCell ref="H299:S299"/>
    <mergeCell ref="H300:S300"/>
    <mergeCell ref="H301:S301"/>
    <mergeCell ref="B299:D299"/>
    <mergeCell ref="B300:D300"/>
    <mergeCell ref="B301:D301"/>
    <mergeCell ref="A302:A303"/>
    <mergeCell ref="B302:B303"/>
    <mergeCell ref="C302:C303"/>
    <mergeCell ref="R302:R303"/>
    <mergeCell ref="S302:S303"/>
    <mergeCell ref="H302:H303"/>
    <mergeCell ref="I302:I303"/>
    <mergeCell ref="J302:J303"/>
    <mergeCell ref="K302:K303"/>
    <mergeCell ref="H295:S295"/>
    <mergeCell ref="A296:A298"/>
    <mergeCell ref="B296:B298"/>
    <mergeCell ref="C296:C298"/>
    <mergeCell ref="R296:R298"/>
    <mergeCell ref="H296:H298"/>
    <mergeCell ref="I296:I298"/>
    <mergeCell ref="J296:J298"/>
    <mergeCell ref="K296:K298"/>
    <mergeCell ref="S296:S298"/>
    <mergeCell ref="B295:D295"/>
    <mergeCell ref="A308:A310"/>
    <mergeCell ref="B308:B310"/>
    <mergeCell ref="C308:C310"/>
    <mergeCell ref="D308:D310"/>
    <mergeCell ref="E308:E310"/>
    <mergeCell ref="F308:F310"/>
    <mergeCell ref="G308:G310"/>
    <mergeCell ref="H311:S311"/>
    <mergeCell ref="A304:A306"/>
    <mergeCell ref="B304:B306"/>
    <mergeCell ref="C304:C306"/>
    <mergeCell ref="D304:D306"/>
    <mergeCell ref="E304:E306"/>
    <mergeCell ref="F304:F306"/>
    <mergeCell ref="G304:G306"/>
    <mergeCell ref="H307:S307"/>
    <mergeCell ref="B307:D307"/>
    <mergeCell ref="H316:S316"/>
    <mergeCell ref="A317:A321"/>
    <mergeCell ref="B317:B321"/>
    <mergeCell ref="C317:C321"/>
    <mergeCell ref="H320:H321"/>
    <mergeCell ref="I320:I321"/>
    <mergeCell ref="J320:J321"/>
    <mergeCell ref="K320:K321"/>
    <mergeCell ref="R320:R321"/>
    <mergeCell ref="S320:S321"/>
    <mergeCell ref="B316:D316"/>
    <mergeCell ref="H312:S312"/>
    <mergeCell ref="B311:D311"/>
    <mergeCell ref="B312:D312"/>
    <mergeCell ref="A313:A315"/>
    <mergeCell ref="B313:B315"/>
    <mergeCell ref="C313:C315"/>
    <mergeCell ref="H313:H315"/>
    <mergeCell ref="I313:I315"/>
    <mergeCell ref="J313:J315"/>
    <mergeCell ref="K313:K315"/>
    <mergeCell ref="R313:R315"/>
    <mergeCell ref="S313:S315"/>
    <mergeCell ref="I322:I324"/>
    <mergeCell ref="J322:J324"/>
    <mergeCell ref="K322:K324"/>
    <mergeCell ref="R322:R324"/>
    <mergeCell ref="S322:S324"/>
    <mergeCell ref="A325:A330"/>
    <mergeCell ref="B325:B330"/>
    <mergeCell ref="C325:C330"/>
    <mergeCell ref="S325:S330"/>
    <mergeCell ref="H329:H330"/>
    <mergeCell ref="I329:I330"/>
    <mergeCell ref="J329:J330"/>
    <mergeCell ref="K329:K330"/>
    <mergeCell ref="R329:R330"/>
    <mergeCell ref="A322:A324"/>
    <mergeCell ref="B322:B324"/>
    <mergeCell ref="C322:C324"/>
    <mergeCell ref="D323:D324"/>
    <mergeCell ref="E323:E324"/>
    <mergeCell ref="F323:F324"/>
    <mergeCell ref="G323:G324"/>
    <mergeCell ref="H322:H324"/>
    <mergeCell ref="H331:S331"/>
    <mergeCell ref="A332:A333"/>
    <mergeCell ref="B332:B333"/>
    <mergeCell ref="C332:C333"/>
    <mergeCell ref="B331:D331"/>
    <mergeCell ref="A335:A337"/>
    <mergeCell ref="B335:B337"/>
    <mergeCell ref="C335:C337"/>
    <mergeCell ref="H335:H337"/>
    <mergeCell ref="I335:I337"/>
    <mergeCell ref="J335:J337"/>
    <mergeCell ref="K335:K337"/>
    <mergeCell ref="R335:R337"/>
    <mergeCell ref="S335:S337"/>
    <mergeCell ref="D332:D333"/>
    <mergeCell ref="E332:E333"/>
    <mergeCell ref="F332:F333"/>
    <mergeCell ref="G332:G333"/>
    <mergeCell ref="H351:S351"/>
    <mergeCell ref="B351:D351"/>
    <mergeCell ref="H353:S353"/>
    <mergeCell ref="H354:S354"/>
    <mergeCell ref="H355:S355"/>
    <mergeCell ref="B353:D353"/>
    <mergeCell ref="B354:D354"/>
    <mergeCell ref="B355:D355"/>
    <mergeCell ref="A356:A362"/>
    <mergeCell ref="B356:B362"/>
    <mergeCell ref="C356:C362"/>
    <mergeCell ref="D359:D362"/>
    <mergeCell ref="E359:E362"/>
    <mergeCell ref="F359:F362"/>
    <mergeCell ref="G359:G362"/>
    <mergeCell ref="H338:S338"/>
    <mergeCell ref="H339:S339"/>
    <mergeCell ref="B338:D338"/>
    <mergeCell ref="B339:D339"/>
    <mergeCell ref="B340:D340"/>
    <mergeCell ref="H340:S340"/>
    <mergeCell ref="H345:S345"/>
    <mergeCell ref="B345:D345"/>
    <mergeCell ref="A348:A350"/>
    <mergeCell ref="B348:B350"/>
    <mergeCell ref="C348:C350"/>
    <mergeCell ref="H348:H350"/>
    <mergeCell ref="I348:I350"/>
    <mergeCell ref="J348:J350"/>
    <mergeCell ref="K348:K350"/>
    <mergeCell ref="R348:R350"/>
    <mergeCell ref="S348:S350"/>
    <mergeCell ref="H370:S370"/>
    <mergeCell ref="A372:A373"/>
    <mergeCell ref="B372:B373"/>
    <mergeCell ref="C372:C373"/>
    <mergeCell ref="D372:D373"/>
    <mergeCell ref="E372:E373"/>
    <mergeCell ref="F372:F373"/>
    <mergeCell ref="G372:G373"/>
    <mergeCell ref="B370:D370"/>
    <mergeCell ref="A363:A366"/>
    <mergeCell ref="B363:B366"/>
    <mergeCell ref="C363:C366"/>
    <mergeCell ref="D363:D366"/>
    <mergeCell ref="E363:E366"/>
    <mergeCell ref="F363:F366"/>
    <mergeCell ref="G363:G366"/>
    <mergeCell ref="A367:A369"/>
    <mergeCell ref="B367:B369"/>
    <mergeCell ref="C367:C369"/>
    <mergeCell ref="D367:D369"/>
    <mergeCell ref="E367:E369"/>
    <mergeCell ref="F367:F369"/>
    <mergeCell ref="G367:G369"/>
    <mergeCell ref="B382:D382"/>
    <mergeCell ref="B383:D383"/>
    <mergeCell ref="H382:S382"/>
    <mergeCell ref="H383:S383"/>
    <mergeCell ref="A384:A385"/>
    <mergeCell ref="B384:B385"/>
    <mergeCell ref="C384:C385"/>
    <mergeCell ref="H384:H385"/>
    <mergeCell ref="I384:I385"/>
    <mergeCell ref="J384:J385"/>
    <mergeCell ref="K384:K385"/>
    <mergeCell ref="R384:R385"/>
    <mergeCell ref="S384:S385"/>
    <mergeCell ref="H374:S374"/>
    <mergeCell ref="S372:S373"/>
    <mergeCell ref="B374:D374"/>
    <mergeCell ref="A375:A381"/>
    <mergeCell ref="B375:B381"/>
    <mergeCell ref="C375:C381"/>
    <mergeCell ref="H378:H381"/>
    <mergeCell ref="I378:I381"/>
    <mergeCell ref="J378:J381"/>
    <mergeCell ref="K378:K381"/>
    <mergeCell ref="R378:R381"/>
    <mergeCell ref="S378:S381"/>
    <mergeCell ref="A392:A393"/>
    <mergeCell ref="B392:B393"/>
    <mergeCell ref="C392:C393"/>
    <mergeCell ref="H395:S395"/>
    <mergeCell ref="A397:A400"/>
    <mergeCell ref="B397:B400"/>
    <mergeCell ref="C397:C400"/>
    <mergeCell ref="H397:H400"/>
    <mergeCell ref="I397:I400"/>
    <mergeCell ref="J397:J400"/>
    <mergeCell ref="K397:K400"/>
    <mergeCell ref="R397:R400"/>
    <mergeCell ref="S397:S400"/>
    <mergeCell ref="A389:A391"/>
    <mergeCell ref="B389:B391"/>
    <mergeCell ref="C389:C391"/>
    <mergeCell ref="H389:H391"/>
    <mergeCell ref="I389:I391"/>
    <mergeCell ref="J389:J391"/>
    <mergeCell ref="K389:K391"/>
    <mergeCell ref="R389:R391"/>
    <mergeCell ref="S389:S391"/>
    <mergeCell ref="H403:S403"/>
    <mergeCell ref="B395:D395"/>
    <mergeCell ref="B403:D403"/>
    <mergeCell ref="A404:A406"/>
    <mergeCell ref="B404:B406"/>
    <mergeCell ref="C404:C406"/>
    <mergeCell ref="H404:H406"/>
    <mergeCell ref="I404:I406"/>
    <mergeCell ref="J404:J406"/>
    <mergeCell ref="K404:K406"/>
    <mergeCell ref="R404:R406"/>
    <mergeCell ref="S404:S406"/>
    <mergeCell ref="A401:A402"/>
    <mergeCell ref="B401:B402"/>
    <mergeCell ref="C401:C402"/>
    <mergeCell ref="H401:H402"/>
    <mergeCell ref="I401:I402"/>
    <mergeCell ref="J401:J402"/>
    <mergeCell ref="K401:K402"/>
    <mergeCell ref="R401:R402"/>
    <mergeCell ref="S401:S402"/>
    <mergeCell ref="H418:S418"/>
    <mergeCell ref="H419:S419"/>
    <mergeCell ref="H420:S420"/>
    <mergeCell ref="B418:D418"/>
    <mergeCell ref="B419:D419"/>
    <mergeCell ref="B420:D420"/>
    <mergeCell ref="A421:A424"/>
    <mergeCell ref="B421:B424"/>
    <mergeCell ref="C421:C424"/>
    <mergeCell ref="D423:D424"/>
    <mergeCell ref="E423:E424"/>
    <mergeCell ref="F423:F424"/>
    <mergeCell ref="G423:G424"/>
    <mergeCell ref="H407:S407"/>
    <mergeCell ref="H408:S408"/>
    <mergeCell ref="B407:D407"/>
    <mergeCell ref="B408:D408"/>
    <mergeCell ref="H410:S410"/>
    <mergeCell ref="B410:D410"/>
    <mergeCell ref="A412:A414"/>
    <mergeCell ref="B412:B414"/>
    <mergeCell ref="C412:C414"/>
    <mergeCell ref="A431:A439"/>
    <mergeCell ref="B431:B439"/>
    <mergeCell ref="C431:C439"/>
    <mergeCell ref="D432:D439"/>
    <mergeCell ref="E432:E439"/>
    <mergeCell ref="F432:F439"/>
    <mergeCell ref="G432:G439"/>
    <mergeCell ref="H440:S440"/>
    <mergeCell ref="B440:D440"/>
    <mergeCell ref="H426:S426"/>
    <mergeCell ref="B426:D426"/>
    <mergeCell ref="A427:A429"/>
    <mergeCell ref="B427:B429"/>
    <mergeCell ref="C427:C429"/>
    <mergeCell ref="D427:D429"/>
    <mergeCell ref="E427:E429"/>
    <mergeCell ref="F427:F429"/>
    <mergeCell ref="G427:G429"/>
    <mergeCell ref="A453:A455"/>
    <mergeCell ref="B453:B455"/>
    <mergeCell ref="C453:C455"/>
    <mergeCell ref="H454:H455"/>
    <mergeCell ref="I454:I455"/>
    <mergeCell ref="J454:J455"/>
    <mergeCell ref="K454:K455"/>
    <mergeCell ref="R454:R455"/>
    <mergeCell ref="S454:S455"/>
    <mergeCell ref="B441:D441"/>
    <mergeCell ref="H441:S441"/>
    <mergeCell ref="A442:A452"/>
    <mergeCell ref="B442:B452"/>
    <mergeCell ref="C442:C452"/>
    <mergeCell ref="D450:D452"/>
    <mergeCell ref="E450:E452"/>
    <mergeCell ref="F450:F452"/>
    <mergeCell ref="G450:G452"/>
    <mergeCell ref="H446:H447"/>
    <mergeCell ref="I446:I447"/>
    <mergeCell ref="J446:J447"/>
    <mergeCell ref="K446:K447"/>
    <mergeCell ref="R446:R447"/>
    <mergeCell ref="S446:S447"/>
    <mergeCell ref="A458:A461"/>
    <mergeCell ref="B458:B461"/>
    <mergeCell ref="C458:C461"/>
    <mergeCell ref="H460:H461"/>
    <mergeCell ref="I460:I461"/>
    <mergeCell ref="J460:J461"/>
    <mergeCell ref="K460:K461"/>
    <mergeCell ref="R460:R461"/>
    <mergeCell ref="S460:S461"/>
    <mergeCell ref="A456:A457"/>
    <mergeCell ref="B456:B457"/>
    <mergeCell ref="C456:C457"/>
    <mergeCell ref="H456:H457"/>
    <mergeCell ref="I456:I457"/>
    <mergeCell ref="J456:J457"/>
    <mergeCell ref="K456:K457"/>
    <mergeCell ref="R456:R457"/>
    <mergeCell ref="S456:S457"/>
    <mergeCell ref="A466:A467"/>
    <mergeCell ref="B466:B467"/>
    <mergeCell ref="C466:C467"/>
    <mergeCell ref="H466:H467"/>
    <mergeCell ref="I466:I467"/>
    <mergeCell ref="J466:J467"/>
    <mergeCell ref="K466:K467"/>
    <mergeCell ref="R466:R467"/>
    <mergeCell ref="S466:S467"/>
    <mergeCell ref="A462:A465"/>
    <mergeCell ref="B462:B465"/>
    <mergeCell ref="C462:C465"/>
    <mergeCell ref="H462:H465"/>
    <mergeCell ref="I462:I465"/>
    <mergeCell ref="J462:J465"/>
    <mergeCell ref="K462:K465"/>
    <mergeCell ref="R462:R465"/>
    <mergeCell ref="S462:S465"/>
    <mergeCell ref="B471:D471"/>
    <mergeCell ref="B472:D472"/>
    <mergeCell ref="H472:S472"/>
    <mergeCell ref="A473:A480"/>
    <mergeCell ref="B473:B480"/>
    <mergeCell ref="C473:C480"/>
    <mergeCell ref="H475:H480"/>
    <mergeCell ref="I475:I480"/>
    <mergeCell ref="J475:J480"/>
    <mergeCell ref="K475:K480"/>
    <mergeCell ref="R475:R480"/>
    <mergeCell ref="S475:S480"/>
    <mergeCell ref="A468:A470"/>
    <mergeCell ref="B468:B470"/>
    <mergeCell ref="C468:C470"/>
    <mergeCell ref="H468:H470"/>
    <mergeCell ref="I468:I470"/>
    <mergeCell ref="J468:J470"/>
    <mergeCell ref="K468:K470"/>
    <mergeCell ref="R468:R470"/>
    <mergeCell ref="S468:S470"/>
    <mergeCell ref="A493:A495"/>
    <mergeCell ref="B493:B495"/>
    <mergeCell ref="C493:C495"/>
    <mergeCell ref="R493:R495"/>
    <mergeCell ref="H493:H495"/>
    <mergeCell ref="I493:I495"/>
    <mergeCell ref="J493:J495"/>
    <mergeCell ref="K493:K495"/>
    <mergeCell ref="S493:S495"/>
    <mergeCell ref="H482:S482"/>
    <mergeCell ref="H483:S483"/>
    <mergeCell ref="B482:D482"/>
    <mergeCell ref="B483:D483"/>
    <mergeCell ref="A484:A492"/>
    <mergeCell ref="B484:B492"/>
    <mergeCell ref="C484:C492"/>
    <mergeCell ref="H490:H492"/>
    <mergeCell ref="I490:I492"/>
    <mergeCell ref="J490:J492"/>
    <mergeCell ref="K490:K492"/>
    <mergeCell ref="R490:R492"/>
    <mergeCell ref="S490:S492"/>
    <mergeCell ref="S503:S504"/>
    <mergeCell ref="H500:S500"/>
    <mergeCell ref="B500:D500"/>
    <mergeCell ref="A501:A502"/>
    <mergeCell ref="B501:B502"/>
    <mergeCell ref="C501:C502"/>
    <mergeCell ref="H501:H502"/>
    <mergeCell ref="I501:I502"/>
    <mergeCell ref="J501:J502"/>
    <mergeCell ref="K501:K502"/>
    <mergeCell ref="R501:R502"/>
    <mergeCell ref="S501:S502"/>
    <mergeCell ref="H496:S496"/>
    <mergeCell ref="H497:S497"/>
    <mergeCell ref="B496:D496"/>
    <mergeCell ref="B497:D497"/>
    <mergeCell ref="A498:A499"/>
    <mergeCell ref="B498:B499"/>
    <mergeCell ref="C498:C499"/>
    <mergeCell ref="D498:D499"/>
    <mergeCell ref="E498:E499"/>
    <mergeCell ref="F498:F499"/>
    <mergeCell ref="G498:G499"/>
    <mergeCell ref="A507:A510"/>
    <mergeCell ref="B507:B510"/>
    <mergeCell ref="C507:C510"/>
    <mergeCell ref="A512:A514"/>
    <mergeCell ref="B512:B514"/>
    <mergeCell ref="C512:C514"/>
    <mergeCell ref="H512:H514"/>
    <mergeCell ref="I512:I514"/>
    <mergeCell ref="J512:J514"/>
    <mergeCell ref="A503:A504"/>
    <mergeCell ref="B503:B504"/>
    <mergeCell ref="C503:C504"/>
    <mergeCell ref="H503:H504"/>
    <mergeCell ref="I503:I504"/>
    <mergeCell ref="J503:J504"/>
    <mergeCell ref="K503:K504"/>
    <mergeCell ref="R503:R504"/>
    <mergeCell ref="H509:H510"/>
    <mergeCell ref="I509:I510"/>
    <mergeCell ref="J509:J510"/>
    <mergeCell ref="K509:K510"/>
    <mergeCell ref="R509:R510"/>
    <mergeCell ref="A519:A523"/>
    <mergeCell ref="B519:B523"/>
    <mergeCell ref="C519:C523"/>
    <mergeCell ref="D522:D523"/>
    <mergeCell ref="E522:E523"/>
    <mergeCell ref="F522:F523"/>
    <mergeCell ref="G522:G523"/>
    <mergeCell ref="C525:C526"/>
    <mergeCell ref="B525:B526"/>
    <mergeCell ref="A525:A526"/>
    <mergeCell ref="K512:K514"/>
    <mergeCell ref="R512:R514"/>
    <mergeCell ref="S512:S514"/>
    <mergeCell ref="A517:A518"/>
    <mergeCell ref="B517:B518"/>
    <mergeCell ref="C517:C518"/>
    <mergeCell ref="D517:D518"/>
    <mergeCell ref="E517:E518"/>
    <mergeCell ref="F517:F518"/>
    <mergeCell ref="G517:G518"/>
    <mergeCell ref="H532:H536"/>
    <mergeCell ref="I532:I536"/>
    <mergeCell ref="J532:J536"/>
    <mergeCell ref="K532:K536"/>
    <mergeCell ref="A531:A536"/>
    <mergeCell ref="B531:B536"/>
    <mergeCell ref="C531:C536"/>
    <mergeCell ref="R532:R536"/>
    <mergeCell ref="S532:S536"/>
    <mergeCell ref="A527:A530"/>
    <mergeCell ref="B527:B530"/>
    <mergeCell ref="C527:C530"/>
    <mergeCell ref="R527:R530"/>
    <mergeCell ref="S527:S530"/>
    <mergeCell ref="H527:H530"/>
    <mergeCell ref="I527:I530"/>
    <mergeCell ref="J527:J530"/>
    <mergeCell ref="K527:K530"/>
    <mergeCell ref="H544:S544"/>
    <mergeCell ref="H545:S545"/>
    <mergeCell ref="H546:S546"/>
    <mergeCell ref="A547:A548"/>
    <mergeCell ref="B547:B548"/>
    <mergeCell ref="C547:C548"/>
    <mergeCell ref="H547:H548"/>
    <mergeCell ref="I547:I548"/>
    <mergeCell ref="J547:J548"/>
    <mergeCell ref="K547:K548"/>
    <mergeCell ref="R547:R548"/>
    <mergeCell ref="S547:S548"/>
    <mergeCell ref="A537:A540"/>
    <mergeCell ref="B537:B540"/>
    <mergeCell ref="C537:C540"/>
    <mergeCell ref="H538:H540"/>
    <mergeCell ref="I538:I540"/>
    <mergeCell ref="J538:J540"/>
    <mergeCell ref="K538:K540"/>
    <mergeCell ref="R538:R540"/>
    <mergeCell ref="S538:S540"/>
    <mergeCell ref="A549:A551"/>
    <mergeCell ref="B549:B551"/>
    <mergeCell ref="C549:C551"/>
    <mergeCell ref="D550:D551"/>
    <mergeCell ref="E550:E551"/>
    <mergeCell ref="F550:F551"/>
    <mergeCell ref="G550:G551"/>
    <mergeCell ref="A552:A553"/>
    <mergeCell ref="B552:B553"/>
    <mergeCell ref="C552:C553"/>
    <mergeCell ref="D552:D553"/>
    <mergeCell ref="E552:E553"/>
    <mergeCell ref="F552:F553"/>
    <mergeCell ref="G552:G553"/>
    <mergeCell ref="B544:D544"/>
    <mergeCell ref="B545:D545"/>
    <mergeCell ref="B546:D546"/>
    <mergeCell ref="H561:S561"/>
    <mergeCell ref="H563:S563"/>
    <mergeCell ref="H564:S564"/>
    <mergeCell ref="B563:D563"/>
    <mergeCell ref="B564:D564"/>
    <mergeCell ref="A565:A569"/>
    <mergeCell ref="B565:B569"/>
    <mergeCell ref="C565:C569"/>
    <mergeCell ref="H565:H569"/>
    <mergeCell ref="I565:I569"/>
    <mergeCell ref="J565:J569"/>
    <mergeCell ref="K565:K569"/>
    <mergeCell ref="R565:R569"/>
    <mergeCell ref="S565:S569"/>
    <mergeCell ref="A555:A559"/>
    <mergeCell ref="B555:B559"/>
    <mergeCell ref="C555:C559"/>
    <mergeCell ref="H557:H559"/>
    <mergeCell ref="I557:I559"/>
    <mergeCell ref="J557:J559"/>
    <mergeCell ref="K557:K559"/>
    <mergeCell ref="R557:R559"/>
    <mergeCell ref="S557:S559"/>
    <mergeCell ref="A575:A578"/>
    <mergeCell ref="B575:B578"/>
    <mergeCell ref="C575:C578"/>
    <mergeCell ref="H575:H578"/>
    <mergeCell ref="I575:I578"/>
    <mergeCell ref="J575:J578"/>
    <mergeCell ref="K575:K578"/>
    <mergeCell ref="R575:R578"/>
    <mergeCell ref="S575:S578"/>
    <mergeCell ref="A570:A574"/>
    <mergeCell ref="B570:B574"/>
    <mergeCell ref="C570:C574"/>
    <mergeCell ref="H570:H574"/>
    <mergeCell ref="I570:I574"/>
    <mergeCell ref="J570:J574"/>
    <mergeCell ref="K570:K574"/>
    <mergeCell ref="R570:R574"/>
    <mergeCell ref="S570:S574"/>
    <mergeCell ref="H583:S583"/>
    <mergeCell ref="A584:A589"/>
    <mergeCell ref="B584:B589"/>
    <mergeCell ref="C584:C589"/>
    <mergeCell ref="H584:H589"/>
    <mergeCell ref="I584:I589"/>
    <mergeCell ref="J584:J589"/>
    <mergeCell ref="K584:K589"/>
    <mergeCell ref="R584:R589"/>
    <mergeCell ref="S584:S589"/>
    <mergeCell ref="H579:S579"/>
    <mergeCell ref="B579:D579"/>
    <mergeCell ref="A580:A582"/>
    <mergeCell ref="B580:B582"/>
    <mergeCell ref="C580:C582"/>
    <mergeCell ref="H580:H582"/>
    <mergeCell ref="I580:I582"/>
    <mergeCell ref="J580:J582"/>
    <mergeCell ref="K580:K582"/>
    <mergeCell ref="R580:R582"/>
    <mergeCell ref="S580:S582"/>
    <mergeCell ref="G596:G597"/>
    <mergeCell ref="A598:A602"/>
    <mergeCell ref="B598:B602"/>
    <mergeCell ref="C598:C602"/>
    <mergeCell ref="D598:D602"/>
    <mergeCell ref="E598:E602"/>
    <mergeCell ref="F598:F602"/>
    <mergeCell ref="G598:G602"/>
    <mergeCell ref="A590:A593"/>
    <mergeCell ref="B590:B593"/>
    <mergeCell ref="C590:C593"/>
    <mergeCell ref="A594:A597"/>
    <mergeCell ref="B594:B597"/>
    <mergeCell ref="C594:C597"/>
    <mergeCell ref="D596:D597"/>
    <mergeCell ref="E596:E597"/>
    <mergeCell ref="F596:F597"/>
    <mergeCell ref="A611:A612"/>
    <mergeCell ref="B611:B612"/>
    <mergeCell ref="C611:C612"/>
    <mergeCell ref="A613:A616"/>
    <mergeCell ref="B613:B616"/>
    <mergeCell ref="C613:C616"/>
    <mergeCell ref="H613:H616"/>
    <mergeCell ref="I613:I616"/>
    <mergeCell ref="J613:J616"/>
    <mergeCell ref="S611:S612"/>
    <mergeCell ref="H611:R612"/>
    <mergeCell ref="H605:S605"/>
    <mergeCell ref="H606:S606"/>
    <mergeCell ref="B605:D605"/>
    <mergeCell ref="B606:D606"/>
    <mergeCell ref="A607:A610"/>
    <mergeCell ref="B607:B610"/>
    <mergeCell ref="C607:C610"/>
    <mergeCell ref="D607:D610"/>
    <mergeCell ref="E607:E610"/>
    <mergeCell ref="F607:F610"/>
    <mergeCell ref="G607:G610"/>
    <mergeCell ref="A622:A624"/>
    <mergeCell ref="B622:B624"/>
    <mergeCell ref="C622:C624"/>
    <mergeCell ref="H622:H624"/>
    <mergeCell ref="I622:I624"/>
    <mergeCell ref="J622:J624"/>
    <mergeCell ref="K622:K624"/>
    <mergeCell ref="R622:R624"/>
    <mergeCell ref="S622:S624"/>
    <mergeCell ref="K613:K616"/>
    <mergeCell ref="R613:R616"/>
    <mergeCell ref="S613:S616"/>
    <mergeCell ref="A617:A621"/>
    <mergeCell ref="B617:B621"/>
    <mergeCell ref="C617:C621"/>
    <mergeCell ref="H617:H621"/>
    <mergeCell ref="I617:I621"/>
    <mergeCell ref="J617:J621"/>
    <mergeCell ref="K617:K621"/>
    <mergeCell ref="R617:R621"/>
    <mergeCell ref="S617:S621"/>
    <mergeCell ref="A632:A634"/>
    <mergeCell ref="B632:B634"/>
    <mergeCell ref="C632:C634"/>
    <mergeCell ref="H632:H634"/>
    <mergeCell ref="I632:I634"/>
    <mergeCell ref="J632:J634"/>
    <mergeCell ref="K632:K634"/>
    <mergeCell ref="R632:R634"/>
    <mergeCell ref="S632:S634"/>
    <mergeCell ref="B625:D625"/>
    <mergeCell ref="H625:S625"/>
    <mergeCell ref="B626:D626"/>
    <mergeCell ref="B627:D627"/>
    <mergeCell ref="H626:S626"/>
    <mergeCell ref="H627:S627"/>
    <mergeCell ref="A628:A629"/>
    <mergeCell ref="B628:B629"/>
    <mergeCell ref="C628:C629"/>
    <mergeCell ref="D628:D629"/>
    <mergeCell ref="E628:E629"/>
    <mergeCell ref="F628:F629"/>
    <mergeCell ref="G628:G629"/>
    <mergeCell ref="R628:R629"/>
    <mergeCell ref="S628:S629"/>
    <mergeCell ref="A645:A648"/>
    <mergeCell ref="B645:B648"/>
    <mergeCell ref="C645:C648"/>
    <mergeCell ref="H647:H648"/>
    <mergeCell ref="I647:I648"/>
    <mergeCell ref="J647:J648"/>
    <mergeCell ref="K647:K648"/>
    <mergeCell ref="R647:R648"/>
    <mergeCell ref="S647:S648"/>
    <mergeCell ref="H635:S635"/>
    <mergeCell ref="B635:D635"/>
    <mergeCell ref="A636:A644"/>
    <mergeCell ref="B636:B644"/>
    <mergeCell ref="C636:C644"/>
    <mergeCell ref="H637:H644"/>
    <mergeCell ref="I637:I644"/>
    <mergeCell ref="J637:J644"/>
    <mergeCell ref="K637:K644"/>
    <mergeCell ref="R636:R644"/>
    <mergeCell ref="S636:S644"/>
    <mergeCell ref="A657:A664"/>
    <mergeCell ref="B657:B664"/>
    <mergeCell ref="C657:C664"/>
    <mergeCell ref="R657:R664"/>
    <mergeCell ref="S657:S664"/>
    <mergeCell ref="H657:H664"/>
    <mergeCell ref="I657:I664"/>
    <mergeCell ref="J657:J664"/>
    <mergeCell ref="K657:K664"/>
    <mergeCell ref="A649:A656"/>
    <mergeCell ref="B649:B656"/>
    <mergeCell ref="C649:C656"/>
    <mergeCell ref="R650:R656"/>
    <mergeCell ref="S650:S656"/>
    <mergeCell ref="H650:H656"/>
    <mergeCell ref="I650:I656"/>
    <mergeCell ref="J650:J656"/>
    <mergeCell ref="K650:K656"/>
    <mergeCell ref="S672:S675"/>
    <mergeCell ref="A669:A671"/>
    <mergeCell ref="B669:B671"/>
    <mergeCell ref="C669:C671"/>
    <mergeCell ref="R669:R671"/>
    <mergeCell ref="S669:S671"/>
    <mergeCell ref="H669:H671"/>
    <mergeCell ref="I669:I671"/>
    <mergeCell ref="J669:J671"/>
    <mergeCell ref="K669:K671"/>
    <mergeCell ref="A665:A668"/>
    <mergeCell ref="B665:B668"/>
    <mergeCell ref="C665:C668"/>
    <mergeCell ref="H665:H668"/>
    <mergeCell ref="I665:I668"/>
    <mergeCell ref="J665:J668"/>
    <mergeCell ref="K665:K668"/>
    <mergeCell ref="R665:R668"/>
    <mergeCell ref="S665:S668"/>
    <mergeCell ref="A677:A680"/>
    <mergeCell ref="B677:B680"/>
    <mergeCell ref="C677:C680"/>
    <mergeCell ref="H681:H683"/>
    <mergeCell ref="A681:A683"/>
    <mergeCell ref="B681:B683"/>
    <mergeCell ref="C681:C683"/>
    <mergeCell ref="I681:I683"/>
    <mergeCell ref="J681:J683"/>
    <mergeCell ref="A672:A675"/>
    <mergeCell ref="B672:B675"/>
    <mergeCell ref="C672:C675"/>
    <mergeCell ref="H672:H675"/>
    <mergeCell ref="I672:I675"/>
    <mergeCell ref="J672:J675"/>
    <mergeCell ref="K672:K675"/>
    <mergeCell ref="R672:R675"/>
    <mergeCell ref="H690:H692"/>
    <mergeCell ref="I690:I692"/>
    <mergeCell ref="J690:J692"/>
    <mergeCell ref="K690:K692"/>
    <mergeCell ref="R690:R692"/>
    <mergeCell ref="S690:S692"/>
    <mergeCell ref="A687:A688"/>
    <mergeCell ref="B687:B688"/>
    <mergeCell ref="C687:C688"/>
    <mergeCell ref="A690:A692"/>
    <mergeCell ref="B690:B692"/>
    <mergeCell ref="C690:C692"/>
    <mergeCell ref="K681:K683"/>
    <mergeCell ref="R681:R683"/>
    <mergeCell ref="S681:S683"/>
    <mergeCell ref="A684:A686"/>
    <mergeCell ref="B684:B686"/>
    <mergeCell ref="C684:C686"/>
    <mergeCell ref="H684:H685"/>
    <mergeCell ref="I684:I685"/>
    <mergeCell ref="J684:J685"/>
    <mergeCell ref="K684:K685"/>
    <mergeCell ref="R684:R685"/>
    <mergeCell ref="S684:S685"/>
    <mergeCell ref="H701:S701"/>
    <mergeCell ref="B701:D701"/>
    <mergeCell ref="A702:A705"/>
    <mergeCell ref="B702:B705"/>
    <mergeCell ref="C702:C705"/>
    <mergeCell ref="H703:H705"/>
    <mergeCell ref="I703:I705"/>
    <mergeCell ref="J703:J705"/>
    <mergeCell ref="K703:K705"/>
    <mergeCell ref="R703:R705"/>
    <mergeCell ref="S703:S705"/>
    <mergeCell ref="A694:A700"/>
    <mergeCell ref="B694:B700"/>
    <mergeCell ref="C694:C700"/>
    <mergeCell ref="R694:R700"/>
    <mergeCell ref="S694:S700"/>
    <mergeCell ref="H695:H700"/>
    <mergeCell ref="I695:I700"/>
    <mergeCell ref="J695:J700"/>
    <mergeCell ref="K695:K700"/>
    <mergeCell ref="H713:S713"/>
    <mergeCell ref="B713:D713"/>
    <mergeCell ref="A714:A717"/>
    <mergeCell ref="B714:B717"/>
    <mergeCell ref="C714:C717"/>
    <mergeCell ref="H715:H717"/>
    <mergeCell ref="I715:I717"/>
    <mergeCell ref="J715:J717"/>
    <mergeCell ref="K715:K717"/>
    <mergeCell ref="R715:R717"/>
    <mergeCell ref="S715:S717"/>
    <mergeCell ref="B709:D709"/>
    <mergeCell ref="H709:S709"/>
    <mergeCell ref="A710:A712"/>
    <mergeCell ref="B710:B712"/>
    <mergeCell ref="C710:C712"/>
    <mergeCell ref="H711:H712"/>
    <mergeCell ref="I711:I712"/>
    <mergeCell ref="J711:J712"/>
    <mergeCell ref="K711:K712"/>
    <mergeCell ref="R711:R712"/>
    <mergeCell ref="S711:S712"/>
    <mergeCell ref="A721:A722"/>
    <mergeCell ref="B721:B722"/>
    <mergeCell ref="C721:C722"/>
    <mergeCell ref="B723:D723"/>
    <mergeCell ref="H723:S723"/>
    <mergeCell ref="H721:H722"/>
    <mergeCell ref="I721:I722"/>
    <mergeCell ref="J721:J722"/>
    <mergeCell ref="K721:K722"/>
    <mergeCell ref="R721:R722"/>
    <mergeCell ref="S721:S722"/>
    <mergeCell ref="H718:S718"/>
    <mergeCell ref="B718:D718"/>
    <mergeCell ref="A719:A720"/>
    <mergeCell ref="B719:B720"/>
    <mergeCell ref="C719:C720"/>
    <mergeCell ref="H719:H720"/>
    <mergeCell ref="I719:I720"/>
    <mergeCell ref="J719:J720"/>
    <mergeCell ref="K719:K720"/>
    <mergeCell ref="R719:R720"/>
    <mergeCell ref="S719:S720"/>
    <mergeCell ref="A726:A727"/>
    <mergeCell ref="B726:B727"/>
    <mergeCell ref="C726:C727"/>
    <mergeCell ref="H726:H727"/>
    <mergeCell ref="I726:I727"/>
    <mergeCell ref="J726:J727"/>
    <mergeCell ref="K726:K727"/>
    <mergeCell ref="R726:R727"/>
    <mergeCell ref="S726:S727"/>
    <mergeCell ref="A724:A725"/>
    <mergeCell ref="B724:B725"/>
    <mergeCell ref="C724:C725"/>
    <mergeCell ref="R724:R725"/>
    <mergeCell ref="H724:H725"/>
    <mergeCell ref="I724:I725"/>
    <mergeCell ref="J724:J725"/>
    <mergeCell ref="K724:K725"/>
    <mergeCell ref="S724:S725"/>
    <mergeCell ref="A740:A741"/>
    <mergeCell ref="B740:B741"/>
    <mergeCell ref="C740:C741"/>
    <mergeCell ref="D740:D741"/>
    <mergeCell ref="E740:E741"/>
    <mergeCell ref="F740:F741"/>
    <mergeCell ref="G740:G741"/>
    <mergeCell ref="B742:D742"/>
    <mergeCell ref="H728:S728"/>
    <mergeCell ref="B728:D728"/>
    <mergeCell ref="B732:D732"/>
    <mergeCell ref="H732:S732"/>
    <mergeCell ref="B734:D734"/>
    <mergeCell ref="H734:S734"/>
    <mergeCell ref="B736:D736"/>
    <mergeCell ref="H736:S736"/>
    <mergeCell ref="H739:S739"/>
    <mergeCell ref="A755:A757"/>
    <mergeCell ref="B755:B757"/>
    <mergeCell ref="C755:C757"/>
    <mergeCell ref="H755:H757"/>
    <mergeCell ref="I755:I757"/>
    <mergeCell ref="J755:J757"/>
    <mergeCell ref="K755:K757"/>
    <mergeCell ref="R755:R757"/>
    <mergeCell ref="S755:S757"/>
    <mergeCell ref="B743:D743"/>
    <mergeCell ref="H742:S742"/>
    <mergeCell ref="H743:S743"/>
    <mergeCell ref="B747:D747"/>
    <mergeCell ref="H747:S747"/>
    <mergeCell ref="A748:A751"/>
    <mergeCell ref="B748:B751"/>
    <mergeCell ref="C748:C751"/>
    <mergeCell ref="H748:H751"/>
    <mergeCell ref="I748:I751"/>
    <mergeCell ref="J748:J751"/>
    <mergeCell ref="K748:K751"/>
    <mergeCell ref="R748:R751"/>
    <mergeCell ref="S748:S751"/>
    <mergeCell ref="S822:S823"/>
    <mergeCell ref="S834:S836"/>
    <mergeCell ref="B758:D758"/>
    <mergeCell ref="B759:D759"/>
    <mergeCell ref="H758:S758"/>
    <mergeCell ref="H759:S759"/>
    <mergeCell ref="H761:S761"/>
    <mergeCell ref="H762:S762"/>
    <mergeCell ref="B761:D761"/>
    <mergeCell ref="B762:D762"/>
    <mergeCell ref="B763:D763"/>
    <mergeCell ref="H752:H753"/>
    <mergeCell ref="I752:I753"/>
    <mergeCell ref="J752:J753"/>
    <mergeCell ref="K752:K753"/>
    <mergeCell ref="B754:D754"/>
    <mergeCell ref="H754:S754"/>
    <mergeCell ref="J805:J808"/>
    <mergeCell ref="K805:K808"/>
    <mergeCell ref="R805:R808"/>
    <mergeCell ref="S805:S808"/>
    <mergeCell ref="I809:I810"/>
    <mergeCell ref="J809:J810"/>
    <mergeCell ref="K809:K810"/>
    <mergeCell ref="R809:R810"/>
    <mergeCell ref="S809:S810"/>
    <mergeCell ref="F820:F821"/>
    <mergeCell ref="G820:G821"/>
    <mergeCell ref="K1:R1"/>
    <mergeCell ref="K2:R2"/>
    <mergeCell ref="K3:R3"/>
    <mergeCell ref="S509:S510"/>
    <mergeCell ref="H525:H526"/>
    <mergeCell ref="I525:I526"/>
    <mergeCell ref="J525:J526"/>
    <mergeCell ref="K525:K526"/>
    <mergeCell ref="R525:R526"/>
    <mergeCell ref="S525:S526"/>
    <mergeCell ref="B818:D818"/>
    <mergeCell ref="H818:S818"/>
    <mergeCell ref="B828:D828"/>
    <mergeCell ref="B829:D829"/>
    <mergeCell ref="H828:S828"/>
    <mergeCell ref="H829:S829"/>
    <mergeCell ref="B838:D838"/>
    <mergeCell ref="H838:S838"/>
    <mergeCell ref="B778:D778"/>
    <mergeCell ref="H778:S778"/>
    <mergeCell ref="B802:D802"/>
    <mergeCell ref="H802:S802"/>
    <mergeCell ref="B811:D811"/>
    <mergeCell ref="H811:S811"/>
    <mergeCell ref="B813:D813"/>
    <mergeCell ref="B814:D814"/>
    <mergeCell ref="H813:S813"/>
    <mergeCell ref="H814:S814"/>
    <mergeCell ref="I822:I823"/>
    <mergeCell ref="J822:J823"/>
    <mergeCell ref="K822:K823"/>
    <mergeCell ref="R822:R823"/>
  </mergeCells>
  <pageMargins left="0.23622047244094491" right="0.23622047244094491" top="0.74803149606299213" bottom="0.74803149606299213" header="0.31496062992125984" footer="0.31496062992125984"/>
  <pageSetup paperSize="9" scale="70"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Planas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samsung</dc:creator>
  <cp:lastModifiedBy>Siauliai</cp:lastModifiedBy>
  <cp:revision>0</cp:revision>
  <cp:lastPrinted>2021-04-29T08:07:14Z</cp:lastPrinted>
  <dcterms:created xsi:type="dcterms:W3CDTF">2021-02-19T13:26:00Z</dcterms:created>
  <dcterms:modified xsi:type="dcterms:W3CDTF">2021-05-12T10:27:18Z</dcterms:modified>
  <dc:language>lt-LT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Security">
    <vt:i4>0</vt:i4>
  </property>
  <property fmtid="{D5CDD505-2E9C-101B-9397-08002B2CF9AE}" pid="3" name="ScaleCrop">
    <vt:bool>false</vt:bool>
  </property>
</Properties>
</file>