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R.Maciene\Desktop\Ataskaitos\Savivaldybės_veiklos_ataskaita_2023\Savivaldybės_ataskaita_2023_tvirtinimui\"/>
    </mc:Choice>
  </mc:AlternateContent>
  <xr:revisionPtr revIDLastSave="0" documentId="13_ncr:1_{0C8B4BF5-CFD7-46B9-8581-2AD2E12716A5}" xr6:coauthVersionLast="47" xr6:coauthVersionMax="47" xr10:uidLastSave="{00000000-0000-0000-0000-000000000000}"/>
  <bookViews>
    <workbookView xWindow="255" yWindow="240" windowWidth="17475" windowHeight="15360" xr2:uid="{00000000-000D-0000-FFFF-FFFF00000000}"/>
  </bookViews>
  <sheets>
    <sheet name="Planas" sheetId="2" r:id="rId1"/>
  </sheets>
  <externalReferences>
    <externalReference r:id="rId2"/>
    <externalReference r:id="rId3"/>
  </externalReferences>
  <calcPr calcId="191029"/>
</workbook>
</file>

<file path=xl/calcChain.xml><?xml version="1.0" encoding="utf-8"?>
<calcChain xmlns="http://schemas.openxmlformats.org/spreadsheetml/2006/main">
  <c r="S337" i="2" l="1"/>
  <c r="S824" i="2"/>
  <c r="S686" i="2"/>
  <c r="S633" i="2"/>
  <c r="S473" i="2"/>
  <c r="S418" i="2" l="1"/>
  <c r="S389" i="2"/>
  <c r="S195" i="2"/>
  <c r="S139" i="2"/>
  <c r="S65" i="2"/>
  <c r="S16" i="2" l="1"/>
  <c r="F23" i="2" l="1"/>
  <c r="F12" i="2"/>
  <c r="I967" i="2" l="1"/>
  <c r="I966" i="2"/>
  <c r="I950" i="2"/>
  <c r="I949" i="2"/>
  <c r="I946" i="2"/>
  <c r="I942" i="2"/>
  <c r="I941" i="2"/>
  <c r="I940" i="2"/>
  <c r="I936" i="2"/>
  <c r="I935" i="2"/>
  <c r="I930" i="2"/>
  <c r="I925" i="2"/>
  <c r="I924" i="2"/>
  <c r="I921" i="2"/>
  <c r="I920" i="2"/>
  <c r="I918" i="2"/>
  <c r="I917" i="2"/>
  <c r="I915" i="2"/>
  <c r="I911" i="2"/>
  <c r="I908" i="2"/>
  <c r="I907" i="2"/>
  <c r="I906" i="2"/>
  <c r="I904" i="2"/>
  <c r="I903" i="2"/>
  <c r="I902" i="2"/>
  <c r="I900" i="2"/>
  <c r="I899" i="2"/>
  <c r="I898" i="2"/>
  <c r="I897" i="2"/>
  <c r="I892" i="2"/>
  <c r="I891" i="2"/>
  <c r="I888" i="2"/>
  <c r="I887" i="2"/>
  <c r="I885" i="2"/>
  <c r="I884" i="2"/>
  <c r="I883" i="2"/>
  <c r="I882" i="2"/>
  <c r="I881" i="2"/>
  <c r="I880" i="2"/>
  <c r="I879" i="2"/>
  <c r="I878" i="2"/>
  <c r="I877" i="2"/>
  <c r="I876" i="2"/>
  <c r="I875" i="2"/>
  <c r="I874" i="2"/>
  <c r="I873" i="2"/>
  <c r="I872" i="2"/>
  <c r="I871" i="2"/>
  <c r="I870" i="2"/>
  <c r="I864" i="2"/>
  <c r="I863" i="2"/>
  <c r="I861" i="2"/>
  <c r="I859" i="2"/>
  <c r="I858" i="2"/>
  <c r="I857" i="2"/>
  <c r="I855" i="2"/>
  <c r="I854" i="2"/>
  <c r="I853" i="2"/>
  <c r="I852" i="2"/>
  <c r="I848" i="2"/>
  <c r="I843" i="2"/>
  <c r="I842" i="2"/>
  <c r="I840" i="2"/>
  <c r="I839" i="2"/>
  <c r="I838" i="2"/>
  <c r="I837" i="2"/>
  <c r="I836" i="2"/>
  <c r="I835" i="2"/>
  <c r="I834" i="2"/>
  <c r="I816" i="2"/>
  <c r="I815" i="2"/>
  <c r="I814" i="2"/>
  <c r="I812" i="2"/>
  <c r="I811" i="2"/>
  <c r="I809" i="2"/>
  <c r="I808" i="2"/>
  <c r="I807" i="2"/>
  <c r="I804" i="2"/>
  <c r="I802" i="2"/>
  <c r="I801" i="2"/>
  <c r="I800" i="2"/>
  <c r="I795" i="2"/>
  <c r="I792" i="2"/>
  <c r="I791" i="2"/>
  <c r="I790" i="2"/>
  <c r="I789" i="2"/>
  <c r="I788" i="2"/>
  <c r="I787" i="2"/>
  <c r="I786" i="2"/>
  <c r="I785" i="2"/>
  <c r="I784" i="2"/>
  <c r="I783" i="2"/>
  <c r="I781" i="2"/>
  <c r="I778" i="2"/>
  <c r="I776" i="2"/>
  <c r="I773" i="2"/>
  <c r="I772" i="2"/>
  <c r="I771" i="2"/>
  <c r="I769" i="2"/>
  <c r="I768" i="2"/>
  <c r="I766" i="2"/>
  <c r="I764" i="2"/>
  <c r="I763" i="2"/>
  <c r="I761" i="2"/>
  <c r="I759" i="2"/>
  <c r="I758" i="2"/>
  <c r="I757" i="2"/>
  <c r="I752" i="2"/>
  <c r="I751" i="2"/>
  <c r="I748" i="2"/>
  <c r="I747" i="2"/>
  <c r="I744" i="2"/>
  <c r="I743" i="2"/>
  <c r="I742" i="2"/>
  <c r="I741" i="2"/>
  <c r="I738" i="2"/>
  <c r="I737" i="2"/>
  <c r="I736" i="2"/>
  <c r="I734" i="2"/>
  <c r="I727" i="2"/>
  <c r="I722" i="2"/>
  <c r="I721" i="2"/>
  <c r="I720" i="2"/>
  <c r="I716" i="2"/>
  <c r="I715" i="2"/>
  <c r="I713" i="2"/>
  <c r="I712" i="2"/>
  <c r="I709" i="2"/>
  <c r="I707" i="2"/>
  <c r="I706" i="2"/>
  <c r="I705" i="2"/>
  <c r="I704" i="2"/>
  <c r="I703" i="2"/>
  <c r="I702" i="2"/>
  <c r="I701" i="2"/>
  <c r="I700" i="2"/>
  <c r="I697" i="2"/>
  <c r="I696" i="2"/>
  <c r="I695" i="2"/>
  <c r="I693" i="2"/>
  <c r="I692" i="2"/>
  <c r="I691" i="2"/>
  <c r="I689" i="2"/>
  <c r="I687" i="2"/>
  <c r="I686" i="2"/>
  <c r="I685" i="2"/>
  <c r="I674" i="2"/>
  <c r="I671" i="2"/>
  <c r="I670" i="2"/>
  <c r="I669" i="2"/>
  <c r="I666" i="2"/>
  <c r="I665" i="2"/>
  <c r="I663" i="2"/>
  <c r="I662" i="2"/>
  <c r="I660" i="2"/>
  <c r="I659" i="2"/>
  <c r="I658" i="2"/>
  <c r="I655" i="2"/>
  <c r="I654" i="2"/>
  <c r="I650" i="2"/>
  <c r="I649" i="2"/>
  <c r="I647" i="2"/>
  <c r="I646" i="2"/>
  <c r="I645" i="2"/>
  <c r="I644" i="2"/>
  <c r="I643" i="2"/>
  <c r="I640" i="2"/>
  <c r="I639" i="2"/>
  <c r="I637" i="2"/>
  <c r="I636" i="2"/>
  <c r="I634" i="2"/>
  <c r="I633" i="2"/>
  <c r="I632" i="2"/>
  <c r="I631" i="2"/>
  <c r="I629" i="2"/>
  <c r="I625" i="2"/>
  <c r="I624" i="2"/>
  <c r="I617" i="2"/>
  <c r="I615" i="2"/>
  <c r="I614" i="2"/>
  <c r="I613" i="2"/>
  <c r="I612" i="2"/>
  <c r="I611" i="2"/>
  <c r="I610" i="2"/>
  <c r="I608" i="2"/>
  <c r="I606" i="2"/>
  <c r="I604" i="2"/>
  <c r="I598" i="2"/>
  <c r="I597" i="2"/>
  <c r="I596" i="2"/>
  <c r="I595" i="2"/>
  <c r="I593" i="2"/>
  <c r="I592" i="2"/>
  <c r="I591" i="2"/>
  <c r="I590" i="2"/>
  <c r="I588" i="2"/>
  <c r="I583" i="2"/>
  <c r="I582" i="2"/>
  <c r="I578" i="2"/>
  <c r="I577" i="2"/>
  <c r="I576" i="2"/>
  <c r="I574" i="2"/>
  <c r="I573" i="2"/>
  <c r="I537" i="2"/>
  <c r="I539" i="2"/>
  <c r="I540" i="2"/>
  <c r="I541" i="2"/>
  <c r="I542" i="2"/>
  <c r="I543" i="2"/>
  <c r="I544" i="2"/>
  <c r="I545" i="2"/>
  <c r="I546" i="2"/>
  <c r="I547" i="2"/>
  <c r="I548" i="2"/>
  <c r="I550" i="2"/>
  <c r="I551" i="2"/>
  <c r="I553" i="2"/>
  <c r="I554" i="2"/>
  <c r="I556" i="2"/>
  <c r="I557" i="2"/>
  <c r="I558" i="2"/>
  <c r="I559" i="2"/>
  <c r="I560" i="2"/>
  <c r="I563" i="2"/>
  <c r="I565" i="2"/>
  <c r="I566" i="2"/>
  <c r="I157" i="2"/>
  <c r="I150" i="2"/>
  <c r="I149" i="2"/>
  <c r="I535" i="2"/>
  <c r="I533" i="2"/>
  <c r="I532" i="2"/>
  <c r="I531" i="2"/>
  <c r="I530" i="2"/>
  <c r="I529" i="2"/>
  <c r="I528" i="2"/>
  <c r="I527" i="2"/>
  <c r="I525" i="2"/>
  <c r="I524" i="2"/>
  <c r="I522" i="2"/>
  <c r="I521" i="2"/>
  <c r="I520" i="2"/>
  <c r="I518" i="2"/>
  <c r="I517" i="2"/>
  <c r="I513" i="2"/>
  <c r="I511" i="2"/>
  <c r="I507" i="2"/>
  <c r="I506" i="2"/>
  <c r="I505" i="2"/>
  <c r="I504" i="2"/>
  <c r="I503" i="2"/>
  <c r="I502" i="2"/>
  <c r="I501" i="2"/>
  <c r="I500" i="2"/>
  <c r="I497" i="2"/>
  <c r="I496" i="2"/>
  <c r="I481" i="2"/>
  <c r="I480" i="2"/>
  <c r="I465" i="2"/>
  <c r="I461" i="2"/>
  <c r="I458" i="2"/>
  <c r="I457" i="2"/>
  <c r="I456" i="2"/>
  <c r="I452" i="2"/>
  <c r="I451" i="2"/>
  <c r="I448" i="2"/>
  <c r="I447" i="2"/>
  <c r="I446" i="2"/>
  <c r="I445" i="2"/>
  <c r="I444" i="2"/>
  <c r="I443" i="2"/>
  <c r="I442" i="2"/>
  <c r="I429" i="2"/>
  <c r="I410" i="2"/>
  <c r="I409" i="2"/>
  <c r="I408" i="2"/>
  <c r="I405" i="2"/>
  <c r="I404" i="2"/>
  <c r="I403" i="2"/>
  <c r="I400" i="2"/>
  <c r="I398" i="2"/>
  <c r="I397" i="2"/>
  <c r="I394" i="2"/>
  <c r="I393" i="2"/>
  <c r="I389" i="2"/>
  <c r="I388" i="2"/>
  <c r="I387" i="2"/>
  <c r="I382" i="2"/>
  <c r="I374" i="2"/>
  <c r="I373" i="2"/>
  <c r="I370" i="2"/>
  <c r="I368" i="2"/>
  <c r="I366" i="2"/>
  <c r="I365" i="2"/>
  <c r="I364" i="2"/>
  <c r="I363" i="2"/>
  <c r="I358" i="2"/>
  <c r="I357" i="2"/>
  <c r="I356" i="2"/>
  <c r="I355" i="2"/>
  <c r="I354" i="2"/>
  <c r="I351" i="2"/>
  <c r="I346" i="2"/>
  <c r="I345" i="2"/>
  <c r="I337" i="2"/>
  <c r="I330" i="2"/>
  <c r="I329" i="2"/>
  <c r="I323" i="2"/>
  <c r="I322" i="2"/>
  <c r="I321" i="2"/>
  <c r="I318" i="2"/>
  <c r="I317" i="2"/>
  <c r="I315" i="2"/>
  <c r="I314" i="2"/>
  <c r="I313" i="2"/>
  <c r="I310" i="2"/>
  <c r="I309" i="2"/>
  <c r="I306" i="2"/>
  <c r="I305" i="2"/>
  <c r="I304" i="2"/>
  <c r="I302" i="2"/>
  <c r="I301" i="2"/>
  <c r="I300" i="2"/>
  <c r="I299" i="2"/>
  <c r="I298" i="2"/>
  <c r="I296" i="2"/>
  <c r="I295" i="2"/>
  <c r="I287" i="2"/>
  <c r="I286" i="2"/>
  <c r="I284" i="2"/>
  <c r="I283" i="2"/>
  <c r="I281" i="2"/>
  <c r="I280" i="2"/>
  <c r="I279" i="2"/>
  <c r="I278" i="2"/>
  <c r="I276" i="2"/>
  <c r="I275" i="2"/>
  <c r="I274" i="2"/>
  <c r="I272" i="2"/>
  <c r="I271" i="2"/>
  <c r="I270" i="2"/>
  <c r="I268" i="2"/>
  <c r="I267" i="2"/>
  <c r="I266" i="2"/>
  <c r="I264" i="2"/>
  <c r="I263" i="2"/>
  <c r="I262" i="2"/>
  <c r="I259" i="2"/>
  <c r="I258" i="2"/>
  <c r="I257" i="2"/>
  <c r="I255" i="2"/>
  <c r="I249" i="2"/>
  <c r="I248" i="2"/>
  <c r="I246" i="2"/>
  <c r="I245" i="2"/>
  <c r="I244" i="2"/>
  <c r="I242" i="2"/>
  <c r="I241" i="2"/>
  <c r="I240" i="2"/>
  <c r="I238" i="2"/>
  <c r="I237" i="2"/>
  <c r="I236" i="2"/>
  <c r="I234" i="2"/>
  <c r="I232" i="2"/>
  <c r="I228" i="2"/>
  <c r="I226" i="2"/>
  <c r="I223" i="2"/>
  <c r="I222" i="2"/>
  <c r="I220" i="2"/>
  <c r="I219" i="2"/>
  <c r="I217" i="2"/>
  <c r="I216" i="2"/>
  <c r="I214" i="2"/>
  <c r="I213" i="2"/>
  <c r="I212" i="2"/>
  <c r="I211" i="2"/>
  <c r="I205" i="2"/>
  <c r="I203" i="2"/>
  <c r="I199" i="2"/>
  <c r="I197" i="2"/>
  <c r="I196" i="2"/>
  <c r="I188" i="2"/>
  <c r="I187" i="2"/>
  <c r="I186" i="2"/>
  <c r="I184" i="2"/>
  <c r="I178" i="2"/>
  <c r="I176" i="2"/>
  <c r="I175" i="2"/>
  <c r="I174" i="2"/>
  <c r="I173" i="2"/>
  <c r="I170" i="2"/>
  <c r="I169" i="2"/>
  <c r="I167" i="2"/>
  <c r="I166" i="2"/>
  <c r="I165" i="2"/>
  <c r="I162" i="2"/>
  <c r="I161" i="2"/>
  <c r="I156" i="2"/>
  <c r="I155" i="2"/>
  <c r="I147" i="2"/>
  <c r="I146" i="2"/>
  <c r="I144" i="2"/>
  <c r="I143" i="2"/>
  <c r="I142" i="2"/>
  <c r="I140" i="2"/>
  <c r="I139" i="2"/>
  <c r="I138" i="2"/>
  <c r="I136" i="2"/>
  <c r="I131" i="2"/>
  <c r="I130" i="2"/>
  <c r="I128" i="2"/>
  <c r="I127" i="2"/>
  <c r="I125" i="2"/>
  <c r="I123" i="2"/>
  <c r="I121" i="2"/>
  <c r="I122" i="2"/>
  <c r="I116" i="2"/>
  <c r="I115" i="2"/>
  <c r="I113" i="2"/>
  <c r="I112" i="2"/>
  <c r="I111" i="2"/>
  <c r="I109" i="2"/>
  <c r="I108" i="2"/>
  <c r="I106" i="2"/>
  <c r="I105" i="2"/>
  <c r="I104" i="2"/>
  <c r="I103" i="2"/>
  <c r="I101" i="2"/>
  <c r="I100" i="2"/>
  <c r="I99" i="2"/>
  <c r="I97" i="2"/>
  <c r="I93" i="2"/>
  <c r="I92" i="2"/>
  <c r="I91" i="2"/>
  <c r="I90" i="2"/>
  <c r="I89" i="2"/>
  <c r="I88" i="2"/>
  <c r="I87" i="2"/>
  <c r="I82" i="2"/>
  <c r="I63" i="2"/>
  <c r="I62" i="2"/>
  <c r="I61" i="2"/>
  <c r="I55" i="2"/>
  <c r="I54" i="2"/>
  <c r="I52" i="2"/>
  <c r="I46" i="2"/>
  <c r="I45" i="2"/>
  <c r="I35" i="2"/>
  <c r="I27" i="2"/>
  <c r="I26" i="2"/>
  <c r="I13" i="2"/>
  <c r="I15" i="2"/>
  <c r="D12" i="2"/>
  <c r="E12" i="2"/>
  <c r="I12" i="2" s="1"/>
  <c r="G12" i="2"/>
  <c r="H12" i="2"/>
  <c r="D14" i="2"/>
  <c r="E14" i="2"/>
  <c r="F14" i="2"/>
  <c r="G14" i="2"/>
  <c r="H14" i="2"/>
  <c r="D23" i="2"/>
  <c r="E23" i="2"/>
  <c r="I23" i="2" s="1"/>
  <c r="G23" i="2"/>
  <c r="H23" i="2"/>
  <c r="D25" i="2"/>
  <c r="E25" i="2"/>
  <c r="F25" i="2"/>
  <c r="G25" i="2"/>
  <c r="H25" i="2"/>
  <c r="D29" i="2"/>
  <c r="E29" i="2"/>
  <c r="F29" i="2"/>
  <c r="G29" i="2"/>
  <c r="H29" i="2"/>
  <c r="D39" i="2"/>
  <c r="D36" i="2" s="1"/>
  <c r="E39" i="2"/>
  <c r="E36" i="2" s="1"/>
  <c r="F39" i="2"/>
  <c r="F36" i="2" s="1"/>
  <c r="G39" i="2"/>
  <c r="G36" i="2" s="1"/>
  <c r="H39" i="2"/>
  <c r="H36" i="2" s="1"/>
  <c r="D48" i="2"/>
  <c r="D47" i="2" s="1"/>
  <c r="E48" i="2"/>
  <c r="E47" i="2" s="1"/>
  <c r="F48" i="2"/>
  <c r="F47" i="2" s="1"/>
  <c r="G48" i="2"/>
  <c r="G47" i="2" s="1"/>
  <c r="H48" i="2"/>
  <c r="H47" i="2" s="1"/>
  <c r="D53" i="2"/>
  <c r="E53" i="2"/>
  <c r="F53" i="2"/>
  <c r="G53" i="2"/>
  <c r="H53" i="2"/>
  <c r="D67" i="2"/>
  <c r="E67" i="2"/>
  <c r="F67" i="2"/>
  <c r="D83" i="2"/>
  <c r="E83" i="2"/>
  <c r="F83" i="2"/>
  <c r="D86" i="2"/>
  <c r="E86" i="2"/>
  <c r="F86" i="2"/>
  <c r="G86" i="2"/>
  <c r="H86" i="2"/>
  <c r="D96" i="2"/>
  <c r="E96" i="2"/>
  <c r="I96" i="2" s="1"/>
  <c r="G96" i="2"/>
  <c r="H96" i="2"/>
  <c r="D98" i="2"/>
  <c r="E98" i="2"/>
  <c r="F98" i="2"/>
  <c r="G98" i="2"/>
  <c r="H98" i="2"/>
  <c r="D102" i="2"/>
  <c r="E102" i="2"/>
  <c r="F102" i="2"/>
  <c r="G102" i="2"/>
  <c r="H102" i="2"/>
  <c r="D107" i="2"/>
  <c r="E107" i="2"/>
  <c r="F107" i="2"/>
  <c r="G107" i="2"/>
  <c r="H107" i="2"/>
  <c r="D110" i="2"/>
  <c r="E110" i="2"/>
  <c r="F110" i="2"/>
  <c r="G110" i="2"/>
  <c r="H110" i="2"/>
  <c r="D114" i="2"/>
  <c r="E114" i="2"/>
  <c r="F114" i="2"/>
  <c r="G114" i="2"/>
  <c r="H114" i="2"/>
  <c r="D120" i="2"/>
  <c r="E120" i="2"/>
  <c r="F120" i="2"/>
  <c r="G120" i="2"/>
  <c r="H120" i="2"/>
  <c r="D124" i="2"/>
  <c r="E124" i="2"/>
  <c r="F124" i="2"/>
  <c r="D126" i="2"/>
  <c r="E126" i="2"/>
  <c r="F126" i="2"/>
  <c r="G126" i="2"/>
  <c r="H126" i="2"/>
  <c r="D129" i="2"/>
  <c r="E129" i="2"/>
  <c r="F129" i="2"/>
  <c r="D137" i="2"/>
  <c r="D135" i="2" s="1"/>
  <c r="E137" i="2"/>
  <c r="E135" i="2" s="1"/>
  <c r="F137" i="2"/>
  <c r="F135" i="2" s="1"/>
  <c r="G137" i="2"/>
  <c r="G135" i="2" s="1"/>
  <c r="H137" i="2"/>
  <c r="H135" i="2" s="1"/>
  <c r="D141" i="2"/>
  <c r="E141" i="2"/>
  <c r="F141" i="2"/>
  <c r="G141" i="2"/>
  <c r="H141" i="2"/>
  <c r="D145" i="2"/>
  <c r="E145" i="2"/>
  <c r="F145" i="2"/>
  <c r="G145" i="2"/>
  <c r="H145" i="2"/>
  <c r="D148" i="2"/>
  <c r="E148" i="2"/>
  <c r="F148" i="2"/>
  <c r="G148" i="2"/>
  <c r="H148" i="2"/>
  <c r="D152" i="2"/>
  <c r="E152" i="2"/>
  <c r="F152" i="2"/>
  <c r="G152" i="2"/>
  <c r="H152" i="2"/>
  <c r="D154" i="2"/>
  <c r="E154" i="2"/>
  <c r="F154" i="2"/>
  <c r="G154" i="2"/>
  <c r="H154" i="2"/>
  <c r="D160" i="2"/>
  <c r="E160" i="2"/>
  <c r="F160" i="2"/>
  <c r="G160" i="2"/>
  <c r="H160" i="2"/>
  <c r="D164" i="2"/>
  <c r="E164" i="2"/>
  <c r="F164" i="2"/>
  <c r="G164" i="2"/>
  <c r="H164" i="2"/>
  <c r="D168" i="2"/>
  <c r="E168" i="2"/>
  <c r="F168" i="2"/>
  <c r="G168" i="2"/>
  <c r="H168" i="2"/>
  <c r="D172" i="2"/>
  <c r="E172" i="2"/>
  <c r="F172" i="2"/>
  <c r="G172" i="2"/>
  <c r="H172" i="2"/>
  <c r="D179" i="2"/>
  <c r="D177" i="2" s="1"/>
  <c r="E179" i="2"/>
  <c r="E177" i="2" s="1"/>
  <c r="F179" i="2"/>
  <c r="F177" i="2" s="1"/>
  <c r="G179" i="2"/>
  <c r="G177" i="2" s="1"/>
  <c r="H179" i="2"/>
  <c r="H177" i="2" s="1"/>
  <c r="D183" i="2"/>
  <c r="E183" i="2"/>
  <c r="F183" i="2"/>
  <c r="D185" i="2"/>
  <c r="E185" i="2"/>
  <c r="F185" i="2"/>
  <c r="G185" i="2"/>
  <c r="G182" i="2" s="1"/>
  <c r="H185" i="2"/>
  <c r="D198" i="2"/>
  <c r="E198" i="2"/>
  <c r="F198" i="2"/>
  <c r="D202" i="2"/>
  <c r="E202" i="2"/>
  <c r="F202" i="2"/>
  <c r="G202" i="2"/>
  <c r="H202" i="2"/>
  <c r="D206" i="2"/>
  <c r="E206" i="2"/>
  <c r="F206" i="2"/>
  <c r="G206" i="2"/>
  <c r="H206" i="2"/>
  <c r="D210" i="2"/>
  <c r="E210" i="2"/>
  <c r="F210" i="2"/>
  <c r="G210" i="2"/>
  <c r="H210" i="2"/>
  <c r="D215" i="2"/>
  <c r="E215" i="2"/>
  <c r="F215" i="2"/>
  <c r="D218" i="2"/>
  <c r="E218" i="2"/>
  <c r="F218" i="2"/>
  <c r="G218" i="2"/>
  <c r="H218" i="2"/>
  <c r="D221" i="2"/>
  <c r="E221" i="2"/>
  <c r="F221" i="2"/>
  <c r="G221" i="2"/>
  <c r="H221" i="2"/>
  <c r="D225" i="2"/>
  <c r="E225" i="2"/>
  <c r="F225" i="2"/>
  <c r="G225" i="2"/>
  <c r="H225" i="2"/>
  <c r="D229" i="2"/>
  <c r="E229" i="2"/>
  <c r="F229" i="2"/>
  <c r="G229" i="2"/>
  <c r="H229" i="2"/>
  <c r="D231" i="2"/>
  <c r="E231" i="2"/>
  <c r="F231" i="2"/>
  <c r="G231" i="2"/>
  <c r="H231" i="2"/>
  <c r="D233" i="2"/>
  <c r="E233" i="2"/>
  <c r="F233" i="2"/>
  <c r="G233" i="2"/>
  <c r="H233" i="2"/>
  <c r="D235" i="2"/>
  <c r="E235" i="2"/>
  <c r="F235" i="2"/>
  <c r="G235" i="2"/>
  <c r="H235" i="2"/>
  <c r="D239" i="2"/>
  <c r="E239" i="2"/>
  <c r="F239" i="2"/>
  <c r="G239" i="2"/>
  <c r="H239" i="2"/>
  <c r="D243" i="2"/>
  <c r="E243" i="2"/>
  <c r="F243" i="2"/>
  <c r="G243" i="2"/>
  <c r="H243" i="2"/>
  <c r="D247" i="2"/>
  <c r="E247" i="2"/>
  <c r="F247" i="2"/>
  <c r="D251" i="2"/>
  <c r="E251" i="2"/>
  <c r="F251" i="2"/>
  <c r="G251" i="2"/>
  <c r="H251" i="2"/>
  <c r="D254" i="2"/>
  <c r="E254" i="2"/>
  <c r="F254" i="2"/>
  <c r="G254" i="2"/>
  <c r="H254" i="2"/>
  <c r="D256" i="2"/>
  <c r="E256" i="2"/>
  <c r="F256" i="2"/>
  <c r="G256" i="2"/>
  <c r="H256" i="2"/>
  <c r="D261" i="2"/>
  <c r="E261" i="2"/>
  <c r="F261" i="2"/>
  <c r="G261" i="2"/>
  <c r="H261" i="2"/>
  <c r="D265" i="2"/>
  <c r="E265" i="2"/>
  <c r="F265" i="2"/>
  <c r="G265" i="2"/>
  <c r="H265" i="2"/>
  <c r="D269" i="2"/>
  <c r="E269" i="2"/>
  <c r="F269" i="2"/>
  <c r="G269" i="2"/>
  <c r="H269" i="2"/>
  <c r="D273" i="2"/>
  <c r="E273" i="2"/>
  <c r="F273" i="2"/>
  <c r="G273" i="2"/>
  <c r="H273" i="2"/>
  <c r="D277" i="2"/>
  <c r="E277" i="2"/>
  <c r="F277" i="2"/>
  <c r="G277" i="2"/>
  <c r="H277" i="2"/>
  <c r="D282" i="2"/>
  <c r="E282" i="2"/>
  <c r="F282" i="2"/>
  <c r="G282" i="2"/>
  <c r="H282" i="2"/>
  <c r="D285" i="2"/>
  <c r="E285" i="2"/>
  <c r="F285" i="2"/>
  <c r="G285" i="2"/>
  <c r="H285" i="2"/>
  <c r="D294" i="2"/>
  <c r="E294" i="2"/>
  <c r="F294" i="2"/>
  <c r="G294" i="2"/>
  <c r="H294" i="2"/>
  <c r="D297" i="2"/>
  <c r="E297" i="2"/>
  <c r="F297" i="2"/>
  <c r="G297" i="2"/>
  <c r="H297" i="2"/>
  <c r="D303" i="2"/>
  <c r="E303" i="2"/>
  <c r="F303" i="2"/>
  <c r="G303" i="2"/>
  <c r="H303" i="2"/>
  <c r="D308" i="2"/>
  <c r="E308" i="2"/>
  <c r="F308" i="2"/>
  <c r="G308" i="2"/>
  <c r="H308" i="2"/>
  <c r="D312" i="2"/>
  <c r="D311" i="2" s="1"/>
  <c r="E312" i="2"/>
  <c r="E311" i="2" s="1"/>
  <c r="F312" i="2"/>
  <c r="F311" i="2" s="1"/>
  <c r="G312" i="2"/>
  <c r="G311" i="2" s="1"/>
  <c r="H312" i="2"/>
  <c r="H311" i="2" s="1"/>
  <c r="D320" i="2"/>
  <c r="E320" i="2"/>
  <c r="F320" i="2"/>
  <c r="G320" i="2"/>
  <c r="H320" i="2"/>
  <c r="D328" i="2"/>
  <c r="E328" i="2"/>
  <c r="I328" i="2" s="1"/>
  <c r="G328" i="2"/>
  <c r="H328" i="2"/>
  <c r="D338" i="2"/>
  <c r="E338" i="2"/>
  <c r="F338" i="2"/>
  <c r="D341" i="2"/>
  <c r="E341" i="2"/>
  <c r="F341" i="2"/>
  <c r="D344" i="2"/>
  <c r="E344" i="2"/>
  <c r="F344" i="2"/>
  <c r="G344" i="2"/>
  <c r="H344" i="2"/>
  <c r="D350" i="2"/>
  <c r="E350" i="2"/>
  <c r="F350" i="2"/>
  <c r="G350" i="2"/>
  <c r="H350" i="2"/>
  <c r="D353" i="2"/>
  <c r="E353" i="2"/>
  <c r="F353" i="2"/>
  <c r="G353" i="2"/>
  <c r="H353" i="2"/>
  <c r="D362" i="2"/>
  <c r="E362" i="2"/>
  <c r="F362" i="2"/>
  <c r="G362" i="2"/>
  <c r="H362" i="2"/>
  <c r="D367" i="2"/>
  <c r="E367" i="2"/>
  <c r="F367" i="2"/>
  <c r="D369" i="2"/>
  <c r="E369" i="2"/>
  <c r="F369" i="2"/>
  <c r="D372" i="2"/>
  <c r="E372" i="2"/>
  <c r="F372" i="2"/>
  <c r="G372" i="2"/>
  <c r="H372" i="2"/>
  <c r="D381" i="2"/>
  <c r="E381" i="2"/>
  <c r="F381" i="2"/>
  <c r="G381" i="2"/>
  <c r="H381" i="2"/>
  <c r="D386" i="2"/>
  <c r="D385" i="2" s="1"/>
  <c r="E386" i="2"/>
  <c r="E385" i="2" s="1"/>
  <c r="F386" i="2"/>
  <c r="F385" i="2" s="1"/>
  <c r="G386" i="2"/>
  <c r="G385" i="2" s="1"/>
  <c r="H386" i="2"/>
  <c r="H385" i="2" s="1"/>
  <c r="D391" i="2"/>
  <c r="E391" i="2"/>
  <c r="F391" i="2"/>
  <c r="G391" i="2"/>
  <c r="H391" i="2"/>
  <c r="D395" i="2"/>
  <c r="E395" i="2"/>
  <c r="F395" i="2"/>
  <c r="D402" i="2"/>
  <c r="D401" i="2" s="1"/>
  <c r="E402" i="2"/>
  <c r="E401" i="2" s="1"/>
  <c r="F402" i="2"/>
  <c r="F401" i="2" s="1"/>
  <c r="G402" i="2"/>
  <c r="G401" i="2" s="1"/>
  <c r="H402" i="2"/>
  <c r="H401" i="2" s="1"/>
  <c r="D407" i="2"/>
  <c r="E407" i="2"/>
  <c r="F407" i="2"/>
  <c r="G407" i="2"/>
  <c r="H407" i="2"/>
  <c r="D415" i="2"/>
  <c r="E415" i="2"/>
  <c r="F415" i="2"/>
  <c r="D423" i="2"/>
  <c r="E423" i="2"/>
  <c r="F423" i="2"/>
  <c r="D428" i="2"/>
  <c r="E428" i="2"/>
  <c r="F428" i="2"/>
  <c r="D430" i="2"/>
  <c r="E430" i="2"/>
  <c r="F430" i="2"/>
  <c r="D437" i="2"/>
  <c r="E437" i="2"/>
  <c r="F437" i="2"/>
  <c r="D439" i="2"/>
  <c r="E439" i="2"/>
  <c r="F439" i="2"/>
  <c r="G439" i="2"/>
  <c r="H439" i="2"/>
  <c r="D441" i="2"/>
  <c r="E441" i="2"/>
  <c r="F441" i="2"/>
  <c r="G441" i="2"/>
  <c r="H441" i="2"/>
  <c r="D450" i="2"/>
  <c r="E450" i="2"/>
  <c r="F450" i="2"/>
  <c r="D455" i="2"/>
  <c r="E455" i="2"/>
  <c r="F455" i="2"/>
  <c r="G455" i="2"/>
  <c r="H455" i="2"/>
  <c r="D460" i="2"/>
  <c r="E460" i="2"/>
  <c r="F460" i="2"/>
  <c r="D463" i="2"/>
  <c r="D462" i="2" s="1"/>
  <c r="E463" i="2"/>
  <c r="E462" i="2" s="1"/>
  <c r="F463" i="2"/>
  <c r="F462" i="2" s="1"/>
  <c r="D470" i="2"/>
  <c r="E470" i="2"/>
  <c r="F470" i="2"/>
  <c r="D477" i="2"/>
  <c r="E477" i="2"/>
  <c r="F477" i="2"/>
  <c r="G477" i="2"/>
  <c r="H477" i="2"/>
  <c r="D479" i="2"/>
  <c r="E479" i="2"/>
  <c r="F479" i="2"/>
  <c r="G479" i="2"/>
  <c r="H479" i="2"/>
  <c r="D485" i="2"/>
  <c r="E485" i="2"/>
  <c r="F485" i="2"/>
  <c r="G485" i="2"/>
  <c r="H485" i="2"/>
  <c r="D499" i="2"/>
  <c r="E499" i="2"/>
  <c r="F499" i="2"/>
  <c r="G499" i="2"/>
  <c r="H499" i="2"/>
  <c r="D509" i="2"/>
  <c r="E509" i="2"/>
  <c r="F509" i="2"/>
  <c r="G509" i="2"/>
  <c r="H509" i="2"/>
  <c r="D516" i="2"/>
  <c r="E516" i="2"/>
  <c r="F516" i="2"/>
  <c r="D519" i="2"/>
  <c r="E519" i="2"/>
  <c r="F519" i="2"/>
  <c r="D523" i="2"/>
  <c r="E523" i="2"/>
  <c r="F523" i="2"/>
  <c r="G523" i="2"/>
  <c r="H523" i="2"/>
  <c r="D526" i="2"/>
  <c r="E526" i="2"/>
  <c r="F526" i="2"/>
  <c r="G526" i="2"/>
  <c r="H526" i="2"/>
  <c r="D534" i="2"/>
  <c r="E534" i="2"/>
  <c r="F534" i="2"/>
  <c r="G534" i="2"/>
  <c r="H534" i="2"/>
  <c r="D538" i="2"/>
  <c r="E538" i="2"/>
  <c r="F538" i="2"/>
  <c r="G538" i="2"/>
  <c r="H538" i="2"/>
  <c r="D552" i="2"/>
  <c r="E552" i="2"/>
  <c r="F552" i="2"/>
  <c r="I552" i="2" s="1"/>
  <c r="D555" i="2"/>
  <c r="E555" i="2"/>
  <c r="F555" i="2"/>
  <c r="D561" i="2"/>
  <c r="E561" i="2"/>
  <c r="F561" i="2"/>
  <c r="G561" i="2"/>
  <c r="H561" i="2"/>
  <c r="D564" i="2"/>
  <c r="E564" i="2"/>
  <c r="F564" i="2"/>
  <c r="G564" i="2"/>
  <c r="H564" i="2"/>
  <c r="D572" i="2"/>
  <c r="E572" i="2"/>
  <c r="F572" i="2"/>
  <c r="G572" i="2"/>
  <c r="H572" i="2"/>
  <c r="D575" i="2"/>
  <c r="E575" i="2"/>
  <c r="F575" i="2"/>
  <c r="G575" i="2"/>
  <c r="H575" i="2"/>
  <c r="D579" i="2"/>
  <c r="E579" i="2"/>
  <c r="F579" i="2"/>
  <c r="D581" i="2"/>
  <c r="E581" i="2"/>
  <c r="F581" i="2"/>
  <c r="G581" i="2"/>
  <c r="H581" i="2"/>
  <c r="D587" i="2"/>
  <c r="E587" i="2"/>
  <c r="F587" i="2"/>
  <c r="G587" i="2"/>
  <c r="H587" i="2"/>
  <c r="D589" i="2"/>
  <c r="E589" i="2"/>
  <c r="F589" i="2"/>
  <c r="G589" i="2"/>
  <c r="H589" i="2"/>
  <c r="D594" i="2"/>
  <c r="E594" i="2"/>
  <c r="F594" i="2"/>
  <c r="G594" i="2"/>
  <c r="H594" i="2"/>
  <c r="D603" i="2"/>
  <c r="E603" i="2"/>
  <c r="F603" i="2"/>
  <c r="G603" i="2"/>
  <c r="H603" i="2"/>
  <c r="D605" i="2"/>
  <c r="E605" i="2"/>
  <c r="F605" i="2"/>
  <c r="G605" i="2"/>
  <c r="H605" i="2"/>
  <c r="D609" i="2"/>
  <c r="E609" i="2"/>
  <c r="F609" i="2"/>
  <c r="G609" i="2"/>
  <c r="H609" i="2"/>
  <c r="D616" i="2"/>
  <c r="E616" i="2"/>
  <c r="F616" i="2"/>
  <c r="G616" i="2"/>
  <c r="H616" i="2"/>
  <c r="D623" i="2"/>
  <c r="E623" i="2"/>
  <c r="F623" i="2"/>
  <c r="G623" i="2"/>
  <c r="H623" i="2"/>
  <c r="D630" i="2"/>
  <c r="E630" i="2"/>
  <c r="F630" i="2"/>
  <c r="G630" i="2"/>
  <c r="H630" i="2"/>
  <c r="D635" i="2"/>
  <c r="E635" i="2"/>
  <c r="F635" i="2"/>
  <c r="G635" i="2"/>
  <c r="H635" i="2"/>
  <c r="D638" i="2"/>
  <c r="E638" i="2"/>
  <c r="F638" i="2"/>
  <c r="G638" i="2"/>
  <c r="H638" i="2"/>
  <c r="D642" i="2"/>
  <c r="E642" i="2"/>
  <c r="F642" i="2"/>
  <c r="G642" i="2"/>
  <c r="H642" i="2"/>
  <c r="D648" i="2"/>
  <c r="E648" i="2"/>
  <c r="F648" i="2"/>
  <c r="D653" i="2"/>
  <c r="E653" i="2"/>
  <c r="F653" i="2"/>
  <c r="D657" i="2"/>
  <c r="E657" i="2"/>
  <c r="F657" i="2"/>
  <c r="G657" i="2"/>
  <c r="H657" i="2"/>
  <c r="D661" i="2"/>
  <c r="E661" i="2"/>
  <c r="F661" i="2"/>
  <c r="G661" i="2"/>
  <c r="H661" i="2"/>
  <c r="D664" i="2"/>
  <c r="E664" i="2"/>
  <c r="F664" i="2"/>
  <c r="G664" i="2"/>
  <c r="H664" i="2"/>
  <c r="D668" i="2"/>
  <c r="E668" i="2"/>
  <c r="F668" i="2"/>
  <c r="G668" i="2"/>
  <c r="H668" i="2"/>
  <c r="D672" i="2"/>
  <c r="E672" i="2"/>
  <c r="F672" i="2"/>
  <c r="I672" i="2" s="1"/>
  <c r="D675" i="2"/>
  <c r="E675" i="2"/>
  <c r="F675" i="2"/>
  <c r="G675" i="2"/>
  <c r="H675" i="2"/>
  <c r="D684" i="2"/>
  <c r="E684" i="2"/>
  <c r="F684" i="2"/>
  <c r="D688" i="2"/>
  <c r="E688" i="2"/>
  <c r="F688" i="2"/>
  <c r="D690" i="2"/>
  <c r="E690" i="2"/>
  <c r="F690" i="2"/>
  <c r="G690" i="2"/>
  <c r="H690" i="2"/>
  <c r="D694" i="2"/>
  <c r="E694" i="2"/>
  <c r="F694" i="2"/>
  <c r="G694" i="2"/>
  <c r="H694" i="2"/>
  <c r="D699" i="2"/>
  <c r="E699" i="2"/>
  <c r="F699" i="2"/>
  <c r="I699" i="2" s="1"/>
  <c r="G699" i="2"/>
  <c r="H699" i="2"/>
  <c r="D708" i="2"/>
  <c r="E708" i="2"/>
  <c r="F708" i="2"/>
  <c r="D711" i="2"/>
  <c r="E711" i="2"/>
  <c r="F711" i="2"/>
  <c r="G711" i="2"/>
  <c r="H711" i="2"/>
  <c r="D714" i="2"/>
  <c r="E714" i="2"/>
  <c r="F714" i="2"/>
  <c r="G714" i="2"/>
  <c r="H714" i="2"/>
  <c r="D717" i="2"/>
  <c r="E717" i="2"/>
  <c r="F717" i="2"/>
  <c r="D719" i="2"/>
  <c r="E719" i="2"/>
  <c r="F719" i="2"/>
  <c r="G719" i="2"/>
  <c r="H719" i="2"/>
  <c r="D726" i="2"/>
  <c r="D723" i="2" s="1"/>
  <c r="E726" i="2"/>
  <c r="E723" i="2" s="1"/>
  <c r="F726" i="2"/>
  <c r="F723" i="2" s="1"/>
  <c r="G726" i="2"/>
  <c r="G723" i="2" s="1"/>
  <c r="H726" i="2"/>
  <c r="H723" i="2" s="1"/>
  <c r="D729" i="2"/>
  <c r="E729" i="2"/>
  <c r="F729" i="2"/>
  <c r="G729" i="2"/>
  <c r="H729" i="2"/>
  <c r="D735" i="2"/>
  <c r="E735" i="2"/>
  <c r="F735" i="2"/>
  <c r="I735" i="2" s="1"/>
  <c r="G735" i="2"/>
  <c r="H735" i="2"/>
  <c r="D740" i="2"/>
  <c r="E740" i="2"/>
  <c r="F740" i="2"/>
  <c r="G740" i="2"/>
  <c r="H740" i="2"/>
  <c r="D746" i="2"/>
  <c r="D745" i="2" s="1"/>
  <c r="E746" i="2"/>
  <c r="E745" i="2" s="1"/>
  <c r="F746" i="2"/>
  <c r="F745" i="2" s="1"/>
  <c r="G746" i="2"/>
  <c r="G745" i="2" s="1"/>
  <c r="H746" i="2"/>
  <c r="H745" i="2" s="1"/>
  <c r="D750" i="2"/>
  <c r="E750" i="2"/>
  <c r="F750" i="2"/>
  <c r="G750" i="2"/>
  <c r="H750" i="2"/>
  <c r="D756" i="2"/>
  <c r="E756" i="2"/>
  <c r="F756" i="2"/>
  <c r="G756" i="2"/>
  <c r="H756" i="2"/>
  <c r="D760" i="2"/>
  <c r="E760" i="2"/>
  <c r="F760" i="2"/>
  <c r="G760" i="2"/>
  <c r="H760" i="2"/>
  <c r="D762" i="2"/>
  <c r="E762" i="2"/>
  <c r="F762" i="2"/>
  <c r="G762" i="2"/>
  <c r="H762" i="2"/>
  <c r="D765" i="2"/>
  <c r="E765" i="2"/>
  <c r="F765" i="2"/>
  <c r="G765" i="2"/>
  <c r="H765" i="2"/>
  <c r="D767" i="2"/>
  <c r="E767" i="2"/>
  <c r="F767" i="2"/>
  <c r="G767" i="2"/>
  <c r="H767" i="2"/>
  <c r="D770" i="2"/>
  <c r="E770" i="2"/>
  <c r="F770" i="2"/>
  <c r="G770" i="2"/>
  <c r="H770" i="2"/>
  <c r="D775" i="2"/>
  <c r="E775" i="2"/>
  <c r="F775" i="2"/>
  <c r="G775" i="2"/>
  <c r="H775" i="2"/>
  <c r="D777" i="2"/>
  <c r="E777" i="2"/>
  <c r="F777" i="2"/>
  <c r="G777" i="2"/>
  <c r="H777" i="2"/>
  <c r="D782" i="2"/>
  <c r="E782" i="2"/>
  <c r="F782" i="2"/>
  <c r="I782" i="2" s="1"/>
  <c r="G782" i="2"/>
  <c r="H782" i="2"/>
  <c r="D794" i="2"/>
  <c r="E794" i="2"/>
  <c r="F794" i="2"/>
  <c r="G794" i="2"/>
  <c r="H794" i="2"/>
  <c r="D798" i="2"/>
  <c r="E798" i="2"/>
  <c r="F798" i="2"/>
  <c r="G798" i="2"/>
  <c r="H798" i="2"/>
  <c r="D803" i="2"/>
  <c r="E803" i="2"/>
  <c r="F803" i="2"/>
  <c r="D806" i="2"/>
  <c r="D805" i="2" s="1"/>
  <c r="E806" i="2"/>
  <c r="E805" i="2" s="1"/>
  <c r="F806" i="2"/>
  <c r="F805" i="2" s="1"/>
  <c r="G806" i="2"/>
  <c r="G805" i="2" s="1"/>
  <c r="H806" i="2"/>
  <c r="H805" i="2" s="1"/>
  <c r="D810" i="2"/>
  <c r="E810" i="2"/>
  <c r="F810" i="2"/>
  <c r="G810" i="2"/>
  <c r="H810" i="2"/>
  <c r="D813" i="2"/>
  <c r="E813" i="2"/>
  <c r="F813" i="2"/>
  <c r="G813" i="2"/>
  <c r="H813" i="2"/>
  <c r="D833" i="2"/>
  <c r="E833" i="2"/>
  <c r="F833" i="2"/>
  <c r="G833" i="2"/>
  <c r="H833" i="2"/>
  <c r="D841" i="2"/>
  <c r="E841" i="2"/>
  <c r="F841" i="2"/>
  <c r="G841" i="2"/>
  <c r="H841" i="2"/>
  <c r="D844" i="2"/>
  <c r="E844" i="2"/>
  <c r="F844" i="2"/>
  <c r="G844" i="2"/>
  <c r="H844" i="2"/>
  <c r="D847" i="2"/>
  <c r="E847" i="2"/>
  <c r="F847" i="2"/>
  <c r="I847" i="2" s="1"/>
  <c r="G847" i="2"/>
  <c r="H847" i="2"/>
  <c r="D849" i="2"/>
  <c r="E849" i="2"/>
  <c r="F849" i="2"/>
  <c r="G849" i="2"/>
  <c r="H849" i="2"/>
  <c r="D856" i="2"/>
  <c r="E856" i="2"/>
  <c r="F856" i="2"/>
  <c r="G856" i="2"/>
  <c r="H856" i="2"/>
  <c r="D860" i="2"/>
  <c r="E860" i="2"/>
  <c r="F860" i="2"/>
  <c r="G860" i="2"/>
  <c r="H860" i="2"/>
  <c r="D862" i="2"/>
  <c r="E862" i="2"/>
  <c r="F862" i="2"/>
  <c r="G862" i="2"/>
  <c r="H862" i="2"/>
  <c r="D865" i="2"/>
  <c r="E865" i="2"/>
  <c r="I865" i="2" s="1"/>
  <c r="G865" i="2"/>
  <c r="H865" i="2"/>
  <c r="D886" i="2"/>
  <c r="E886" i="2"/>
  <c r="F886" i="2"/>
  <c r="D889" i="2"/>
  <c r="E889" i="2"/>
  <c r="F889" i="2"/>
  <c r="G869" i="2"/>
  <c r="D896" i="2"/>
  <c r="E896" i="2"/>
  <c r="F896" i="2"/>
  <c r="I896" i="2" s="1"/>
  <c r="G896" i="2"/>
  <c r="H896" i="2"/>
  <c r="D901" i="2"/>
  <c r="E901" i="2"/>
  <c r="F901" i="2"/>
  <c r="G901" i="2"/>
  <c r="H901" i="2"/>
  <c r="D905" i="2"/>
  <c r="E905" i="2"/>
  <c r="F905" i="2"/>
  <c r="G905" i="2"/>
  <c r="H905" i="2"/>
  <c r="D909" i="2"/>
  <c r="E909" i="2"/>
  <c r="F909" i="2"/>
  <c r="G909" i="2"/>
  <c r="H909" i="2"/>
  <c r="D914" i="2"/>
  <c r="E914" i="2"/>
  <c r="F914" i="2"/>
  <c r="G914" i="2"/>
  <c r="H914" i="2"/>
  <c r="D916" i="2"/>
  <c r="E916" i="2"/>
  <c r="F916" i="2"/>
  <c r="G916" i="2"/>
  <c r="H916" i="2"/>
  <c r="D919" i="2"/>
  <c r="E919" i="2"/>
  <c r="F919" i="2"/>
  <c r="G919" i="2"/>
  <c r="H919" i="2"/>
  <c r="D922" i="2"/>
  <c r="E922" i="2"/>
  <c r="F922" i="2"/>
  <c r="G922" i="2"/>
  <c r="H922" i="2"/>
  <c r="D929" i="2"/>
  <c r="D926" i="2" s="1"/>
  <c r="E929" i="2"/>
  <c r="E926" i="2" s="1"/>
  <c r="F929" i="2"/>
  <c r="F926" i="2" s="1"/>
  <c r="D934" i="2"/>
  <c r="E934" i="2"/>
  <c r="F934" i="2"/>
  <c r="D937" i="2"/>
  <c r="E937" i="2"/>
  <c r="F937" i="2"/>
  <c r="G937" i="2"/>
  <c r="H937" i="2"/>
  <c r="D943" i="2"/>
  <c r="E943" i="2"/>
  <c r="F943" i="2"/>
  <c r="G943" i="2"/>
  <c r="H943" i="2"/>
  <c r="D945" i="2"/>
  <c r="E945" i="2"/>
  <c r="F945" i="2"/>
  <c r="G945" i="2"/>
  <c r="H945" i="2"/>
  <c r="D948" i="2"/>
  <c r="D947" i="2" s="1"/>
  <c r="E948" i="2"/>
  <c r="E947" i="2" s="1"/>
  <c r="F948" i="2"/>
  <c r="F947" i="2" s="1"/>
  <c r="G948" i="2"/>
  <c r="G947" i="2" s="1"/>
  <c r="H948" i="2"/>
  <c r="H947" i="2" s="1"/>
  <c r="D952" i="2"/>
  <c r="E952" i="2"/>
  <c r="F952" i="2"/>
  <c r="G952" i="2"/>
  <c r="H952" i="2"/>
  <c r="D955" i="2"/>
  <c r="E955" i="2"/>
  <c r="F955" i="2"/>
  <c r="G955" i="2"/>
  <c r="H955" i="2"/>
  <c r="C975" i="2"/>
  <c r="D975" i="2"/>
  <c r="E975" i="2"/>
  <c r="F975" i="2"/>
  <c r="G975" i="2"/>
  <c r="C988" i="2"/>
  <c r="D988" i="2"/>
  <c r="E988" i="2"/>
  <c r="F988" i="2"/>
  <c r="G988" i="2"/>
  <c r="I805" i="2" l="1"/>
  <c r="I762" i="2"/>
  <c r="I470" i="2"/>
  <c r="I439" i="2"/>
  <c r="I372" i="2"/>
  <c r="I120" i="2"/>
  <c r="I561" i="2"/>
  <c r="I53" i="2"/>
  <c r="I177" i="2"/>
  <c r="I919" i="2"/>
  <c r="I294" i="2"/>
  <c r="I141" i="2"/>
  <c r="I423" i="2"/>
  <c r="I638" i="2"/>
  <c r="I499" i="2"/>
  <c r="I460" i="2"/>
  <c r="I430" i="2"/>
  <c r="I367" i="2"/>
  <c r="I415" i="2"/>
  <c r="I221" i="2"/>
  <c r="I916" i="2"/>
  <c r="I719" i="2"/>
  <c r="I623" i="2"/>
  <c r="I575" i="2"/>
  <c r="I477" i="2"/>
  <c r="I350" i="2"/>
  <c r="I164" i="2"/>
  <c r="I909" i="2"/>
  <c r="I750" i="2"/>
  <c r="I675" i="2"/>
  <c r="I555" i="2"/>
  <c r="I254" i="2"/>
  <c r="I717" i="2"/>
  <c r="I265" i="2"/>
  <c r="I231" i="2"/>
  <c r="I833" i="2"/>
  <c r="I770" i="2"/>
  <c r="I661" i="2"/>
  <c r="I526" i="2"/>
  <c r="I428" i="2"/>
  <c r="I391" i="2"/>
  <c r="I277" i="2"/>
  <c r="I206" i="2"/>
  <c r="I943" i="2"/>
  <c r="I934" i="2"/>
  <c r="I860" i="2"/>
  <c r="I803" i="2"/>
  <c r="I589" i="2"/>
  <c r="I462" i="2"/>
  <c r="I437" i="2"/>
  <c r="D399" i="2"/>
  <c r="I369" i="2"/>
  <c r="I308" i="2"/>
  <c r="I952" i="2"/>
  <c r="I152" i="2"/>
  <c r="I239" i="2"/>
  <c r="I914" i="2"/>
  <c r="I256" i="2"/>
  <c r="I225" i="2"/>
  <c r="I844" i="2"/>
  <c r="I905" i="2"/>
  <c r="I29" i="2"/>
  <c r="I745" i="2"/>
  <c r="I14" i="2"/>
  <c r="I107" i="2"/>
  <c r="I67" i="2"/>
  <c r="I760" i="2"/>
  <c r="I653" i="2"/>
  <c r="I455" i="2"/>
  <c r="I341" i="2"/>
  <c r="I285" i="2"/>
  <c r="I261" i="2"/>
  <c r="I247" i="2"/>
  <c r="I172" i="2"/>
  <c r="I955" i="2"/>
  <c r="I922" i="2"/>
  <c r="I901" i="2"/>
  <c r="I886" i="2"/>
  <c r="I849" i="2"/>
  <c r="I810" i="2"/>
  <c r="I794" i="2"/>
  <c r="I765" i="2"/>
  <c r="I740" i="2"/>
  <c r="I708" i="2"/>
  <c r="I688" i="2"/>
  <c r="I642" i="2"/>
  <c r="I609" i="2"/>
  <c r="I581" i="2"/>
  <c r="I564" i="2"/>
  <c r="I509" i="2"/>
  <c r="I441" i="2"/>
  <c r="I401" i="2"/>
  <c r="I381" i="2"/>
  <c r="I297" i="2"/>
  <c r="I233" i="2"/>
  <c r="I183" i="2"/>
  <c r="I154" i="2"/>
  <c r="I98" i="2"/>
  <c r="I83" i="2"/>
  <c r="I937" i="2"/>
  <c r="I856" i="2"/>
  <c r="I273" i="2"/>
  <c r="I218" i="2"/>
  <c r="I202" i="2"/>
  <c r="I945" i="2"/>
  <c r="I889" i="2"/>
  <c r="I862" i="2"/>
  <c r="I841" i="2"/>
  <c r="I775" i="2"/>
  <c r="I756" i="2"/>
  <c r="I711" i="2"/>
  <c r="I690" i="2"/>
  <c r="I684" i="2"/>
  <c r="I664" i="2"/>
  <c r="I630" i="2"/>
  <c r="I594" i="2"/>
  <c r="I579" i="2"/>
  <c r="I534" i="2"/>
  <c r="I479" i="2"/>
  <c r="I395" i="2"/>
  <c r="I353" i="2"/>
  <c r="I311" i="2"/>
  <c r="I282" i="2"/>
  <c r="I243" i="2"/>
  <c r="I210" i="2"/>
  <c r="I185" i="2"/>
  <c r="I168" i="2"/>
  <c r="I145" i="2"/>
  <c r="I126" i="2"/>
  <c r="I110" i="2"/>
  <c r="I86" i="2"/>
  <c r="I947" i="2"/>
  <c r="I777" i="2"/>
  <c r="I729" i="2"/>
  <c r="I714" i="2"/>
  <c r="I694" i="2"/>
  <c r="I668" i="2"/>
  <c r="I635" i="2"/>
  <c r="I603" i="2"/>
  <c r="I538" i="2"/>
  <c r="I519" i="2"/>
  <c r="I485" i="2"/>
  <c r="I362" i="2"/>
  <c r="I320" i="2"/>
  <c r="I229" i="2"/>
  <c r="I215" i="2"/>
  <c r="I198" i="2"/>
  <c r="I129" i="2"/>
  <c r="I114" i="2"/>
  <c r="I25" i="2"/>
  <c r="I48" i="2"/>
  <c r="I463" i="2"/>
  <c r="I926" i="2"/>
  <c r="I813" i="2"/>
  <c r="I798" i="2"/>
  <c r="I767" i="2"/>
  <c r="I657" i="2"/>
  <c r="I648" i="2"/>
  <c r="I616" i="2"/>
  <c r="I587" i="2"/>
  <c r="I572" i="2"/>
  <c r="I523" i="2"/>
  <c r="I516" i="2"/>
  <c r="I450" i="2"/>
  <c r="I407" i="2"/>
  <c r="I385" i="2"/>
  <c r="I344" i="2"/>
  <c r="I338" i="2"/>
  <c r="I303" i="2"/>
  <c r="I269" i="2"/>
  <c r="I251" i="2"/>
  <c r="I235" i="2"/>
  <c r="I160" i="2"/>
  <c r="I135" i="2"/>
  <c r="I124" i="2"/>
  <c r="I102" i="2"/>
  <c r="I47" i="2"/>
  <c r="I36" i="2"/>
  <c r="I929" i="2"/>
  <c r="I948" i="2"/>
  <c r="I148" i="2"/>
  <c r="I723" i="2"/>
  <c r="I605" i="2"/>
  <c r="I746" i="2"/>
  <c r="D28" i="2"/>
  <c r="I39" i="2"/>
  <c r="I312" i="2"/>
  <c r="I386" i="2"/>
  <c r="I402" i="2"/>
  <c r="I726" i="2"/>
  <c r="I806" i="2"/>
  <c r="I179" i="2"/>
  <c r="I137" i="2"/>
  <c r="E336" i="2"/>
  <c r="F599" i="2"/>
  <c r="F568" i="2" s="1"/>
  <c r="F567" i="2" s="1"/>
  <c r="H319" i="2"/>
  <c r="D992" i="2"/>
  <c r="D433" i="2"/>
  <c r="D414" i="2" s="1"/>
  <c r="H779" i="2"/>
  <c r="F319" i="2"/>
  <c r="H895" i="2"/>
  <c r="H893" i="2" s="1"/>
  <c r="H822" i="2"/>
  <c r="H821" i="2" s="1"/>
  <c r="G733" i="2"/>
  <c r="D667" i="2"/>
  <c r="D656" i="2" s="1"/>
  <c r="D390" i="2"/>
  <c r="H151" i="2"/>
  <c r="F895" i="2"/>
  <c r="F779" i="2"/>
  <c r="E399" i="2"/>
  <c r="H869" i="2"/>
  <c r="G641" i="2"/>
  <c r="D599" i="2"/>
  <c r="D568" i="2" s="1"/>
  <c r="D567" i="2" s="1"/>
  <c r="E549" i="2"/>
  <c r="D514" i="2"/>
  <c r="H336" i="2"/>
  <c r="F667" i="2"/>
  <c r="H599" i="2"/>
  <c r="H568" i="2" s="1"/>
  <c r="H567" i="2" s="1"/>
  <c r="E449" i="2"/>
  <c r="H433" i="2"/>
  <c r="H399" i="2"/>
  <c r="F347" i="2"/>
  <c r="D347" i="2"/>
  <c r="D343" i="2" s="1"/>
  <c r="G336" i="2"/>
  <c r="E433" i="2"/>
  <c r="E414" i="2" s="1"/>
  <c r="G992" i="2"/>
  <c r="E913" i="2"/>
  <c r="D869" i="2"/>
  <c r="E667" i="2"/>
  <c r="E656" i="2" s="1"/>
  <c r="F641" i="2"/>
  <c r="D628" i="2"/>
  <c r="G599" i="2"/>
  <c r="G568" i="2" s="1"/>
  <c r="G567" i="2" s="1"/>
  <c r="F449" i="2"/>
  <c r="F336" i="2"/>
  <c r="E291" i="2"/>
  <c r="E290" i="2" s="1"/>
  <c r="E250" i="2"/>
  <c r="F182" i="2"/>
  <c r="G151" i="2"/>
  <c r="H119" i="2"/>
  <c r="H117" i="2" s="1"/>
  <c r="G754" i="2"/>
  <c r="D754" i="2"/>
  <c r="H733" i="2"/>
  <c r="H469" i="2"/>
  <c r="H134" i="2"/>
  <c r="D85" i="2"/>
  <c r="G913" i="2"/>
  <c r="F913" i="2"/>
  <c r="F822" i="2"/>
  <c r="F628" i="2"/>
  <c r="D449" i="2"/>
  <c r="F390" i="2"/>
  <c r="G291" i="2"/>
  <c r="G290" i="2" s="1"/>
  <c r="F159" i="2"/>
  <c r="D119" i="2"/>
  <c r="D117" i="2" s="1"/>
  <c r="H250" i="2"/>
  <c r="C992" i="2"/>
  <c r="F869" i="2"/>
  <c r="D779" i="2"/>
  <c r="F733" i="2"/>
  <c r="D641" i="2"/>
  <c r="H641" i="2"/>
  <c r="F433" i="2"/>
  <c r="F399" i="2"/>
  <c r="F134" i="2"/>
  <c r="F992" i="2"/>
  <c r="E992" i="2"/>
  <c r="H933" i="2"/>
  <c r="H931" i="2" s="1"/>
  <c r="D822" i="2"/>
  <c r="D821" i="2" s="1"/>
  <c r="G822" i="2"/>
  <c r="G821" i="2" s="1"/>
  <c r="H683" i="2"/>
  <c r="E628" i="2"/>
  <c r="H498" i="2"/>
  <c r="E469" i="2"/>
  <c r="E390" i="2"/>
  <c r="E384" i="2" s="1"/>
  <c r="E383" i="2" s="1"/>
  <c r="H347" i="2"/>
  <c r="H343" i="2" s="1"/>
  <c r="G319" i="2"/>
  <c r="F291" i="2"/>
  <c r="D250" i="2"/>
  <c r="G192" i="2"/>
  <c r="G191" i="2" s="1"/>
  <c r="H192" i="2"/>
  <c r="H191" i="2" s="1"/>
  <c r="E159" i="2"/>
  <c r="D159" i="2"/>
  <c r="E134" i="2"/>
  <c r="F28" i="2"/>
  <c r="H11" i="2"/>
  <c r="G895" i="2"/>
  <c r="G893" i="2" s="1"/>
  <c r="H754" i="2"/>
  <c r="E733" i="2"/>
  <c r="E641" i="2"/>
  <c r="E599" i="2"/>
  <c r="D469" i="2"/>
  <c r="G347" i="2"/>
  <c r="G343" i="2" s="1"/>
  <c r="E182" i="2"/>
  <c r="H85" i="2"/>
  <c r="H57" i="2" s="1"/>
  <c r="F64" i="2"/>
  <c r="G11" i="2"/>
  <c r="E822" i="2"/>
  <c r="E821" i="2" s="1"/>
  <c r="G779" i="2"/>
  <c r="E683" i="2"/>
  <c r="F549" i="2"/>
  <c r="F469" i="2"/>
  <c r="H449" i="2"/>
  <c r="G433" i="2"/>
  <c r="G414" i="2" s="1"/>
  <c r="E319" i="2"/>
  <c r="D291" i="2"/>
  <c r="D290" i="2" s="1"/>
  <c r="F260" i="2"/>
  <c r="E260" i="2"/>
  <c r="F192" i="2"/>
  <c r="D182" i="2"/>
  <c r="H159" i="2"/>
  <c r="G159" i="2"/>
  <c r="F151" i="2"/>
  <c r="G85" i="2"/>
  <c r="G57" i="2" s="1"/>
  <c r="E64" i="2"/>
  <c r="E60" i="2" s="1"/>
  <c r="F11" i="2"/>
  <c r="H414" i="2"/>
  <c r="E933" i="2"/>
  <c r="E931" i="2" s="1"/>
  <c r="D913" i="2"/>
  <c r="H913" i="2"/>
  <c r="E895" i="2"/>
  <c r="E893" i="2" s="1"/>
  <c r="E869" i="2"/>
  <c r="F754" i="2"/>
  <c r="H667" i="2"/>
  <c r="H656" i="2" s="1"/>
  <c r="G667" i="2"/>
  <c r="G656" i="2" s="1"/>
  <c r="F514" i="2"/>
  <c r="G449" i="2"/>
  <c r="H390" i="2"/>
  <c r="E347" i="2"/>
  <c r="E343" i="2" s="1"/>
  <c r="E332" i="2" s="1"/>
  <c r="E331" i="2" s="1"/>
  <c r="D336" i="2"/>
  <c r="D319" i="2"/>
  <c r="G260" i="2"/>
  <c r="D260" i="2"/>
  <c r="G250" i="2"/>
  <c r="E192" i="2"/>
  <c r="E191" i="2" s="1"/>
  <c r="E151" i="2"/>
  <c r="D134" i="2"/>
  <c r="F119" i="2"/>
  <c r="E85" i="2"/>
  <c r="F85" i="2"/>
  <c r="D64" i="2"/>
  <c r="D60" i="2" s="1"/>
  <c r="E11" i="2"/>
  <c r="H260" i="2"/>
  <c r="G933" i="2"/>
  <c r="G931" i="2" s="1"/>
  <c r="F933" i="2"/>
  <c r="D895" i="2"/>
  <c r="D893" i="2" s="1"/>
  <c r="E779" i="2"/>
  <c r="E754" i="2"/>
  <c r="H628" i="2"/>
  <c r="G628" i="2"/>
  <c r="D549" i="2"/>
  <c r="E514" i="2"/>
  <c r="G469" i="2"/>
  <c r="G399" i="2"/>
  <c r="G390" i="2"/>
  <c r="H291" i="2"/>
  <c r="H290" i="2" s="1"/>
  <c r="F250" i="2"/>
  <c r="D192" i="2"/>
  <c r="D191" i="2" s="1"/>
  <c r="H182" i="2"/>
  <c r="D151" i="2"/>
  <c r="G134" i="2"/>
  <c r="G119" i="2"/>
  <c r="G117" i="2" s="1"/>
  <c r="E119" i="2"/>
  <c r="E117" i="2" s="1"/>
  <c r="D11" i="2"/>
  <c r="G28" i="2"/>
  <c r="E28" i="2"/>
  <c r="F683" i="2"/>
  <c r="D683" i="2"/>
  <c r="G683" i="2"/>
  <c r="D733" i="2"/>
  <c r="G498" i="2"/>
  <c r="D933" i="2"/>
  <c r="D931" i="2" s="1"/>
  <c r="H28" i="2"/>
  <c r="D384" i="2" l="1"/>
  <c r="D383" i="2" s="1"/>
  <c r="I250" i="2"/>
  <c r="I469" i="2"/>
  <c r="I754" i="2"/>
  <c r="D10" i="2"/>
  <c r="D9" i="2" s="1"/>
  <c r="E498" i="2"/>
  <c r="E467" i="2" s="1"/>
  <c r="I85" i="2"/>
  <c r="E818" i="2"/>
  <c r="E817" i="2" s="1"/>
  <c r="I399" i="2"/>
  <c r="I28" i="2"/>
  <c r="F893" i="2"/>
  <c r="I895" i="2"/>
  <c r="H627" i="2"/>
  <c r="H626" i="2" s="1"/>
  <c r="I628" i="2"/>
  <c r="I182" i="2"/>
  <c r="I683" i="2"/>
  <c r="I151" i="2"/>
  <c r="F117" i="2"/>
  <c r="I117" i="2" s="1"/>
  <c r="I119" i="2"/>
  <c r="I514" i="2"/>
  <c r="F60" i="2"/>
  <c r="I60" i="2" s="1"/>
  <c r="I64" i="2"/>
  <c r="F290" i="2"/>
  <c r="I290" i="2" s="1"/>
  <c r="I291" i="2"/>
  <c r="E412" i="2"/>
  <c r="E411" i="2" s="1"/>
  <c r="I319" i="2"/>
  <c r="I260" i="2"/>
  <c r="I549" i="2"/>
  <c r="F821" i="2"/>
  <c r="I821" i="2" s="1"/>
  <c r="I822" i="2"/>
  <c r="I641" i="2"/>
  <c r="I733" i="2"/>
  <c r="I159" i="2"/>
  <c r="I913" i="2"/>
  <c r="F656" i="2"/>
  <c r="I656" i="2" s="1"/>
  <c r="I667" i="2"/>
  <c r="I134" i="2"/>
  <c r="I336" i="2"/>
  <c r="F343" i="2"/>
  <c r="I343" i="2" s="1"/>
  <c r="I347" i="2"/>
  <c r="I869" i="2"/>
  <c r="I390" i="2"/>
  <c r="I449" i="2"/>
  <c r="I779" i="2"/>
  <c r="F931" i="2"/>
  <c r="I931" i="2" s="1"/>
  <c r="I933" i="2"/>
  <c r="F191" i="2"/>
  <c r="I191" i="2" s="1"/>
  <c r="I192" i="2"/>
  <c r="F414" i="2"/>
  <c r="I414" i="2" s="1"/>
  <c r="I433" i="2"/>
  <c r="I893" i="2"/>
  <c r="E568" i="2"/>
  <c r="I599" i="2"/>
  <c r="H10" i="2"/>
  <c r="H9" i="2" s="1"/>
  <c r="F133" i="2"/>
  <c r="H56" i="2"/>
  <c r="H332" i="2"/>
  <c r="H331" i="2" s="1"/>
  <c r="E627" i="2"/>
  <c r="E626" i="2" s="1"/>
  <c r="D412" i="2"/>
  <c r="D411" i="2" s="1"/>
  <c r="H753" i="2"/>
  <c r="H680" i="2" s="1"/>
  <c r="H679" i="2" s="1"/>
  <c r="H289" i="2"/>
  <c r="D289" i="2"/>
  <c r="F498" i="2"/>
  <c r="H818" i="2"/>
  <c r="H817" i="2" s="1"/>
  <c r="F753" i="2"/>
  <c r="G753" i="2"/>
  <c r="G680" i="2" s="1"/>
  <c r="G679" i="2" s="1"/>
  <c r="H467" i="2"/>
  <c r="H466" i="2" s="1"/>
  <c r="H384" i="2"/>
  <c r="H383" i="2" s="1"/>
  <c r="F384" i="2"/>
  <c r="G190" i="2"/>
  <c r="H133" i="2"/>
  <c r="H132" i="2" s="1"/>
  <c r="D133" i="2"/>
  <c r="D132" i="2" s="1"/>
  <c r="G133" i="2"/>
  <c r="G132" i="2" s="1"/>
  <c r="E133" i="2"/>
  <c r="E132" i="2" s="1"/>
  <c r="D57" i="2"/>
  <c r="D56" i="2" s="1"/>
  <c r="F10" i="2"/>
  <c r="I11" i="2"/>
  <c r="E10" i="2"/>
  <c r="E9" i="2" s="1"/>
  <c r="G332" i="2"/>
  <c r="G331" i="2" s="1"/>
  <c r="G467" i="2"/>
  <c r="G466" i="2" s="1"/>
  <c r="E753" i="2"/>
  <c r="E680" i="2" s="1"/>
  <c r="E679" i="2" s="1"/>
  <c r="H190" i="2"/>
  <c r="D627" i="2"/>
  <c r="D626" i="2" s="1"/>
  <c r="G56" i="2"/>
  <c r="D498" i="2"/>
  <c r="D467" i="2" s="1"/>
  <c r="D466" i="2" s="1"/>
  <c r="D753" i="2"/>
  <c r="D680" i="2" s="1"/>
  <c r="D679" i="2" s="1"/>
  <c r="E289" i="2"/>
  <c r="G627" i="2"/>
  <c r="G626" i="2" s="1"/>
  <c r="E190" i="2"/>
  <c r="G384" i="2"/>
  <c r="G383" i="2" s="1"/>
  <c r="D818" i="2"/>
  <c r="D817" i="2" s="1"/>
  <c r="G412" i="2"/>
  <c r="G411" i="2" s="1"/>
  <c r="D190" i="2"/>
  <c r="E57" i="2"/>
  <c r="E56" i="2" s="1"/>
  <c r="F190" i="2"/>
  <c r="G289" i="2"/>
  <c r="H412" i="2"/>
  <c r="H411" i="2" s="1"/>
  <c r="G10" i="2"/>
  <c r="G9" i="2" s="1"/>
  <c r="D332" i="2"/>
  <c r="D331" i="2" s="1"/>
  <c r="G818" i="2"/>
  <c r="G817" i="2" s="1"/>
  <c r="I498" i="2" l="1"/>
  <c r="F332" i="2"/>
  <c r="F331" i="2" s="1"/>
  <c r="I331" i="2" s="1"/>
  <c r="F57" i="2"/>
  <c r="F56" i="2" s="1"/>
  <c r="I56" i="2" s="1"/>
  <c r="F289" i="2"/>
  <c r="I289" i="2" s="1"/>
  <c r="F467" i="2"/>
  <c r="I190" i="2"/>
  <c r="F412" i="2"/>
  <c r="F818" i="2"/>
  <c r="F627" i="2"/>
  <c r="F383" i="2"/>
  <c r="I383" i="2" s="1"/>
  <c r="I384" i="2"/>
  <c r="F680" i="2"/>
  <c r="I753" i="2"/>
  <c r="F132" i="2"/>
  <c r="I132" i="2" s="1"/>
  <c r="I133" i="2"/>
  <c r="E567" i="2"/>
  <c r="I568" i="2"/>
  <c r="D189" i="2"/>
  <c r="H189" i="2"/>
  <c r="G189" i="2"/>
  <c r="F9" i="2"/>
  <c r="I9" i="2" s="1"/>
  <c r="I10" i="2"/>
  <c r="E189" i="2"/>
  <c r="I332" i="2" l="1"/>
  <c r="F189" i="2"/>
  <c r="I57" i="2"/>
  <c r="I189" i="2"/>
  <c r="F626" i="2"/>
  <c r="I626" i="2" s="1"/>
  <c r="I627" i="2"/>
  <c r="F679" i="2"/>
  <c r="I679" i="2" s="1"/>
  <c r="I680" i="2"/>
  <c r="I818" i="2"/>
  <c r="F817" i="2"/>
  <c r="I817" i="2" s="1"/>
  <c r="F466" i="2"/>
  <c r="I467" i="2"/>
  <c r="F411" i="2"/>
  <c r="I411" i="2" s="1"/>
  <c r="I412" i="2"/>
  <c r="I567" i="2"/>
  <c r="E466" i="2"/>
  <c r="I466" i="2" l="1"/>
</calcChain>
</file>

<file path=xl/sharedStrings.xml><?xml version="1.0" encoding="utf-8"?>
<sst xmlns="http://schemas.openxmlformats.org/spreadsheetml/2006/main" count="3414" uniqueCount="1987">
  <si>
    <t>Kodas</t>
  </si>
  <si>
    <t>Pavadinimas</t>
  </si>
  <si>
    <t>SP lėšos</t>
  </si>
  <si>
    <t>2023 metų patikslinti asignavimai</t>
  </si>
  <si>
    <t>2023 metų kasinės išlaidos (I-IV ketvirtis)</t>
  </si>
  <si>
    <t>Asignavimų likutis nuo 2023 metų patikslintų asignavimų</t>
  </si>
  <si>
    <t>Efekto /Rezultato /Produkto /Indėlio</t>
  </si>
  <si>
    <t>metų</t>
  </si>
  <si>
    <t>I-IV ketvirtis</t>
  </si>
  <si>
    <t>Rodiklis</t>
  </si>
  <si>
    <t>Mato vnt.</t>
  </si>
  <si>
    <t>Aprašymas</t>
  </si>
  <si>
    <t>Pastaba</t>
  </si>
  <si>
    <t>Planas</t>
  </si>
  <si>
    <t>01.</t>
  </si>
  <si>
    <t>Miesto urbanistinės plėtros programa</t>
  </si>
  <si>
    <t>01.01.</t>
  </si>
  <si>
    <t>Užtikrinti kompleksišką ir darnų miesto planavimą</t>
  </si>
  <si>
    <t>Parengtų teritorijų planavimo, žemėtvarkos planavimo, žemės sklypų kadastrinių matavimų dokumentų</t>
  </si>
  <si>
    <t>vnt.</t>
  </si>
  <si>
    <t>01.01.01.</t>
  </si>
  <si>
    <t>Rengti teritorijų planavimo dokumentus, padedančius užtikrinti darniąją miesto plėtrą</t>
  </si>
  <si>
    <t>01.01.01.01</t>
  </si>
  <si>
    <t>Koreguoti Šiaulių miesto savivaldybės teritorijos bendrąjį planą</t>
  </si>
  <si>
    <t>Atliktas Bendrojo plano pakeitimas</t>
  </si>
  <si>
    <t>proc.</t>
  </si>
  <si>
    <t>1.01.</t>
  </si>
  <si>
    <t>Parengtas Šiaulių miesto bendrojo plano koregavimas teritorijose tarp Trumpiškių, Bačiūnų, Pramonės g. ir želdynų ploto bei Šiaulių miesto administracinės ribos, Lingailių g., sklypo, kurio kadastro Nr. 2901/8001:0007, ir Bačiūnų g.</t>
  </si>
  <si>
    <t>01.01.01.02</t>
  </si>
  <si>
    <t>Organizuoti detaliųjų ir specialiųjų planų parengimą</t>
  </si>
  <si>
    <t>1.10.</t>
  </si>
  <si>
    <t>Parengtas Teritorijos tarp Gegužių, Architektų, Gardino ir Aido gatvių Šiauliuose detalusis planas</t>
  </si>
  <si>
    <t>Parengtas Teritorijos tarp Aušros al., Žemaitės, Dobilo ir Vaisių g. (Centrinio parko) Šiaulių mieste detaliojo plano keitimas</t>
  </si>
  <si>
    <t>Parengtas Prisikėlimo aikštės su prieigomis detaliojo plano keitimas</t>
  </si>
  <si>
    <t>Atliktas Zoknių gyvenamojo rajono Šiauliuose detaliojo plano koregavimas</t>
  </si>
  <si>
    <t>Atliktas supaprastinta tvarka parengto detaliojo plano sklypo Marijampolės g.22 keitimas</t>
  </si>
  <si>
    <t>Atliktas žemės sklypo J. Žemaičio g. 3, Šiauliuose detaliojo plano keitimas</t>
  </si>
  <si>
    <t>Atliktas supaprastinta tvarka parengto žemės sklypo Pramonės g. 15, Šiauliuose detaliojo plano koregavimas</t>
  </si>
  <si>
    <t>Atliktas supaprastinta tvarka parengto detalaus plano teritorijos Architektų g.1, Šiauliuose  koregavimas</t>
  </si>
  <si>
    <t>01.01.01.03</t>
  </si>
  <si>
    <t>Įgyvendinti  žemės paėmimo visuomenės poreikiams procedūrą</t>
  </si>
  <si>
    <t>Įgyvendinta žemės paėmimo visuomenės poreikiams procedūra, paimtas žemės sklypas visuomenės poreikiams</t>
  </si>
  <si>
    <t>Parengta sąnaudų naudos analizė</t>
  </si>
  <si>
    <t>01.01.01.04</t>
  </si>
  <si>
    <t>Rengti žemėtvarkos planavimo dokumentus, žemės sklypų kadastrinius matavimus</t>
  </si>
  <si>
    <t>Parengta kadastrinių matavimų bylų, žemės sklypų pertvarkymo projektų</t>
  </si>
  <si>
    <t>01.01.02.</t>
  </si>
  <si>
    <t>Pagerinti miesto teigiamo architektūrinio ir vizualinio įvaizdžio kokybę</t>
  </si>
  <si>
    <t>01.01.02.01</t>
  </si>
  <si>
    <t>Formuoti miesto teigiamą architektūrinį ir vizualųjį įvaizdį</t>
  </si>
  <si>
    <t>Įgyvendintas paminklo "Tautos laisvė" projektas</t>
  </si>
  <si>
    <t>Parengtas paminklo "Tautos laisvė" techninis projektas</t>
  </si>
  <si>
    <t>Parengti tipinio dizaino kioskų ir paviljonų projektavimo reikalavimai</t>
  </si>
  <si>
    <t>Atlikti Prof. Aloyzo Toleikio skulptūros „Dubysa“ restauravimo, remonto ir perkėlimo darbai</t>
  </si>
  <si>
    <t>Įgyvendintas Mozaikos „Šiauliai“, esančios adresu Tilžės g. 198, Šiauliuose, konservavimo, restauravimo ir atkūrimo darbų aprašymo programos – projekto parengimas ir darbų pagal programą – projektą vykdymas.</t>
  </si>
  <si>
    <t>01.01.02.02</t>
  </si>
  <si>
    <t>Organizuoti architektūriniu, urbanistiniu, valstybiniu ar viešojo intereso požiūriu reikšmingų objektų planavimo ar projektavimo architektūrinius konkursus</t>
  </si>
  <si>
    <t>Suorganizuota architektūrinių konkursų</t>
  </si>
  <si>
    <t>01.01.02.03</t>
  </si>
  <si>
    <t>Organizuoti projektinių darbų finansavimą</t>
  </si>
  <si>
    <t>Architektūros, urbanistikos ir paveldosaugos skyriaus parengtų techninių projektų</t>
  </si>
  <si>
    <t>Statybos ir renovacijos skyriaus parengtų techninių projektų</t>
  </si>
  <si>
    <t>Miesto ūkio ir aplinkos skyriaus parengtų techninių projektų</t>
  </si>
  <si>
    <t>01.01.02.03.01</t>
  </si>
  <si>
    <t>Organizuoti Architektūros, urbanistikos ir paveldosaugos skyriaus techninių projektų parengimą ir finansavimą</t>
  </si>
  <si>
    <t>Atlikti viešojo tualeto Dainų bulvare įgijimo ir įrengimo darbai</t>
  </si>
  <si>
    <t>Parengtas Lieporių parko hidrogeologijos projektas</t>
  </si>
  <si>
    <t>Parengtas Lieporių parko vaikų žaidimo aikštelės projektas</t>
  </si>
  <si>
    <t>Parengti inžinerinių tinklų iškėlimo, perkėlimo, prijungimo, apsaugojimo  reikalavimai</t>
  </si>
  <si>
    <t>Parengtas Šiaulių miesto savivaldybės pastato stogo dangos (likusios dalies) keitimo projektas</t>
  </si>
  <si>
    <t>II ketv. atliktas TP projektinės dokumentacijos parengimas.
Sudaryta stogo konstrukcijų ekspertizės sutartis, paslaugų suteikimo terminas iki 2024-03-01.</t>
  </si>
  <si>
    <t>Parengtų techninių projektų</t>
  </si>
  <si>
    <t>01.01.02.03.02</t>
  </si>
  <si>
    <t>Organizuoti Statybos ir renovacijos skyriaus techninių projektų parengimą ir finansavimą</t>
  </si>
  <si>
    <t>01.01.02.03.03</t>
  </si>
  <si>
    <t>Organizuoti Miesto ūkio ir aplinkos skyriaus techninių projektų parengimą ir finansavimą</t>
  </si>
  <si>
    <t>Parengta projektų</t>
  </si>
  <si>
    <t>01.01.03.</t>
  </si>
  <si>
    <t>Organizuoti kultūros paveldo apsaugą</t>
  </si>
  <si>
    <t>01.01.03.01</t>
  </si>
  <si>
    <t>Organizuoti kultūros paveldo tvarkybą</t>
  </si>
  <si>
    <t>Įgyvendintas informacinių stovų (stendų) suprojektavimas, jų pagaminimas ir sumontavimas prie Šiaulių m. memorialinių objektų – neveikiančių kapinių</t>
  </si>
  <si>
    <t>Atlikti kitos paskirties inžinerinių statinių (atraminių sienelių) žemės sklype (kad. Nr. 2901/0015:143) Šiaulių mieste tvarkomieji statybos darbai</t>
  </si>
  <si>
    <t>Atlikti kapavietės Aviacijos g., Šiauliuose sutvarkymo darbai</t>
  </si>
  <si>
    <t>01.01.03.02</t>
  </si>
  <si>
    <t>Plėtoti kultūros paveldo apskaitą</t>
  </si>
  <si>
    <t>Įgyvendinta kultūros paveldo apskaitos priemonių</t>
  </si>
  <si>
    <t>01.01.04.</t>
  </si>
  <si>
    <t>Kokybiškai administruoti Šiaulių m. erdvinių duomenų bazę</t>
  </si>
  <si>
    <t>01.01.04.01</t>
  </si>
  <si>
    <t>Organizuoti miesto erdvinių duomenų bazės techninę priežiūrą, programinės įrangos atnaujinimą</t>
  </si>
  <si>
    <t>Atnaujinta programinė įranga</t>
  </si>
  <si>
    <t>01.01.04.02</t>
  </si>
  <si>
    <t>Organizuoti Šiaulių miesto savivaldybės geodezijos ir kartografijos darbus</t>
  </si>
  <si>
    <t>Parengta topografinių planų</t>
  </si>
  <si>
    <t>02.</t>
  </si>
  <si>
    <t>Kultūros plėtros programa</t>
  </si>
  <si>
    <t>02.01.</t>
  </si>
  <si>
    <t>Skatinti įvairių visuomenės grupių dalyvavimą kultūroje puoselėjant kultūros tradicijas ir  kultūrinės raiškos įvairovę bei gerinti kultūrinių paslaugų prieinamumą ir kokybę</t>
  </si>
  <si>
    <t>Gyventojų įsitraukimo į miesto kultūrinį gyvenimą augimas</t>
  </si>
  <si>
    <t>Kultūros paslaugų vartotojų skaičiaus augimas</t>
  </si>
  <si>
    <t>Atnaujintų kultūros įstaigų/objektų</t>
  </si>
  <si>
    <t>02.01.01.</t>
  </si>
  <si>
    <t>Užtikrinti miesto kultūrinio gyvenimo gyvybingumą, ugdyti ir skatinti miesto gyventojų ir jaunimo pilietinį aktyvumą bei tautinį sąmoningumą</t>
  </si>
  <si>
    <t>02.01.01.01</t>
  </si>
  <si>
    <t>Skatinti Šiaulių miesto kultūros ir meno įvairovę, sklaidą, prieinamumą</t>
  </si>
  <si>
    <t>Finansuotų kultūros projektų</t>
  </si>
  <si>
    <t>02.01.01.02</t>
  </si>
  <si>
    <t>Skatinti meno kūrėjus</t>
  </si>
  <si>
    <t>Įteiktų premijų ir stipendijų</t>
  </si>
  <si>
    <t>02.01.01.10</t>
  </si>
  <si>
    <t>Užtikrinti reprezentacinių Šiaulių miesto festivalių tęstinumą, jų ilgalaikiškumą, dalinį finansavimą, skatinti naujų idėjų, raiškos formų atsiradimą ir raidą</t>
  </si>
  <si>
    <t>Finansuotų festivalių</t>
  </si>
  <si>
    <t>2023 m. finansuoti 7 reprezentaciniai festivaliai: tarptautinis festivalis „Resurrexit“; tarptautinis Chaimo Frenkelio vilos vasaros festivalis; tarptautinis bigbendų festivalis „Big Band Festival Šiauliai“; tarptautinis folkloro konkursas-festivalis „Saulės žiedas“; festivalis „Šiaulių Monmartro Respublika“; meno festivalis-akcija „Šiaulių kultūros naktys“; šiuolaikinio meno ir mados festivalis „Virus“.</t>
  </si>
  <si>
    <t>02.01.01.11</t>
  </si>
  <si>
    <t>Koordinuoti valstybinių švenčių, atmintinų dienų paminėjimą, svarbių renginių, plenerų organizavimą, puoselėti tautines tradicijas</t>
  </si>
  <si>
    <t>Surengtų miesto, valstybinių, kalendorinių ir atmintinų dienų švenčių</t>
  </si>
  <si>
    <t>2023 m. surengta 15 valstybinių ir kalendorinių, atmintinų dienų ir miesto švenčių: 1 - Laisvės gynėjų dienai paminėti, 1 -  Lietuvos valstybės atkūrimo dienai paminėti, 1 - Užgavėnių, 1 - Lietuvos nepriklausomybės atkūrimo dienai paminėti, 1 - Kultūros dienos, 1 - filosofo St. Šalkauskio premijos įteikimo šventinis renginys, 1 - Tarptautinės vaikų gynimo dienos, 1 - Gedulo ir vilties dienos, 1 - Joninių, 1 - Baltijos kelio, 1 - Valstybės dienos (Lietuvos karaliaus Mindaugo karūnavimo), 1 - „Šiaulių dienų“, 1 - Tarptautinės pagyvenusių žmonių ir Muzikos dienos,  1 - Kalėdų eglės įžiebimo ir 1 - Šiaulių miesto kultūros ir meno premijų įteikimo šventinis renginys.</t>
  </si>
  <si>
    <t>Įgyvendintų Tolygios kultūrinės raidos programos projektų, papildomų kultūros priemonių</t>
  </si>
  <si>
    <t>Atminimo ženklų sukūrimo ir gamybos paslaugų</t>
  </si>
  <si>
    <t>2023 m. atlikti 3 kultūros paslaugų viešieji pirkimai: įdėklų, atitinkančių atminimo ženklų meninę idėją, sukūrimo ir gamybos paslaugos (1) viešasis pirkimas; atminimo ženklų sukūrimo ir gamybos paslaugų (2) viešieji pirkimai.</t>
  </si>
  <si>
    <t>02.01.01.11.02</t>
  </si>
  <si>
    <t>Koordinuoti valstybinių švenčių, atmintinų dienų paminėjimą, svarbių renginių organizavimą</t>
  </si>
  <si>
    <t>Sausio 13-oji, Laisvės gynėjų diena</t>
  </si>
  <si>
    <t>2023-01-13 Laisvės gynėjų dienai, paminėti įvyko šie renginiai: aikštėje prie Rėkyvos kultūros namų vyko šventinė eisena, renginys su muzikine programa, Rėkyvos progimnazija parengė meninę kompoziciją. Iškilmingas renginys skvere prie Šiaulių miesto savivaldybės prasidėjo akcija „Atmintis gyva“, degė atminimo laužai, įvyko koncertas. Prisikėlimo aikštės apžvalgos aikštelės siena papuošta meniniu akcentu  - Vyčio dekoracija.</t>
  </si>
  <si>
    <t>Vasario 16-oji, Lietuvos valstybės atkūrimo diena</t>
  </si>
  <si>
    <t>2023-02-16 Lietuvos valstybės atkūrimo dienai paminėti įvyko šie renginiai: Šiaulių m. kultūros centras „Laiptų galerija“ surengė akciją miesto autobusuose „Nepriklausomybės maršrutai“  ir koncertinę programą „Laiptų galerijoje“. Prisikėlimo aikštėje įvyko iškilmingas minėjimas - dalyvių eisena, Lietuvos valstybės vėliavos pakėlimo ceremonija, įvyko koncertai Šiaulių kultūros centre ir Šiaulių Švč. Mergelės Marijos nekaltojo prasidėjimo bažnyčioje.</t>
  </si>
  <si>
    <t>Užgavėnės</t>
  </si>
  <si>
    <t>2023-02-21 įvyko etnokultūrinė šventė Užgavėnės. Suorganizuota „Baisiai gražių Morių“ paroda Kaštonų al. ir gražiausios Morės rinkimai (iš 24 Morių). Vilniaus g. bulvare įvyko persirengėlių eitynės, prie Talkšos ežero vyko folkloriniai šokiai, Morių deginimo ceremonija, Lašininio ir Kanapinio kovos.</t>
  </si>
  <si>
    <t>Kovo 11-oji, Lietuvos nepriklausomybės atkūrimo diena</t>
  </si>
  <si>
    <t>2023-03-11 Lietuvos Nepriklausomybės atkūrimo dienai paminėti įvyko šie renginiai: Prisikėlimo aikštėje įvyko iškilminga Lietuvos valstybės vėliavos pakėlimo ceremonija ir minėjimas, trispalvės žygis „Lietuva mūsų širdyse“, šventinis koncertas. Koncertinė įstaiga „Saulė“ surengė koncertą Šiaulių kultūros centre.  Šiaulių m. kultūros centre „Laiptų galerija“ įvyko projektas „Vilnius 700 - Lietuvai ir pasauliui“.</t>
  </si>
  <si>
    <t>Tarptautinė vaikų gynimo diena</t>
  </si>
  <si>
    <t>2023-06-01 Šiaulių miesto centriniame parke įvyko Tarptautinei vaikų gynimo dienai skirtas renginys -  šventė „Aš - mažasis šiaulietis“, programoje: koncertas „Linksmasis vėjas“, kūrybinis dailės pleneras „Piešiu vaikystę“ (5-12 kl.), Šiaulių pučiamųjų orkestro, Šiaulių kultūros centro choreografijos studijos „Aušrelė“ ir renginio dalyvių eisena nuo Gaidžio į miesto centrinį parką.</t>
  </si>
  <si>
    <t>Birželio 14-oji, Gedulo ir vilties diena</t>
  </si>
  <si>
    <t>Įvyko šie renginiai: 2023-06-14 Šiaulių Šv. apaštalų Petro ir Povilo katedroje Šiaulių m. koncertinė įstaiga „Saulė“ surengė koncertą Gedulo ir vilties dienai paminėti. Šiaulių kultūros centras 2023-06-02 surengė Lietuvos Sąjūdžio 35-ųjų metinių minėjimo koncertą Amfiteatre, 2023-06-14 - Gedulo ir vilties dienos minėjimą skvere prie Šiaulių miesto savivaldybės, 2023-06-29 - 1863-1864 m. sukilimo 160-ųjų metinių minėjimą Sukilėlių kalnelyje.</t>
  </si>
  <si>
    <t>Joninės</t>
  </si>
  <si>
    <t>2023-06-23 Rėkyvos ežero pakrantėje surengtas Joninių renginys, kurio programoje: tradicinės apeigos, puodų daužymo rungtis, apyrankių vijimas ir kt., folkloro grupių ir Šiaulių kultūros centro liaudiškų šokių kolektyvų koncertas.</t>
  </si>
  <si>
    <t>Liepos 6-oji, Valstybės (Lietuvos karaliaus Mindaugo karūnavimo) diena)</t>
  </si>
  <si>
    <t>2023-07-06 įvyko  Valstybės (Lietuvos karaliaus Mindaugo karūnavimo) dienos renginys Prisikėlimo aikštėje: Lietuvos Respublikos vėliavos pakėlimo ceremonija, Šiaulių pučiamųjų orkestro, liaudiškų šokių kolektyvų „Kalatinis“ ir „Liuoksinis“ koncertinė programa. Įvyko edukacinis renginys „Smetoniškos Mindauginės“ Saulės Laikrodžio aikštėje.</t>
  </si>
  <si>
    <t>Rugpjūčio 23-oji, Baltijos kelio diena, Laisvės diena</t>
  </si>
  <si>
    <t>2023-08-23, 2023-08-26 ir 2023-08-31 įvyko Baltijos kelio ir Laisvės dienos renginiai Šiaulių Šv. Apaštalų Petro ir Povilo katedroje, Sukilėlių kalnelyje, Šiaulių kultūros centre: Laisvės dienos minėjimas ir šventinis koncertas, susitikimas su TFP organizacijos nariais, Padėkos ir vilties žygis.</t>
  </si>
  <si>
    <t>Miesto šventė „Šiaulių dienos“</t>
  </si>
  <si>
    <t>Rugsėjo 7-10 d. įvyko 40 miesto šventės „Šiaulių dienos 787“ renginių Vilniaus g. bulvare, amfiteatre, Varpo g., Prisikėlimo a., Centrinio parko estradoje, Dainų parke, Talkšos ežero pakrantėje, Šiaulių Švč. Mergelės Nekaltojo Prasidėjimo bažnyčioje, Šv. apaštalų Petro ir Pauliaus katedroje, Šiaulių miesto kultūros įstaigose ir organizacijose ir kt.</t>
  </si>
  <si>
    <t>Tarptautinė pagyvenusių žmonių diena</t>
  </si>
  <si>
    <t>2023-11-30 Tarptautinei pagyvenusių žmonių dienai buvo skirti šie renginiai: Šiaulių miesto koncertinės įstaigos surengtas koncertas „Rudens svajos“ ir grupės „Nerija“ koncertas, šokių vakaras  Šiaulių kultūros centre.  Nuo 2023-09-25 iki 2023-10-06 vyko kiti renginiai: kūrybinės edukacijos, ekskursijos, fotosesijos.</t>
  </si>
  <si>
    <t>Kalėdų eglės įžiebimo šventė</t>
  </si>
  <si>
    <t>Įvyko šie renginiai: 2023-12-02 Kalėdų eglės įžiebimo renginys Prisikėlimo aikštėje (muzikinis šviesų šou, grupės „Ritmas kitaip“ bei solistų pasirodymas, grupės „Biplan“ koncertas).  2023-12-02 įvyko Rėkyvos kalėdinė šventė Energetikų g. 7, Rėkyvoje (programa „Olafo nuotykiai“, susitikimas su Kalėdų seneliu ir kt.). 2024-01-06 įvyko Trijų karalių eitynės nuo Kaštonų alėjos iki skvero prie Savivaldybės.</t>
  </si>
  <si>
    <t>Įgyvendintų Tolygios kultūrinės raidos projektų, papildomų kultūros priemonių</t>
  </si>
  <si>
    <t>Kultūros diena</t>
  </si>
  <si>
    <t>2023-04-15 Šiaulių kultūros centre  įvyko renginys Kultūros dienai paminėti: Šiaulių miesto koncertinė įstaiga „Saulė“ surengė Šiaulių bigbendo  20-ies metų veiklos jubiliejaus koncertą, kuriame dalyvavo solistė Viktorija Gečytė ir vokalinė grupė „Framest“.</t>
  </si>
  <si>
    <t>Kultūros ir meno premijų įteikimo šventinis renginys</t>
  </si>
  <si>
    <t>2023-12-07 įvyko Šiaulių miesto savivaldybės kultūros ir meno premijų įteikimo šventinis renginys Šiaulių kultūros centre - akordeonininko Jono Vozbuto, Šiaulių kamerinio orkestro „Camerata Solaris“, akordeonininkų trio „Metaccord“ ir pianisto Povilo Ušinskio koncertas.</t>
  </si>
  <si>
    <t>02.01.01.11.03</t>
  </si>
  <si>
    <t>Įgyvendinti Tolygios kultūrinės raidos programos projektus, papildomas kultūros priemones</t>
  </si>
  <si>
    <t>02.01.01.11.04</t>
  </si>
  <si>
    <t>Organizuoti reprezentacinių prekių ir kultūros paslaugų įsigijimą</t>
  </si>
  <si>
    <t>2023 m. atlikti atminimo ženklų sukūrimo ir gamybos paslaugų (2) viešieji pirkimai.</t>
  </si>
  <si>
    <t>Įdėklų, atitinkančių atminimo ženklų meninę idėją, sukūrimo ir gamybos paslaugų</t>
  </si>
  <si>
    <t>2023 m. atliktas  įdėklų, atitinkančių atminimo ženklų meninę idėją, sukūrimo ir gamybos paslaugos viešasis pirkimas.</t>
  </si>
  <si>
    <t>02.01.04.</t>
  </si>
  <si>
    <t>Užtikrinti kultūros paslaugų sklaidą ir prieinamumą gyventojams</t>
  </si>
  <si>
    <t>02.01.04.01</t>
  </si>
  <si>
    <t>Užtikrinti kultūros įstaigų veiklą</t>
  </si>
  <si>
    <t>Surengtų parodų</t>
  </si>
  <si>
    <t>2023 m. kultūros įstaigos ir Šiaulių turizmo informacijos centras surengė 53 parodas, iš jų: 5 - Šiaulių kultūros centras, 15 - Šiaulių miesto kultūros centras „Laiptų galerija“, 30 - Šiaulių dailės galerija, 3 - Šiaulių turizmo informacijos centras.</t>
  </si>
  <si>
    <t>2.01.</t>
  </si>
  <si>
    <t>Surengtų renginių</t>
  </si>
  <si>
    <t>2023 m. kultūros įstaigos ir Šiaulių turizmo informacijos centras surengė 2524 renginius, iš jų: 615 - Šiaulių kultūros centras, 144 - Šiaulių m. kultūros centras „Laiptų galerija“, 337 - Šiaulių dailės galerija, 103 - Šiaulių m. koncertinė įstaiga „Saulė“,  931 - Šiaulių miesto savivaldybės viešoji biblioteka, 394 - Šiaulių turizmo informacijos centras.</t>
  </si>
  <si>
    <t>2.03.</t>
  </si>
  <si>
    <t>Įgyvendintų projektų</t>
  </si>
  <si>
    <t>2023 m. kultūros įstaigos ir Šiaulių turizmo informacijos centras vykdė 26 projektus, iš jų: 3 - Šiaulių kultūros centras, 5 - Šiaulių miesto kultūros centras „Laiptų galerija“, 10 - Šiaulių dailės galerija, 3 - Šiaulių miesto koncertinė įstaiga „Saulė“,  3 - Šiaulių miesto savivaldybės viešoji biblioteka, 2 - Šiaulių turizmo informacijos centras.</t>
  </si>
  <si>
    <t>1.09.</t>
  </si>
  <si>
    <t>Šiaulių turizmo informacijos centro ir „Baltų kelio“ centro lankytojų</t>
  </si>
  <si>
    <t>2023 m. Šiaulių turizmo informacijos centras ir „Baltų centras“ sulaukė 37490 lankytojų.</t>
  </si>
  <si>
    <t>Surengtų edukacijų</t>
  </si>
  <si>
    <t>2023 m. kultūros įstaigos ir Šiaulių turizmo informacijos centras surengė 935 edukacijas, iš jų: 243 - Šiaulių kultūros centras, 40 - Šiaulių m. kultūros centras „Laiptų galerija“, 206 - Šiaulių dailės galerija, 5 - Šiaulių m. koncertinė įstaiga „Saulė“,  358 - Šiaulių miesto savivaldybės viešoji biblioteka, 83 - Šiaulių turizmo informacijos centras.</t>
  </si>
  <si>
    <t>Surengtų ekskursijų</t>
  </si>
  <si>
    <t>2023 m. kultūros įstaigos ir Šiaulių turizmo informacijos centras surengė 338 ekskursijas, iš jų: 2 - Šiaulių dailės galerija, 74 - Šiaulių miesto savivaldybės viešoji biblioteka, 262 - Šiaulių turizmo informacijos centras.</t>
  </si>
  <si>
    <t>2.02.</t>
  </si>
  <si>
    <t>Lankytojų (renginių, parodų, projektų ir kt. lankytojų, žiūrovų, klausytojų, skaitytojų, paslaugų vartotojų ir pan.)</t>
  </si>
  <si>
    <t>2023 m. kultūros įstaigos ir Šiaulių turizmo informacijos centras sulaukė 617211 renginių lankytojų, iš jų: 212934 - Šiaulių kultūros centras, 40464 - Šiaulių m. kultūros centras „Laiptų galerija“, 62102 - Šiaulių dailės galerija, 144983 - Šiaulių m. koncertinė įstaiga „Saulė“,  136430 - Šiaulių miesto savivaldybės viešoji biblioteka, 20298 - Šiaulių turizmo informacijos centras.</t>
  </si>
  <si>
    <t>1.05.</t>
  </si>
  <si>
    <t>Dalyvių (renginyje / parodoje / koncerte / projekte / festivalyje ir pan. dalyvavusių kūrėjų, atlikėjų, organizatorių, savanorių ir kt.)</t>
  </si>
  <si>
    <t>2023 m. kultūros įstaigų ir Šiaulių turizmo informacijos centro renginiuose dalyvavo 33764 dalyviai (kūrėjai, atlikėjai, vedantieji, savanoriai ir pan.), iš jų: 19519 - Šiaulių kultūros centre, 669 - Šiaulių m. kultūros centre „Laiptų galerija“, 1081 - Šiaulių dailės galerijoje, 11647 - Šiaulių m. koncertinėje įstaigoje „Saulė“,  272 - Šiaulių miesto savivaldybės viešojoje bibliotekoje, 576 - Šiaulių turizmo informacijos centre.</t>
  </si>
  <si>
    <t>Edukacijų dalyvių</t>
  </si>
  <si>
    <t>2023 m. kultūros įstaigų ir Šiaulių turizmo informacijos centro surengtose edukacijose dalyvavo 18897 dalyviai, iš jų: 3965 - Šiaulių kultūros centre, 726 - Šiaulių m. kultūros centre „Laiptų galerija“, 4649 - Šiaulių dailės galerijoje, 861 - Šiaulių m. koncertinėje įstaigoje „Saulė“,  6970 - Šiaulių miesto savivaldybės viešojoje bibliotekoje, 1726 - Šiaulių turizmo informacijos centre.</t>
  </si>
  <si>
    <t>Ekskursijų dalyvių</t>
  </si>
  <si>
    <t>2023 m. kultūros įstaigų ir Šiaulių turizmo informacijos centro surengtose ekskursijose dalyvavo 6520 dalyviai, iš jų:  68 - Šiaulių dailės galerijoje, 1089 - Šiaulių miesto savivaldybės viešojoje bibliotekoje, 5363 - Šiaulių turizmo informacijos centre.</t>
  </si>
  <si>
    <t>02.01.04.08</t>
  </si>
  <si>
    <t>Aktualizuoti Šiaulių kultūros centrą (Aušros al. 31)</t>
  </si>
  <si>
    <t>Patvirtintas galutinis mokėjimo prašymas</t>
  </si>
  <si>
    <t>1.08.</t>
  </si>
  <si>
    <t>02.01.04.09</t>
  </si>
  <si>
    <t>Atnaujinti (modernizuoti) Šiaulių miesto koncertinę įstaigą „Saulė" (Tilžės g. 140), rekonstruoti pastatą ir pastatyti priestatą</t>
  </si>
  <si>
    <t>Atlikta planuotų darbų</t>
  </si>
  <si>
    <t>02.01.04.10</t>
  </si>
  <si>
    <t>Didinti Šiaulių miesto kultūros centro "Laiptų galerija" pastato (Žemaitės g. 83) funkcionalumą</t>
  </si>
  <si>
    <t>Apšiltintas ir atnaujintas fasadas (ekspozicinės ir renginių erdvės), įrengti keltuvai neįgaliesiems, pritaikytas patekimas į pastatą judėjimo negalią turintiems lankytojams, pritaikyta neįgaliesiems WC patalpa, sumontuota moderni vėdinimo sistema, pakeistas šildymo mazgas ir abiejų pastatų (naujojo pastato ir P. Bugailiškio namo - nekilnojamo kultūros paveldo pastato) šildymo sistema, taip pat elektros instaliacija P. Bugailiškio name. Atnaujinta pagrindinės renginių salės scena, įrengtos priešgaisrinės durys patalpų izoliavimui gaisro atveju. Numatytas darbų tęstinumas  - pradėtas rengti techninis projektas dėl langų ir durų keitimo P. Bugailiškio name.</t>
  </si>
  <si>
    <t>1.02.</t>
  </si>
  <si>
    <t>02.01.04.11</t>
  </si>
  <si>
    <t>Atnaujinti (modernizuoti) Šiaulių dailės galerijos pastatą (Vilniaus g. 245)</t>
  </si>
  <si>
    <t>Atliktas pastato fasado remontas apšiltinant ir dengiant fasadą dekoratyviniu tinku, įrengti nauji lietaus nuotekų tinklai paviršinio vandens surinkimui ir nuvedimui nuo stogo dangos.
Šiaulių dailės galerija įsigijo ir sumontavo LED šviestuvus pirmojo aukšto ekspozicinėse salėse.</t>
  </si>
  <si>
    <t>02.01.04.12</t>
  </si>
  <si>
    <t>Didinti Šiaulių kultūros centro Rėkyvos kultūros namų funkcionalumą</t>
  </si>
  <si>
    <t>Atlikti kultūros centro kapitalinio remonto rangos darbai: atnaujintas fasadas, vidaus patalpos, įrengtas liftas, atnaujinta dalis sienų ir lubų, įrengta vėdinimo sistema, naujas šilumos punktas su šildymo sistema.</t>
  </si>
  <si>
    <t>02.01.04.15</t>
  </si>
  <si>
    <t>Atnaujinti Šiaulių miesto savivaldybės viešosios bibliotekos patalpas</t>
  </si>
  <si>
    <t>02.01.04.15.01</t>
  </si>
  <si>
    <t>Atlikti Šiaulių miesto savivaldybės viešosios bibliotekos „Šaltinėlio“ filialo vidaus patalpų remontą, siekiant aukštesnės kultūros paslaugų kokybės (Trakų g. 20A)</t>
  </si>
  <si>
    <t>Atlikti Šiaulių miesto savivaldybės viešosios bibliotekos „Šaltinėlio“ filialo (Trakų g. 20A) vidaus patalpų remonto darbai: išlietas grindų pagrindas, pakeista grindų danga, atliktas  sienų dažymas, pakeistos vidaus patalpų durys.</t>
  </si>
  <si>
    <t>02.01.04.15.02</t>
  </si>
  <si>
    <t>Pritaikyti Šiaulių miesto savivaldybės viešosios bibliotekos Bibliografijos-informacijos skyriaus patalpų balkoną lankytojams (Aido g. 27)</t>
  </si>
  <si>
    <t>Atlikti  balkono  vidaus ir išorės remonto darbai, balkonas apšiltintas ir pritaikytas lankytojų naudojimui visus metus Šiaulių miesto savivaldybės viešosios bibliotekos Bibliografijos-informacijos skyriuje (Aido g. 27).</t>
  </si>
  <si>
    <t>02.02.</t>
  </si>
  <si>
    <t>Stiprinti miesto įvaizdį plėtojant turizmo sektorių</t>
  </si>
  <si>
    <t>Turistų ir lankytojų skaičiaus Šiaulių mieste augimas</t>
  </si>
  <si>
    <t>Įvykdyta miesto įvaizdžio rinkodaros strategijos gairių priemonių</t>
  </si>
  <si>
    <t>02.02.02.</t>
  </si>
  <si>
    <t>Vystyti Šiaulių miesto turizmo sektorių</t>
  </si>
  <si>
    <t>02.02.02.01</t>
  </si>
  <si>
    <t>Įgyvendinti projektą „Savivaldybes jungiančios turizmo informacinės infrastruktūros plėtra Šiaulių regione“</t>
  </si>
  <si>
    <t>Baigta tvarkyti projekto dokumentacija ir finansiniai srautai</t>
  </si>
  <si>
    <t>Sutvarkyti taktilinio žemėlapio nustatyti trūkumai, pasirašytas naujas priėmimo perdavimo aktas, išlaidos deklaruotos su mokėjimo prašymu ir pripažintos tinkamomis.</t>
  </si>
  <si>
    <t>02.02.02.02</t>
  </si>
  <si>
    <t>Įgyvendinti projektą „Baltų kultūros pažinimo skatinimas ir žinomumo apie tarptautinį kultūros kelią „Baltų kelias“ didinimas“</t>
  </si>
  <si>
    <t>Įgyvendinta projekto veiklų</t>
  </si>
  <si>
    <t>Įrengtas taktilinis dvipusis infostendas, pritaikytas žmonėms su negalia; išleistas turizmo gidas „Sėliai“ (lietuvių, latvių ir anglų kalbomis; 5000 vnt.); naujai įrengtoje multifunkcėje erdvėje suorganizuotos dvi parodos: „Baltų menas: raštų raštai“, „Senieji vaikų žaislai“; atlikti svetainės baltukelias.lt modifikavimo darbai, svetainės tekstai išversti į latvių ir anglų kalbas; parengtas ir publikuotas projekto rezultatus apžvelgiantis pranešimas spaudai.</t>
  </si>
  <si>
    <t>02.02.02.03</t>
  </si>
  <si>
    <t>Įgyvendinti projektą „Saulės kelias“</t>
  </si>
  <si>
    <t>Įrengti 3 vienpusiai infostendai, pritaikyti žmonėms su negalia, įrengti 2 išmanieji suoliukai, įgyvendinta interaktyvi „Saulės kelio“ plėtra, instaliuota  meninė vizualizacija – meno kūrinys „Saulės veidrodis“; suorganizuotas renginys „Vasaros saulėgrįža“; įrengtas taktilinis Šiaulių „Saulės kelio“ objektų žemėlapis, pritaikytas neįgaliesiems; surengtas infoturas „Saulės keliu“ (po Joniškio ir Jelgavos apylinkes); suorganizuota visų projekto partnerių gerosios patirties išvyka į Stokholmą (Švedija); sukurtas „Saulės kelią“ pristatantis animuotas vaizdo filmukas lietuvių, latvių ir anglų kalbomis.</t>
  </si>
  <si>
    <t>02.02.02.04</t>
  </si>
  <si>
    <t>Įgyvendinti miesto įvaizdžio rinkodaros strategijos gairių priemonių planą</t>
  </si>
  <si>
    <t>Įgyvendinta strategijos veiklų</t>
  </si>
  <si>
    <t>Surengtas gatvės meno pleneras, įrengtas ilgalaikis meninis akcentas - figūrinių skulptūrų ansamblis Saulės mūšio tema Vilniaus g.; suorganizuota tęstinė menininkų ir  kūrėjų rezidencijų programa Sicilijoje, išleistas komiksas „Šiaulių miesto mitas“. Surengta regioninė šokių šventė „Teka saulelė“, kuruotas paraiškos Lietuvos kultūros sostinei rengimo procesas. Surengtas tarptautinis turistinis renginys „Šiaulių turizmo gatvė 2023“, VII Šiaulių krašto turizmo forumas „Miestų turizmas“, vykdytos edukacijos, Šiaulių miesto turizmo išteklių viešinimo kampanijos ir jų pristatymas tarptautinėse turizmo parodose, nacionalinėse ir regioninėse šventėse, surengti informaciniai-pažintiniai turai, atnaujinti ir išleisti Šiaulių turistiniai leidiniai, sukurtas edukacinis stalo žaidimas „Šiauliai. Kelionė laiku“. Įgyvendinant priemonę „Idėjų  konkursas meniniams akcentams sukurti ir įgyvendinti“ atliktas apžvalgos (studijos), atspindinčios Šiaulių miesto istorijos 8 šimtmečius, viešasis pirkimas.</t>
  </si>
  <si>
    <t>02.02.04.</t>
  </si>
  <si>
    <t>Vykdyti nekilnojamojo kultūros paveldo pažinimo sklaidą ir atgaivinimą</t>
  </si>
  <si>
    <t>02.02.04.02</t>
  </si>
  <si>
    <t>Organizuoti Europos paveldo dienų renginius</t>
  </si>
  <si>
    <t>Suorganizuotų Europos paveldo dienų renginių ciklų</t>
  </si>
  <si>
    <t>Rugsėjo 12-17 d. surengtas renginių ciklas „Gyvasis paveldas: meistriškumo laboratorija“, įvyko 10 renginių (ekskursijos, orientaciniai žaidimai, filmo peržiūros, ekspozicijos pristatymas  ir kt.) Ch. Frenkelio viloje, Šiaulių turizmo informacijos centre, Žaliūkių malūnininko sodyboje, Venclauskių namuose-muziejuje, G. Bagdonavičiaus name, VšĮ „Telefonijos muziejuje“ ir Šiaulių mieste. Renginiuose apsilankė 232 lankytojai, dalyvavo 20 dalyvių.</t>
  </si>
  <si>
    <t>02.02.04.03</t>
  </si>
  <si>
    <t>Didinti religinio turizmo prieinamumą</t>
  </si>
  <si>
    <t>Įvykdytų religinio turizmo skatinimo veiklų</t>
  </si>
  <si>
    <t>Įvykdytas religinio turizmo maršruto „Malonių kelias“ viešinimas ir rinkodara; surengtas infoturas kelionių agentūroms, gidams; surengti piligriminiai žygiai: „Lietuva eina Camino Lituano keliu“ maršrutu Šiauliai – Kryžių kalnas;  dviračių žygis „Malonių keliu“; suorganizuotas „Bažnyčių naktų“ renginių ciklas 4 savivaldybėse (Kelmės r., Raseinių r., Šiaulių r. ir Šiaulių miesto); išleistas leidinys „Malonių kelias“ (lietuvių ir anglų k., 500 vnt.); suorganizuoti išvažiuojamieji mokymai turizmo darbuotojams Panevėžyje; surengtas „Malonių kelio“ infoturas 4 savivaldybių viešojo ir privataus sektoriaus paslaugų teikėjams „Malonių keliu - Kelmės rajono atkarpa“; vyko piligriminio kelio ženklinimas.</t>
  </si>
  <si>
    <t>03.</t>
  </si>
  <si>
    <t>Aplinkos apsaugos programa</t>
  </si>
  <si>
    <t>03.01.</t>
  </si>
  <si>
    <t>Pagerinti aplinkos kokybę mieste, kurti darnaus vystymosi principais pagrįstą sveiką ir švarią gyvenamąją aplinką mieste</t>
  </si>
  <si>
    <t>Sutvarkytas komunalinių atliekų kiekis</t>
  </si>
  <si>
    <t>t</t>
  </si>
  <si>
    <t>03.01.01.</t>
  </si>
  <si>
    <t>Plėtoti ir tobulinti miesto komunalinių atliekų tvarkymo sistemą</t>
  </si>
  <si>
    <t>03.01.01.01</t>
  </si>
  <si>
    <t>Įgyvendinti komunalinių atliekų tvarkymą</t>
  </si>
  <si>
    <t>Sutvarkyta komunalinių atliekų</t>
  </si>
  <si>
    <t>Per 2023 m. komunalinių atliekų vežėjas UAB "Ecoservice projektai" surinko 30812.14 t atliekų, o per Didelių gabaritų atliekų surinkimo aikšteles (DGASA)  Pailių g. 19 ir J.Basanavičiaus g. 168 B, Šiauliuose surinkta 6710.5538 t atliekų. Iš viso 37522.69 t.</t>
  </si>
  <si>
    <t>03.01.01.01.05</t>
  </si>
  <si>
    <t>Administruoti vietinę rinkliavą už atliekų tvarkymą (ŠRATC)</t>
  </si>
  <si>
    <t>Surinkta rinkliavos</t>
  </si>
  <si>
    <t>03.01.01.01.06</t>
  </si>
  <si>
    <t>Surinkti komunalines atliekas iš atliekų turėtojų</t>
  </si>
  <si>
    <t>Surinkta komunalinių atliekų</t>
  </si>
  <si>
    <t>Įgyvendintas bandomasis maisto-virtuvės atliekų surinkimo iš daugiabučių namų Šiaulių mieste projektas</t>
  </si>
  <si>
    <t>03.01.01.01.07</t>
  </si>
  <si>
    <t>Šalinti (apdoroti) komunalines atliekas</t>
  </si>
  <si>
    <t>Sutvarkyta komunalinių atliekų (pašalinta/apdorota)</t>
  </si>
  <si>
    <t>03.01.01.02</t>
  </si>
  <si>
    <t>Kompensuoti fiziniams asmenims asbesto turinčių gaminių atliekų šalinimą</t>
  </si>
  <si>
    <t>Kompensuota už asbesto gaminių šalinimą</t>
  </si>
  <si>
    <t>1.11.</t>
  </si>
  <si>
    <t>Surinkta asbesto</t>
  </si>
  <si>
    <t>Per 2023 m. surinkta 220.16 t asbesto atliekų.</t>
  </si>
  <si>
    <t>03.01.01.03</t>
  </si>
  <si>
    <t>Įgyvendinti projektą „Komunalinių atliekų rūšiuojamojo surinkimo infrastruktūros plėtra Šiaulių regione"</t>
  </si>
  <si>
    <t>Įrengta konteinerių aikštelių</t>
  </si>
  <si>
    <t>Įrengta didelio gabarito atliekų surinkimo aikštelė (DGSA) su pakartotiniam panaudojimui tinkamų atliekų surinkimu</t>
  </si>
  <si>
    <t>03.01.01.04</t>
  </si>
  <si>
    <t>Įgyvendinti projektą  „Rūšiuojamuoju būdu surinktų maisto/virtuvės atliekų apdorojimo infrastruktūros sukūrimas Šiaulių regione"</t>
  </si>
  <si>
    <t>Parengta techninė dokumentacija</t>
  </si>
  <si>
    <t>Įsigyta įranga</t>
  </si>
  <si>
    <t>kompl.</t>
  </si>
  <si>
    <t>2023-05-03 pasirašyta rangos sutartis, įsigaliojo 2023-05-31 tiekėjui pateikus sutarties įvykdymo užtikrinimą. Įranga gauta, 2023-12-15 pasirašytas perdavimo priėmimo aktas, pateikta APVAi. Įranga nebuvo pradėta montuoti. Rangovas ir Įrangos tiekėjas susiderino su dėl darbų zonų pasidalijimo ir darbų organizavimo įrangos montavimo darbai numatomi pradėti sausio 29 d.</t>
  </si>
  <si>
    <t>Įrengta priėmimo / laikymo zona</t>
  </si>
  <si>
    <t>03.01.02.</t>
  </si>
  <si>
    <t>Įgyvendinti želdynų ir želdinių apsaugos bei tvarkymo priemones</t>
  </si>
  <si>
    <t>03.01.02.01</t>
  </si>
  <si>
    <t>Parengti ir įgyvendinti želdynų pertvarkymo projektus, inventorizuoti miesto želdynus</t>
  </si>
  <si>
    <t>Parengta želdynų inventorizacijos informacinė sistema</t>
  </si>
  <si>
    <t>Sukurta ir įdiegta želdinių ir želdynų informacinė sistema (UAB Meritstory). Šioje sistemoje, atliekant miesto želdinių ir želdynų inventorizaciją, bus įvedami medžiai, krūmai, nurodant jų rūšį, būklę, parametrus ir pan.</t>
  </si>
  <si>
    <t>Parengti želdynų projektai ir atlikti darbai</t>
  </si>
  <si>
    <t>Buvo atlikta teritorijose esančiose prie Sprudeikos g., Daubos g. ir Saulutės sodų 1-osios g., augančių želdinių inventorizacija. Buvo įvertinti teritorijose augantys medžiai, pateikta inventorizacijos medžiaga.  Dalyje Dainų parko, arčiau daugiabučių namų pusės, specializuota technika buvo frezuojami nesaugotini krūmai, želdiniai, atžalos, nukritusios šakos.</t>
  </si>
  <si>
    <t>03.01.02.03</t>
  </si>
  <si>
    <t>Vykdyti želdinių priežiūrą (tręšimas, genėjimas, kaštonų lapų tvarkymas) ir sodinti naujus želdinius prie miesto gatvių, parkuose ir skveruose</t>
  </si>
  <si>
    <t>Užtikrinta želdinių priežiūra (genėjimas, atžalų šalinimas, kelmų sutvarkymas, laistymas, tręšimas, kaštonų lapų surinkimas), pagal skirtą finansavimą</t>
  </si>
  <si>
    <t>Įgyvendinant priemonę, 2023 metais buvo atliktos šios želdinių priežiūros paslaugos: pašalintos nulaužtos šakos nuo 22 medžių, pašalinta atžalų nuo 89 medžių, atjauninta, nukarpyta 6 198 m krūmų bei gyvatvorių, palaistyta 3 084 m2 ploto aplink medžius, patręšta 1 018 m2 ploto po medžiais.
Įgyvendinant Centrinio Šiaulių miesto parko teritorijos ir jo prieigų, Žemaitės g. 70B Šiauliuose, naujos statybos ir rekonstravimo techninio projekto Želdynų dalį, 2023 m. pabaigoje buvo atlikti sodinimo vietų rododendrų, azalijų ir pierių kompozicijoms paruošimo darbai: atvežtos ir paskleistos durpės, atlikti kiti paruošimo sodinimui darbai.</t>
  </si>
  <si>
    <t>Sunaikinta Sosnovskio barščių</t>
  </si>
  <si>
    <t>m2</t>
  </si>
  <si>
    <t>Šiaulių mieste Sosnovskio barščių augimviečių plotai yra išsibarstę po visą miestą, jų yra apie 9 ha. Didžiausi plotai yra Vilniaus universiteto Šiaulių akademijos Botanikos sodo apylinkėse, šalia Piktmiškio g., Salduvės miško parke tarp Aleksandrijos ir Šeduvos gatvių. Naikinimo darbai vykdomi šiomis priemonėmis: purškimas selektyviais herbicidais, nupjovimas, iškasimas.</t>
  </si>
  <si>
    <t>Pasodinta želdinių</t>
  </si>
  <si>
    <t>Įgyvendinant priemonę, nupirkti ir įvairiose Šiaulių miesto vietose pasodinti 108 želdiniai: 20 liepų mažalapių, viena iš glaustašakių formų; 1 paprastasis klevas Columnare; 4 miltingieji šermukšniai Magnifica; 1 guoba Columella; 12 paprastųjų klevų; 3 gudobelės grauželinės, viena iš gražiažiedžių, pilnavidurių purpurinės spalvos žiedais formų; 1 paprastoji katalpa; 1 maumedis europinis; 1 paprastasis ąžuolas; 5 paprastieji klevai Rubrum; 50 tujų vakarinių Smaragd; 2 paprastieji klevai Royal Red; 2 paprastieji šermukšniai; 2 dygiosios eglės; 3 vyšnios Royal Burgundy.</t>
  </si>
  <si>
    <t>1.12.</t>
  </si>
  <si>
    <t>Nugenėta medžių</t>
  </si>
  <si>
    <t>Vandens telkinių pakrančių valymas nuo perteklinių vandens augalų</t>
  </si>
  <si>
    <t>UAB Hidrum atliko Talkšos ežero 8309 kv.m pakrantės tvarkymo darbus, išraunant perteklinius vandens augalus, augančius prie kranto nuo vaikų žaidimo aikštelės iki Kulpės ištakos į ežerą.</t>
  </si>
  <si>
    <t>03.01.03.</t>
  </si>
  <si>
    <t>Įgyvendinti aplinkos monitoringo, prevencines, aplinkos kokybės gerinimo priemones</t>
  </si>
  <si>
    <t>03.01.03.04</t>
  </si>
  <si>
    <t>Vykdyti lietaus nuotekų sistemos griovių tvarkymą</t>
  </si>
  <si>
    <t>Sutvarkyta lietaus sistemos griovių</t>
  </si>
  <si>
    <t>Atlikta griovių inventorizacija, kadastriniai matavimai įregistravimas NTR</t>
  </si>
  <si>
    <t>Pralaidų išvalymas</t>
  </si>
  <si>
    <t>Išvalytos pralaidos :
1. Vijolės“ upelis, Aukštabalio g.
2. Apsaga" Vilniaus g.,- Šeduvos g.
3. Kudirkos g.
4. Žuvininkų g.
5. Nidos g., - Žvyro g.
6. Aukštoji g.
7. Nidos g., - Žvyro g.
8. griovys prie Frenkelių g.
9. Spildulio g.
10. Žaliūkių g., 55
11. Panevėžio g.
12. Kauno g.
13. Verduliuku g.
14. Ragainės g.
15. Verdulių g.
16. Žilvyčių g.
17. Talkšos ežero pakrantė
18. Šakių g.
19. Rėkyvos ežero pakrantė
20. Pramonės g.
21. Upelis „Šventupis"
22. Pandėlio g.</t>
  </si>
  <si>
    <t>m</t>
  </si>
  <si>
    <t>03.01.03.08</t>
  </si>
  <si>
    <t>Užtikrinti Šiaulių municipalinės aplinkos tyrimų laboratorijos veiklą</t>
  </si>
  <si>
    <t>Finansuota įstaiga (Šiaulių municipalinė aplinkos tyrimų laboratorija)</t>
  </si>
  <si>
    <t>Parengta stebėsenos ataskaita</t>
  </si>
  <si>
    <t>03.01.03.09</t>
  </si>
  <si>
    <t>Įgyvendinti aplinkos oro kokybės valdymo programos priemones, vykdyti aplinkos kokybės stebėseną</t>
  </si>
  <si>
    <t>Išvalyta pavasarinio purvo (dėl pakeltosios taršos  - gatvių sąšlavos)</t>
  </si>
  <si>
    <t>Pavasarį, siekiant sumažinti aplinkos oro taršą kietosiomis dalelėmis (KD10), valoma gatvių su asfalto danga važiuojamoji dalis.</t>
  </si>
  <si>
    <t>Mažos taršos zonos įvertinimo galimybių studijos parengimas</t>
  </si>
  <si>
    <t>LR Susisiekimo ministerija patvirtino mažos taršos zonų nustatymo rekomendacijas tik 2023 m. spalio mėn., o  Lietuvos savivaldybių asociacija organizuoja kriterijų nustatymą ir reitinguoja savivaldybes dėl mažos taršos zonų planų parengimo, todėl Šiaulių miesto sav. nebuvo poreikio.</t>
  </si>
  <si>
    <t>Žvyruotų gatvių apdorojimas dulkėtumą mažinančiomis medžiagomis</t>
  </si>
  <si>
    <t>Parengta požeminio vandens ir dirvožemio ataskaita (bei atlikti tyrimai stebimose Šiaulių miesto vietose)</t>
  </si>
  <si>
    <t>Atlikta kasmetinė Šiaulių miesto požeminio vandens ir dirvožemio užterštumo stebėsena ir buvusios naftos bazės teritorijos po išvalymo darbų požeminio vandens stebėsena. Stebėtas požeminio vandens lygis, fizikiniai ir cheminiai rodikliai, atlikti tyrimai, lyginamoji analizė, pateiktos išvados, parengta ataskaita.</t>
  </si>
  <si>
    <t>03.01.03.10</t>
  </si>
  <si>
    <t>Tvarkyti užterštas teritorijas Šiaulių mieste</t>
  </si>
  <si>
    <t>Sutvarkyta užterštų teritorijų (4463, 4464,11555, 11556, 11557)</t>
  </si>
  <si>
    <t>ha</t>
  </si>
  <si>
    <t>Projekto veiklos baigtos. Gauta teigiama LGT išvada, patvirtintas galutinis mokėjimo prašymas.</t>
  </si>
  <si>
    <t>03.01.03.11</t>
  </si>
  <si>
    <t>Likviduoti pavojingus radinius ir ekologinių avarijų padarinius</t>
  </si>
  <si>
    <t>Likviduota radinių ir avarijų</t>
  </si>
  <si>
    <t>03.01.03.13</t>
  </si>
  <si>
    <t>Vykdyti gyvenamuosiuose rajonuose, viešosiose vietose šunų išvedžiojimo aikštelių, kačių šėrimo vietų ir kitos gyvūnų priežiūrai skirtos įrangos įrengimą, remontą ir sanitarinę priežiūrą</t>
  </si>
  <si>
    <t>Suremontuotų ir prižiūrėtų šunų vedžiojimo ir kačių šėrimo aikštelių</t>
  </si>
  <si>
    <t>sk.</t>
  </si>
  <si>
    <t>Atliekama reguliari šunų išvedžiojimo aikštelių priežiūra, remonto ir modernizavimo darbai, kačių šėrimo vietų priežiūra. Prisidėjo 1 šunų aikštelės Talkšos ežero pakrantėje priežiūra.</t>
  </si>
  <si>
    <t>03.01.07.</t>
  </si>
  <si>
    <t>Vykdyti visuomenės švietimo ir mokymo aplinkosaugos klausimais priemones</t>
  </si>
  <si>
    <t>03.01.07.02</t>
  </si>
  <si>
    <t>Remti nevyriausybinių organizacijų aplinkosauginio švietimo projektų įgyvendinimą</t>
  </si>
  <si>
    <t>Paremta projektų</t>
  </si>
  <si>
    <t>03.01.07.03</t>
  </si>
  <si>
    <t>Organizuoti aplinkosauginius renginius, vykdyti visuomenės švietimą ir informavimą, įsigyti aplinkosauginius informacinius ir kt. leidinius</t>
  </si>
  <si>
    <t>Įsigyta leidinių</t>
  </si>
  <si>
    <t>Žurnalo ,,Miškai" prenumerata 7 vnt. , laikraščio ,,Žaliasis pasaulis" prenumerata ekologinio švietimo tikslais  9 vnt.  Šios prenumeratos skirtos Šiaulių miesto savivaldybės viešosios bibliotekos filialams, Šiaulių apskrities Povilo Višinskio viešajai bibliotekai, Šiaulių miesto savivaldybės administracijai ir Šiaulių miesto švietimo įstaigoms.</t>
  </si>
  <si>
    <t>Organizuoti renginiai (Žemės diena, Europos judumo savaitė)</t>
  </si>
  <si>
    <t>Įgyvendinta visuomenės švietimo ir informavimo priemonių</t>
  </si>
  <si>
    <t>03.01.09.</t>
  </si>
  <si>
    <t>Skatinti atsinaujinančių išteklių Šiaulių mieste naudojimą</t>
  </si>
  <si>
    <t>03.01.09.01</t>
  </si>
  <si>
    <t>Parengti atsinaujinančių išteklių energijos naudojimą Šiaulių mieste planą</t>
  </si>
  <si>
    <t>Parengtas atsinaujinančių išteklių energijos naudojimo planas</t>
  </si>
  <si>
    <t>Atsinaujinančių išteklių energijos naudojimo plėtros veiksmų planas, rengėjas UAB ,,Nomine Consult", parengtas 2023 m. birželio mėn.</t>
  </si>
  <si>
    <t>03.01.09.02</t>
  </si>
  <si>
    <t>Įsigyti iš saulės parkų nutolusios saulės elektrinės dalį</t>
  </si>
  <si>
    <t>Įsigyta nutolusios saulės elektrinės iš saulės parkų galia</t>
  </si>
  <si>
    <t>kw</t>
  </si>
  <si>
    <t>Atliktas galutinis mokėjimas už įsigytą nutolusią saulės elektrinę.</t>
  </si>
  <si>
    <t>04.</t>
  </si>
  <si>
    <t>Miesto infrastruktūros objektų priežiūros, modernizavimo ir plėtros programa</t>
  </si>
  <si>
    <t>04.01.</t>
  </si>
  <si>
    <t>Modernizuoti miesto infrastruktūrą, užtikrinti  komunalinių paslaugų teikimą, infrastruktūros objektų  priežiūrą ir remontą</t>
  </si>
  <si>
    <t>Užtikrinti miesto priežiūrą, švarą, apšvietimą pagal skirtą finansavimą</t>
  </si>
  <si>
    <t>2023 m.: 04 programa įgyvendinta 92 proc.</t>
  </si>
  <si>
    <t>04.01.01.</t>
  </si>
  <si>
    <t xml:space="preserve">Vykdyti miesto infrastruktūros objektų priežiūrą, einamąjį remontą </t>
  </si>
  <si>
    <t>04.01.01.01</t>
  </si>
  <si>
    <t>Tvarkyti aplinką ir vykdyti infrastruktūros objektų priežiūrą ir remontą</t>
  </si>
  <si>
    <t>Sutvarkyta aplinka (žaliųjų plotų, gėlynų, medžių kirtimas, benamių gyvūnų priežiūra, kapinių priežiūra); užtikrinta gatvių apšvietimo ir reguliavimo, sanitarinių paslaugų, gatvių, šaligatvių, aikštelių, vaikų žaidimo aikštelių, takų priežiūros ir remonto paslaugos</t>
  </si>
  <si>
    <t>Užtikrinta miesto komunalinio ūkio priežiūra: žvyruotų gatvių greideriavimas; kelių dangos ženklinimas; eismo reguliavimo, saugių eismo priemonių diegimas, kryptinio apšvietimo įrengimas</t>
  </si>
  <si>
    <t>Metalinių garažų teritorijos sutvarkymas</t>
  </si>
  <si>
    <t>Liko nesutvarkyta 25 proc. teritorijos dėl likusių nenukeltų garažų.</t>
  </si>
  <si>
    <t>Įrengta mokėjimo parkomatų</t>
  </si>
  <si>
    <t>04.01.01.01.01</t>
  </si>
  <si>
    <t>Lėšos, skirtos Medelyno seniūnijai tvarkyti</t>
  </si>
  <si>
    <t>Tvarkyti medžius (kirsti /genėti), pastatyti Kalėdų eglę, įsigyti smulkių priemonių seniūnijai</t>
  </si>
  <si>
    <t>Medelyno seniūnijos išlaidos. Per 2023 m. įsigyta krūmapjovė, lapų pūtikas, volas žemei, remontuotas vejos traktoriukas, genėti/ kirsti medžiai, pjaunama žolė seniūnijos teritorijoje.</t>
  </si>
  <si>
    <t>04.01.01.01.02</t>
  </si>
  <si>
    <t>Lėšos, skirtos Rėkyvos seniūnijai tvarkyti</t>
  </si>
  <si>
    <t>Rėkyvos seniūnijos išlaidos. Per 2023 m. įsigyti reikmenys vejapjovei, genėti/ kirsti medžiai, pjauta žolė seniūnijos teritorijoje.</t>
  </si>
  <si>
    <t>04.01.01.01.07</t>
  </si>
  <si>
    <t>Valyti miesto gatves</t>
  </si>
  <si>
    <t>Prižiūrėti gatvių ploto</t>
  </si>
  <si>
    <t>Žiemą mechanizuotai valomos Šiaulių miesto gatvės, barstoma šlapiųjų druskų mišiniu arba skaldos atsijų ir druskų mišiniu, paslaugą teikia UAB ,,Ecoservice projektai". Gatvių priežiūra suskirstyta į 4 lygius. Pirmiausia valomos I lygio - t.y. intensyviausio eismo gatvės (Vilniaus, Tilžės, Pramonės, Architektų, Aukštabalio, Baltų, Dubijos, Gegužių, Karaliaučiaus, Serbentų, Žemaitės), II lygis yra vidutinis, III - pakankamas, kur turi būti užtikrintas pravažiuojamumas, tačiau galimas eismo nutrūkimas dėl ypatingai sudėtingų eismo sąlygų, šios gatvės valomas ne nuolat. IV  lygis - žemas, užtikrinamas pravažiuojamumas, tačiau gatvės gali būti nuvalytos ne iš karto, per 10 valandų, o barstomos – pagal poreikį.</t>
  </si>
  <si>
    <t>Barstyti skaldos atsijų ir druskų mišiniu</t>
  </si>
  <si>
    <t>Barstyti šlapiųjų druskų mišiniu</t>
  </si>
  <si>
    <t>Prižiūrimas gatvių ilgis (vasarą)</t>
  </si>
  <si>
    <t>Vasarą valomas važiuojamosios dalies kraštas prie bordiūro, paslaugą atlieka UAB ,,Šiaulių gatvių apšvietimas".</t>
  </si>
  <si>
    <t>04.01.01.01.08</t>
  </si>
  <si>
    <t>Valyti šaligatvius</t>
  </si>
  <si>
    <t>Prižiūrėti šaligatvius, takus, laiptus, aikštes ir kitas viešąsias teritorijas</t>
  </si>
  <si>
    <t>Šiaulių miesto šaligatviams yra nustatyti du priežiūros lygiai. Paslaugą teikia UAB ,,Ecoservice projektai". Pirmas lygis yra nustatytas Aušros alėjai, Aušros takui, Vilniaus gatvės pėsčiųjų bulvarui, Vasario 16-osios gatvės šaligatviams, Dainų takui bei laiptams. Visos kitos teritorijos priskiriamos antrajam lygiui. Prioritetinės zonos nuvalomos ir pabarstomos (žiemą) greičiau, nei antrojo lygio zonos.</t>
  </si>
  <si>
    <t>Barstyti slidumą mažinančiomis priemonėmis žiemą</t>
  </si>
  <si>
    <t>Prižiūrėtų šiukšliadėžių</t>
  </si>
  <si>
    <t>04.01.01.01.10</t>
  </si>
  <si>
    <t>Tvarkyti žaliuosius plotus</t>
  </si>
  <si>
    <t>Prižiūrėtų žaliųjų plotų</t>
  </si>
  <si>
    <t>04.01.01.01.11</t>
  </si>
  <si>
    <t>Įrengti ir prižiūrėti gėlynus, tvarkyti medžius</t>
  </si>
  <si>
    <t>Prižiūrėtų gėlynų plotas</t>
  </si>
  <si>
    <t>Pasodinta gėlių</t>
  </si>
  <si>
    <t>Įrengta naujų gėlynų</t>
  </si>
  <si>
    <t>Po takų rekonstrukcijos įrengtas naujas 44 m2 gėlynas Lieporių parke, pagal Zubovų parko rekonstrukcijos projektą įrengti 1183 m2 gėlynų Zubovų parke, apie 43 m2 plotas naujose gėlinėse</t>
  </si>
  <si>
    <t>Nukirsta medžių</t>
  </si>
  <si>
    <t>Per 2023 m. I ketv. nukirsta 45 vnt. medžių, ir 107 vnt. krūmų (iš jų 80 vnt. Lieporių parke). Per II ketv. 86 vnt., per III ketv. 50 vnt.</t>
  </si>
  <si>
    <t>04.01.01.01.12</t>
  </si>
  <si>
    <t>Tvarkyti miestą pagal sanitarinius reikalavimus</t>
  </si>
  <si>
    <t>Garažų teritorijų sutvarkymas</t>
  </si>
  <si>
    <t>Sutvarkyta 3 garažų bendrijos teritorija prie Sembos g. 1.</t>
  </si>
  <si>
    <t>Pastatyta konteinerių</t>
  </si>
  <si>
    <t>04.01.01.01.13</t>
  </si>
  <si>
    <t>Gaudyti, laikyti benamius gyvūnus</t>
  </si>
  <si>
    <t>Pagauta bešeimininkių gyvūnų</t>
  </si>
  <si>
    <t>04.01.01.01.14</t>
  </si>
  <si>
    <t>Apšviesti miesto gatves</t>
  </si>
  <si>
    <t>Aptarnaujama šviesos taškų (šviestuvų, prožektorių)</t>
  </si>
  <si>
    <t>Valdoma šviesoforų</t>
  </si>
  <si>
    <t>Naujas šviesoforas - Karaliaučiaus - Nadruvos (DEPO).</t>
  </si>
  <si>
    <t>Prižiūrima kelio ženklų</t>
  </si>
  <si>
    <t>2023 m. kelio ženklų skaičius išaugo dėl naujai įrengtų mokamo parkavimo zonose kelio (informacinių) ženklų.</t>
  </si>
  <si>
    <t>04.01.01.01.15</t>
  </si>
  <si>
    <t>Apmokėti už elektros energiją (gatvių apšvietimui)</t>
  </si>
  <si>
    <t>Sunaudota elektros energijos miesto apšvietimui</t>
  </si>
  <si>
    <t>04.01.01.01.16</t>
  </si>
  <si>
    <t>Techniškai aptarnauti miesto renginius ir šventes</t>
  </si>
  <si>
    <t>Aptarnauta švenčių, renginių (WC statymas, laužų paruošimas ir kt.)</t>
  </si>
  <si>
    <t>Aptarnauti I ketv. vykę renginiai, šventės: Sausio 13-a, Laisvės gynėjų diena; Vasario 16-a, Lietuvos valstybės atkūrimo diena, Užgavėnių renginiai, Kovo 11-a, Lietuvos nepriklausomybės atkūrimo diena. Renginių metu pastatomi papildomi bioWC. II ketv. vaikų gynimo diena - 2023-06-01, liaudiškų šokių šventė „Teka saulelė“ - 2023-06-10, Lietuvos sąjūdžio 35-ųjų metinių minėjimas – 2023-06-02, 1863-1864 m. sukilimo 160-osios metinės -  2023-06-29. Aptarnaujami įvairūs sporto renginiai - petankės čempionatui, motokroso čempionatui, LFF Taurės varžybos, Optibet A lyga ir kt., IV ketv. vykę renginiai - Šiaulių dienos, Kalėdų eglės įžiebimo šventė ir kt.</t>
  </si>
  <si>
    <t>04.01.01.01.17</t>
  </si>
  <si>
    <t>Eksploatuoti ir prižiūrėti miesto lietaus tinklus (už paviršines nuotekas)</t>
  </si>
  <si>
    <t>Apmokėta UAB ,,Šiaulių vandenys" už paviršines nuotekas</t>
  </si>
  <si>
    <t>m3</t>
  </si>
  <si>
    <t>04.01.01.01.18</t>
  </si>
  <si>
    <t>Apmokėti už vandenį iš kolonėlių</t>
  </si>
  <si>
    <t>Sunaudota vandens kolonėlėse ir fontanuose</t>
  </si>
  <si>
    <t>04.01.01.01.19</t>
  </si>
  <si>
    <t>Prižiūrėti mokėjimo automatus (rinkliavos rinkimas)</t>
  </si>
  <si>
    <t>Prižiūrima mokėjimo parkomatų</t>
  </si>
  <si>
    <t>Surinkta vietinės rinkliavos už parkavimą</t>
  </si>
  <si>
    <t>piniginė išraiška</t>
  </si>
  <si>
    <t>Įsigyta ir įrengta mokėjimo parkomatų</t>
  </si>
  <si>
    <t>2023 m. savivaldybė pirko 76 vnt. parkomatų - mokėjimo automatų už automobilio statymą apmokamose zonose, kurie buvo perduoti UAB ,,Šiaulių gatvių apšvietimas".</t>
  </si>
  <si>
    <t>04.01.01.01.20</t>
  </si>
  <si>
    <t>Laidoti vienišus žmones</t>
  </si>
  <si>
    <t>Palaidota žmonių</t>
  </si>
  <si>
    <t>Paslauga atliekama pagal poreikį. Savivaldybės lėšomis palaidojami nenustatytos tapatybės asmenys, arba asmenys, kurių nelaidoja artimieji.  I ketv. apmokėta už 3 žmonių palaidojimą Ginkūnų kapinėse, II - III ketv. palaidoti 5 žmonės, IV ketv. 3 asmenys.</t>
  </si>
  <si>
    <t>04.01.01.01.21</t>
  </si>
  <si>
    <t>Pervežti žuvusiųjų, mirusiųjų kūnus</t>
  </si>
  <si>
    <t>Pervežta žmonių palaikų</t>
  </si>
  <si>
    <t>Paslauga atliekama pagal poreikį. Apmokama už mirusių asmenų palaikų pervežimo iš radimo vietos į teismo medicinos ekspertizės Šiaulių skyrių (morgą), paslaugos.</t>
  </si>
  <si>
    <t>Palaikų palaikyta valandų</t>
  </si>
  <si>
    <t>val.</t>
  </si>
  <si>
    <t>Paslauga atliekama pagal poreikį. Teikiamos žmogaus palaikų laikymo šaldymo patalpoje paslaugos.</t>
  </si>
  <si>
    <t>04.01.01.01.22</t>
  </si>
  <si>
    <t>Prižiūrėti vaikų žaidimų aikšteles</t>
  </si>
  <si>
    <t>Prižiūrima sertifikuotų vaikų žaidimų aikštelių</t>
  </si>
  <si>
    <t>2023 m. vykdytas smėlio pakeitimas (gegužės mėn.) Šiaulių miesto vaikų smėlio dėžėse. Smėlio papildymas, laipiojimo tinklo pakeitimas, sūpuoklių guolių keitimas Beržynėlio parke. Įrangos einamoji priežiūra ir kt. smulkūs darbai: keičiami smėlio dėžių dangčiai, remontuojamos (arba keičiamos) sūpuoklių dalys, išlieta nauja gumos danga (vietoj sugadintos) Prisikėlimo a. vaikų žaidimo kalniukas, Vytauto g. 263, Rėkyvos parke.</t>
  </si>
  <si>
    <t>Įrengta vaikų žaidimų aikštelė</t>
  </si>
  <si>
    <t>04.01.01.01.23</t>
  </si>
  <si>
    <t>Atlikti kitus smulkius ar nenumatytus darbus</t>
  </si>
  <si>
    <t>Pakeista naujais susidėvėjusių suoliukų</t>
  </si>
  <si>
    <t>Perdažyta suoliukų</t>
  </si>
  <si>
    <t>04.01.01.01.24</t>
  </si>
  <si>
    <t>Remontuoti gatvių duobes</t>
  </si>
  <si>
    <t>Užtaisyta miesto gatvių duobių išdaužų vietose</t>
  </si>
  <si>
    <t>Tvarkomos avarinės duobės miesto gatvėse ir vykdomos B,C,D kategorijų gatvių patrulinės apžiūros.</t>
  </si>
  <si>
    <t>1.06.</t>
  </si>
  <si>
    <t>04.01.01.01.25</t>
  </si>
  <si>
    <t>Prižiūrėti gatves su žvyro danga  (lyginti ir naujomis medžiagomis užtaisyti dangos konstrukcijas)</t>
  </si>
  <si>
    <t>Prižiūrėti žvyruotas gatves (greideriavimas, užtaisymas naujomis medžiagomis išdaužų vietose)</t>
  </si>
  <si>
    <t>2023 m. vykdyti žvyruotų gatvių priežiūros darbai - pažeistų dangos konstrukcijų užtaisymas skalda ar smėliu.</t>
  </si>
  <si>
    <t>Prižiūrimų gatvių su žvyro danga ilgis</t>
  </si>
  <si>
    <t>km</t>
  </si>
  <si>
    <t>04.01.01.01.26</t>
  </si>
  <si>
    <t>Ženklinti kelio dangą</t>
  </si>
  <si>
    <t>Paženklinta gatvių su asfalto danga, pėsčiųjų perėjų, sankryžų</t>
  </si>
  <si>
    <t>04.01.01.01.27</t>
  </si>
  <si>
    <t>Įrengti eismo reguliavimo ir saugaus eismo priemones</t>
  </si>
  <si>
    <t>Įrengta kelio ženklų, atitvarų, signalinių stulpelių</t>
  </si>
  <si>
    <t>2023 m. įrengti nauji atitvarai 1165 m Tilžės g. ir 216 m. Gegužių g. (nuo Aido g. iki Lyros g.), rangovas UAB "Brostos keliai".</t>
  </si>
  <si>
    <t>Įrengta saugumo kalnelių</t>
  </si>
  <si>
    <t>Įrengti greičio mažinimo kalneliai:
1. Šiladžio g. -1
2. Vaitkaus g. -1
3.- 4. Šalkauskio g. - 2
5.- 6.- 7. Skroblų g. - 3
8-9-10-11 Žemynos g. - 4
12-13. Luokės g. - 2
14-15-16. Biržų g. - 3
17. Utenos g. - 1
18. Panevėžio g. - 1
19-20. Gumbinės g. - 2
21-22-23. Mickevičiaus g. -3
24-25-26-27.  Pailių g.- 4
28. Įrengta 1 saugumo salelė ties Gardino g. 9 
29-30.  2 salelės Tilžės g. ties Pramonės g.</t>
  </si>
  <si>
    <t>04.01.01.01.28</t>
  </si>
  <si>
    <t>Įrengti kryptinį apšvietimą</t>
  </si>
  <si>
    <t>Įrengta kryptinio apšvietimo atramų</t>
  </si>
  <si>
    <t>Įrengtas naujas kryptinis apšvietimas 20 vietų, rangovas UAB ,,Šiaulių gatvių apšvietimas": 
1. Sodo g. ties Nr. 24 prieš pervažą
2. Ragainės g. ties Nr. 100
3. Gytarių g. netoli Ringuvos g. per Gytarių g.
4. Vytauto – Rokiškio g. per Vytauto g.
5. A. J. Greimo g. 60 (prie PC Saulės miestas)
6. Vytauto - A. Mickevičiaus g. per A. Mickevičiaus g.
7. Vytauto - A. Mickevičiaus g. per A. Mickevičiaus g.
8. Vytauto - A. Mickevičiaus g. per Vytauto g.
9. Vytauto - A. Mickevičiaus g. per Vytauto g.
10. Vytauto – Dvaro g. per Vytauto g.
11. Serbentų – Veiverių g. per Serbentų g. 
12. Vytauto - V. Kudirkos g. per V. Kudirkos g. (stadiono pusėje) 
13. Vytauto - V. Kudirkos g. per V. Kudirkos g. 
(sadiono pusėje) 
14. Ties Pabalių g. 53 per Pabalių g.
15. Birutės – S. Daukanto g. sankryžoje per Birutės g.
16. Gumbinės g. ties Gumbinės g. 10
17. Ties Statybininkų g. namu Nr. 23
18. Serbentų g. netoli įsukimo į K. Kalinausko g.
19. J. Basanavičiaus – Zubovo Grafo g. sankryžoje per J. Basanavičiaus g.
20. Serbentų - Pelkių g. per Serbentų g.</t>
  </si>
  <si>
    <t>04.01.01.05</t>
  </si>
  <si>
    <t>Remontuoti daugiabučių namų kiemų dangą</t>
  </si>
  <si>
    <t>Sutvarkyta, suremontuota danga prie daugiabučių namų</t>
  </si>
  <si>
    <t>Vykdomi daugiabučių namų kiemų tvarkymo darbai. Rangovas AB ,,Kelių priežiūra".</t>
  </si>
  <si>
    <t>04.01.02.</t>
  </si>
  <si>
    <t>Vykdyti Šiaulių miesto kapinių infrastruktūros plėtrą</t>
  </si>
  <si>
    <t>04.01.02.02</t>
  </si>
  <si>
    <t>Vykdyti kapinių teritorijoje esančios infrastruktūros tvarkymą ir priežiūrą</t>
  </si>
  <si>
    <t>Įdiegta kapinių skaitmeninė sistema</t>
  </si>
  <si>
    <t>Sutvarkyta takų, privažiavimų</t>
  </si>
  <si>
    <t>Užtikrinta visų miesto kapinių priežiūra (administravimas, vandens vežimas, atliekų išvežimas ir kt.)</t>
  </si>
  <si>
    <t>Apmokama už kapinių priežiūrą (administravimą, kapinėse susidarančių atliekų išvežimą, vandenį). 
Per 2023 m. įrengta 237,1 metrų nauja tvora senosiose Talšos kapinėse I etapas; paklota asfalto danga 407 kv.m., įrengti  Ginkūnų ir K.Donelaičio kapinėse 28 vnt. laistymo stovai su 300 vnt. laistytuvais.</t>
  </si>
  <si>
    <t>04.01.02.03</t>
  </si>
  <si>
    <t>Vykdyti kolumbariumo statybą ir priežiūrą</t>
  </si>
  <si>
    <t>Įgyvendinta kolumbariumo Donelaičio kapinėse statyba</t>
  </si>
  <si>
    <t>Kolumbariumo statyba suplanuota vėlesniuose ketvirčiuose. III ketvirtyje pradėtas kolumbariumo rangos darbų konkursas, tačiau nepateiktas nei vienas pasiūlymas. IV ketvirtyje pasirašyta statybos rangos sutartis, dėl K. Donelaičio kapinėse naujos kolumbariumo statybos, darbus planuojama atlikti per 2024 m.</t>
  </si>
  <si>
    <t>Užtikrinta Kolumbariumo priežiūra (kolumbariumo ir takų valymas)</t>
  </si>
  <si>
    <t>04.01.02.04</t>
  </si>
  <si>
    <t>Vykdyti Daušiškių kapinių statybos ir infrastruktūros įrengimo darbus</t>
  </si>
  <si>
    <t>Įgyvendinti Daušiškių kapinių II etapo įrengimo darbus (susisiekimo komunikacijos, aplinkos sutvarkymas)</t>
  </si>
  <si>
    <t>Atlikti visi Daušiškių kapinių įrengimo rangos darbai (įrengta daugiau nei 100 vietų automobilių stovėjimo aikštelė; takeliai, tualetai, konteineriai atliekoms, atvesti vandentiekio ir nuotėkų tinklai, įrengti laistymo hidrantai, drenažo sistema, įrengtas apšvietimas, kapinių teritorija aptverta tvora).  
2023 m. spalio mėn. pastatytas medinis kryžius, kurį sukūrė tautodailininkas drožėjas iš Joniškio Dalius Udrakis.
2023 m. lapkričio 1 dienos išvakarėse vyko naujų Daušiškių kapinių atidarymo ceremonija.</t>
  </si>
  <si>
    <t>04.01.02.05</t>
  </si>
  <si>
    <t>„Įgyvendinti projektą „Šiaulių miesto kapinių valdymo informacinės sistemos sukūrimas, įdiegimas, kapinių duomenų skaitmenizavimas“</t>
  </si>
  <si>
    <t>Sukurta kapavietės paieškos sistema</t>
  </si>
  <si>
    <t>Sukurta Šiaulių miesto (Ginkūnų civilinių, K. Donelaičio, Senųjų miesto kapinių, vadinamų Talšos kapinėmis, ir Daušiškių) kapinių valdymo informacinė sistema, suvesti/skaitmenizuoti istoriniai laidojimo duomenys, veikia kapaviečių paieška. Pagal sudarytą papildomą susitarimą turi būti atlikta kapaviečių skyrimo ir leidimo laidoti proceso integracija su el. valdžios vartuose veikiančia paslauga „Leidimo laidoti išdavimas“ bei kapinių informacijos skaitmeninimo sistemos integracija su Registrų centro gyventojų registro ir E.sveikatos registro duomenų bazėmis – pasitikrinti ir automatiškai sukelti mirties liudijimo duomenis. Paslauga jau turėjo būti atlikta, tačiau nuo trečiųjų šalių priklausančių aplinkybių paslaugų atlikimas vėluoja.</t>
  </si>
  <si>
    <t>04.01.04.</t>
  </si>
  <si>
    <t>Sutvarkyti viešąsias erdves</t>
  </si>
  <si>
    <t>04.01.04.05</t>
  </si>
  <si>
    <t>Įgyvendinti projektą „Vilniaus gatvės pėsčiųjų bulvaro ir amfiteatro rekonstrukcija“</t>
  </si>
  <si>
    <t>Atliktas galutinis mokėjimas rangovui. Gautas papildomas finansavimas projektui.</t>
  </si>
  <si>
    <t>04.01.04.06</t>
  </si>
  <si>
    <t>Įgyvendinti projektą „Talkšos ežero pakrantės plėtra“</t>
  </si>
  <si>
    <t>Sumokėta už projekto vykdymo priežiūros paslaugas, gautas papildomas finansavimas, kurio lėšomis atstatytos anksčiau savivaldybės biudžeto lėšomis apmokėtos išlaidos.</t>
  </si>
  <si>
    <t>04.01.04.07</t>
  </si>
  <si>
    <t>Įgyvendinti projektą „Viešųjų erdvių ir gyvenamosios aplinkos gerinimas teritorijoje, besiribojančioje su Draugystės prospektu, Vytauto gatve, P. Višinskio gatve ir Dubijos gatve"</t>
  </si>
  <si>
    <t>Gautas papildomas finansavimas, kurio lėšomis atstatytos išlaidos, kurios buvo apmokėtos savivaldybės biudžeto lėšomis.</t>
  </si>
  <si>
    <t>04.01.04.08</t>
  </si>
  <si>
    <t>Įgyvendinti projektą „P. Višinskio gatvės viešųjų erdvių pritaikymas jaunimo poreikiams“</t>
  </si>
  <si>
    <t>04.01.04.09</t>
  </si>
  <si>
    <t>Įgyvendinti projektą „Šiaulių miesto centrinio ir Didždvario parkų bei jų prieigų sutvarkymas“</t>
  </si>
  <si>
    <t>Atlikta rangos darbų</t>
  </si>
  <si>
    <t>Atliktas galutinis mokėjimas už Centrinio parko takelių tvarkymą, už Zubovų parko tvoros tvarkymo projekto statybą leidžiantį dokumentą, S. Lukauskio rangos darbus, Didždvario parko rangos darbus.  Gautas papildomas finansavimas, kurio lėšomis atstatytos išlaidos, kurios buvo apmokėtos savivaldybės biudžeto lėšomis.</t>
  </si>
  <si>
    <t>04.01.04.10</t>
  </si>
  <si>
    <t>Įgyvendinti projektą „Aušros alėjos (nuo Žemaitės g. iki Varpo g.) viešųjų pastatų ir viešųjų erdvių prieigų rekonstrukcija"</t>
  </si>
  <si>
    <t>04.01.04.12</t>
  </si>
  <si>
    <t>Vykdyti vaizdo stebėjimo kamerų sistemos plėtrą</t>
  </si>
  <si>
    <t>Prijungtų UAB ,,Šiaulių gatvių apšvietimas" dispozicijoje esančių vaizdo stebėjimo kamerų prie savivaldybės administracijos valdomos vaizdo stebėjimo sistemos</t>
  </si>
  <si>
    <t>Viešųjų vietų vaizdo stebėjimo kamerų, kurioms užtikrinamas funkcionalumo tęstinumas</t>
  </si>
  <si>
    <t>Įrengtų greičio matuoklių</t>
  </si>
  <si>
    <t>Pajungtų vaizdo stebėjimo kamerų</t>
  </si>
  <si>
    <t>04.02.</t>
  </si>
  <si>
    <t>Užtikrinti subalansuotą miesto susisiekimo sistemos vystymą</t>
  </si>
  <si>
    <t>Vykdyti miesto susisiekimo sistemos plėtrą</t>
  </si>
  <si>
    <t>04.02.01.</t>
  </si>
  <si>
    <t>Tobulinti miesto vidaus susisiekimo sistemą</t>
  </si>
  <si>
    <t>04.02.01.01</t>
  </si>
  <si>
    <t>Vykdyti naujų magistralinių gatvių suprojektavimo ir nutiesimo, susisiekimo komunikacijų įrengimo, rekonstravimo ir remonto darbus</t>
  </si>
  <si>
    <t>Atlikta miesto gatvių, šaligatvių ir takų remonto darbų pagal skirtą finansavimą (Aerouosto g. , Aukštabalio g. , Pramonės - Serbentų sankryža, g. ,Nuklono g., Pakapės g., tarp Spindulio - Purienų g. )</t>
  </si>
  <si>
    <t>Atliktas išlyginamojo asfalto sluoksnio dengimas</t>
  </si>
  <si>
    <t>Sukurtos arba atnaujintos atviros erdvės mieste (Dainų takas, Dainų parkas)</t>
  </si>
  <si>
    <t>04.02.01.01.01</t>
  </si>
  <si>
    <t>Atlikti gatvių tyrimus</t>
  </si>
  <si>
    <t>Atlikta gatvių laboratorinių tyrimų</t>
  </si>
  <si>
    <t>Atliekami rekonstruotų gatvių dangos laboratoriniai tyrimai, paimant kernus, siekiant ištirti asfaltbetonio fizines - mechanines savybes, nustatyti storį, granuliometrinę sudėtį, bitumo kiekį.</t>
  </si>
  <si>
    <t>04.02.01.01.02</t>
  </si>
  <si>
    <t>Atlikti miesto gatvių kapitalinį remontą (esminio pagerinimo darbai)</t>
  </si>
  <si>
    <t>Aerouosto g. nuo Dubijos iki Lakūnų g.rekonstrukcija</t>
  </si>
  <si>
    <t>Pramonės - Serbentų g. sankryžos rekonstrukcija</t>
  </si>
  <si>
    <t>Aukštabalio g. nuo Tilžės g iki Baltų g. remontas ir įrengimas</t>
  </si>
  <si>
    <t>Įvykdyta 75 proc.  Aukštabalio g. nuo Tilžės iki Išradėjų g. rangos darbai - 438 m. ilgio gatvės dalyje perklota važiuojamoji dalis, sumontuotas naujas apšvietimas, įrengtos naujos parkavimo vietos ir šaligatviai, rekonstruoti lietaus surinkimo tinklai. Rangovas UAB Šiaulių plentas.</t>
  </si>
  <si>
    <t>04.02.01.01.03</t>
  </si>
  <si>
    <t>Remontuoti, pakeisti šaligatvius, dviračių takų dangas</t>
  </si>
  <si>
    <t>Atlikta Dainų tako (pietinio bulvaro) rekonstrukcija</t>
  </si>
  <si>
    <t>Tęsiami UAB Šiaulių melioracija vykdomi Dainų tako darbai.</t>
  </si>
  <si>
    <t>Atliktas pėsčiųjų takų prie švietimo įstaigų remontas</t>
  </si>
  <si>
    <t>Atlikti Lieporių gimnazijos, S.Šalkauskio gimnazijos, Zoknių progimnazijos, ŠU gimnazijos, Ringuvos mokyklos takų tvarkymo darbai. Tvarkomas takas Grinkevičiaus nuo Lieporių iki Statybininkų g.  Atnaujintos dangos takuose A. Mickevičiaus, Vytauto gatvėse, take nuo Dainų gatvės iki Dainų muzikos mokyklos. Įrengti šaligatviai Metalistų ir Ragainės g.</t>
  </si>
  <si>
    <t>04.02.01.01.04</t>
  </si>
  <si>
    <t>Kainų indeksavimas</t>
  </si>
  <si>
    <t>Panaudota lėšų</t>
  </si>
  <si>
    <t>04.02.01.06</t>
  </si>
  <si>
    <t>Įrengti viešojo susisiekimo infrastruktūrą, siekiant pagerinti sąlygas verslo plėtrai</t>
  </si>
  <si>
    <t>Atliktas mokėjimas už rangos darbus vykdytus 2022 m., apmokėtos gautos sąskaitos 2023 m. darbų užbaigimo procedūros baigtos, išmokėtos sulaikomos lėšos.</t>
  </si>
  <si>
    <t>04.02.01.14</t>
  </si>
  <si>
    <t>Įgyvendinti projektą „Darnaus judumo priemonių diegimas Šiaulių mieste“</t>
  </si>
  <si>
    <t>Įgyvendintos darnaus judumo priemonės</t>
  </si>
  <si>
    <t>1. Statybininkų g. pėsčiųjų - dviračių takų dangos remontas nuo Tilžės g. 22 iki Signatarų alėjos.
2. Sevastopolio g. tako remontas.</t>
  </si>
  <si>
    <t>04.02.01.14.01</t>
  </si>
  <si>
    <t>Įgyvendinti projektą „Darnaus judumo priemonių diegimas Šiaulių mieste I etapas“</t>
  </si>
  <si>
    <t>04.02.01.14.02</t>
  </si>
  <si>
    <t>Įgyvendinti projektą „Darnaus judumo priemonių įgyvendinimas II etapas"</t>
  </si>
  <si>
    <t>04.02.01.15</t>
  </si>
  <si>
    <t>Įgyvendinti projektą „Pakruojo gatvės rekonstrukcija“</t>
  </si>
  <si>
    <t>Pakeistas Šiaulių regiono planas, priemonės projektų sąrašas, pateiktas papildomo finansavimo skyrimo prašymas CPVA. Gautomis papildomo finansavimo lėšomis bus kompensuojamos projekto įgyvendinimo metu patirtos išlaidos, kurios buvo apmokėtos savivaldybės biudžeto lėšomis.</t>
  </si>
  <si>
    <t>04.02.01.19</t>
  </si>
  <si>
    <t>Vykdyti keleivių vežimą vietinio (miesto) reguliaraus susisiekimo autobusų maršrutais</t>
  </si>
  <si>
    <t>Apmokėta už miesto keleivių vežimo vietiniais maršrutais (Nr. 2,8,14,20,24) paslaugas pagal kilometražą</t>
  </si>
  <si>
    <t>UAB Busturui apmokama už nuvažiuotus kilometrus teikiant miesto keleivių vežimo 2,8,14,20,24  - vietiniais maršrutais viešąsias paslaugas.</t>
  </si>
  <si>
    <t>04.02.02.</t>
  </si>
  <si>
    <t>Vykdyti Savivaldybės infrastruktūros plėtrą</t>
  </si>
  <si>
    <t>04.02.02.01</t>
  </si>
  <si>
    <t>Suprojektuoti, nutiesti, išasfaltuoti ar rekonstruoti žvyruotas gatves</t>
  </si>
  <si>
    <t>Išasfaltuotos ir įrengtos žvyruotos gatvės</t>
  </si>
  <si>
    <t>2023 metais išasfaltuotos :  Dainavos takas ir gatvė, Utenos g., Šaltalankių g., Kretingos g., Švendrių g.  2023 m. I ketv. tęsiami darbai iš 2022 metų Karklų ir Skroblų g. 2023 m. II ketv. pradėti Dainavos tako ir Dainavos gatvės rekonstravimo darbai, parengti Kretingos g. ir Utenos g. kapitalinio remonto projektai ir atlikta jų ekspertizė.  2023 m. III ketv. pradėti Šaltalankių ir Švendrių gatvių darbai. Pradėti Tauro g. (lietaus nuotekų tinklai) rangos darbai.</t>
  </si>
  <si>
    <t>Išasfaltuota Dainavos takas ir gatvė</t>
  </si>
  <si>
    <t>Išasfaltuota 320 m Dainavos takas ir 321 m Dainavos gatvė.</t>
  </si>
  <si>
    <t>Išasfaltuota Utenos g.</t>
  </si>
  <si>
    <t>Išasfaltuota 356 m Utenos gatvė.</t>
  </si>
  <si>
    <t>Išasfaltuota Šaltalankių g.</t>
  </si>
  <si>
    <t>Išasfaltuota 351 m Šaltalankių gatvė.</t>
  </si>
  <si>
    <t>Išasfaltuota Kretingos g.</t>
  </si>
  <si>
    <t>Išasfaltuota 130 m Kretingos g.</t>
  </si>
  <si>
    <t>Išasfaltuota Pasvalio g.</t>
  </si>
  <si>
    <t>Suplanuota, bet nespėta išasfaltuoti Pasvalio g.</t>
  </si>
  <si>
    <t>Išasfaltuota Švendrių g.</t>
  </si>
  <si>
    <t>Išasfaltuota 280 m  Švendrių g.</t>
  </si>
  <si>
    <t>Išasfaltuota Tauro g.</t>
  </si>
  <si>
    <t>Išasfaltuota 209 m Tauro g.</t>
  </si>
  <si>
    <t>04.02.02.02</t>
  </si>
  <si>
    <t>Įgyvendinti Savivaldybės infrastruktūros plėtros rėmimo programą</t>
  </si>
  <si>
    <t>Sukurta infrastruktūros objektų (pasirašyta savivaldybės infrastruktūros plėtros sutarčių)</t>
  </si>
  <si>
    <t>Įgyvendinant Lietuvos Respublikos savivaldybių infrastruktūros plėtros įstatymą ir vykdant Šiaulių miesto savivaldybės tarybos sprendimą  „Dėl Šiaulių miesto savivaldybės infrastruktūros plėtros organizatoriaus funkcijų vykdymo pavedimo savivaldybės administracijai ir savivaldybės infrastruktūros plėtros organizatoriaus veiklos aprašo patvirtinimo", sudaromos infrastruktūros plėtros sutartys, infrastruktūros plėtros  iniciatoriai moka įmokas Savivaldybei.</t>
  </si>
  <si>
    <t>05.</t>
  </si>
  <si>
    <t>Miesto ekonominės plėtros programa</t>
  </si>
  <si>
    <t>05.01.</t>
  </si>
  <si>
    <t>Skatinti miesto ekonominę plėtrą sudarant palankias sąlygas verslo vystymuisi</t>
  </si>
  <si>
    <t>Užimtų gyventojų skaičiaus augimas</t>
  </si>
  <si>
    <t>Įsteigtų įmonių</t>
  </si>
  <si>
    <t>Materialinių investicijų augimas</t>
  </si>
  <si>
    <t>Tiesioginių užsienio investicijų (TUI) augimas</t>
  </si>
  <si>
    <t>05.01.02.</t>
  </si>
  <si>
    <t>Skatinti ir ugdyti verslumą</t>
  </si>
  <si>
    <t>05.01.02.01</t>
  </si>
  <si>
    <t>Skatinti smulkiojo ir vidutinio verslo subjektus</t>
  </si>
  <si>
    <t>Įgyvendintų skatinimo priemonių</t>
  </si>
  <si>
    <t>I ketv. gautos 2 paraiškos dėl įmonės steigimo išlaidų kompensavimo.
II ketv. gautos 9 paraiškos dėl įmonės steigimo išlaidų kompensavimo ir įrankių ir įrangos dalinio išlaidų padengimo.
III ketv. gautos 4 paraiškos ir pasirašytos 4 sutartys dėl įmonės steigimo išlaidų kompensavimo; gautos 6 paraiškos ir pasirašytos 6 sutartys dėl įrangos ir įrankių įsigijimo išlaidų dalinio padengimo. 10 verslo projektų konkurso dalyviams buvo skirta finansinė parama, pasirašytos 7 sutartys, lėšų išmokėjimas vyks IV ketvirtį.
IV ketv. gautos 6 paraiškos ir pasirašytos 6 sutartys dėl įrangos ir įrankių įsigijimo išlaidų dalinio padengimo.</t>
  </si>
  <si>
    <t>05.01.02.02</t>
  </si>
  <si>
    <t>Įgyvendinti verslo subjektų mokymo programas</t>
  </si>
  <si>
    <t>Surengtų mokymų</t>
  </si>
  <si>
    <t>Balandžio 5 d. vyko mokymai: "Finansinės priemonės verslui" ir "Investavimas: nuo ko pradėti?", 12 dalyvių.
Gegužės 10 d. vyko mokymai "Dokumentų valdymas ir tvarkymas", 16 dalyvių.
III ketv. priemonė buvo vykdoma pagal planą, detalesnės ataskaitos dar negauta iš priemonės vykdytojo.
III ketv. priemonė buvo vykdoma pagal planą.                                                                                                                                       IV ketv. Spalio 10 d Vadovo komunikacija ; Spalio 27 d. „Kaip parduoti savo produktą ar paslaugą?“;  Gruodžio 7 d.  „Paveiki komunikacija ir personal brandingas“ .                                                                                                                                                      Viso mokymuose dalyvavo - 62 dalyviai.</t>
  </si>
  <si>
    <t>Verslo sklaidos renginių</t>
  </si>
  <si>
    <t>II ketv. 2 renginiai; III ketv. 3 renginiai;  IV ketv. 1 renginys Viso dalyvavo - 106 dalyviai.</t>
  </si>
  <si>
    <t>Suteiktos konsultacijos</t>
  </si>
  <si>
    <t>II ketv. suteiktos 35 val. konsultacijų 
III – IV ketv. suteikta 245 val. konsultacijų.                                                                                                                                                 Konsultuotų asmenų  - 30, įsteigti 6 nauji verslo subjektai (Mes 6, MB; Sąskaitų spektras, MB;  Dabrika projects, UAB; Makle, MB; VšĮ "Smaragdo vaikai"),  surengtos 3 mentorystės sesijos, 3 grupinės teminės konsultacijos.</t>
  </si>
  <si>
    <t>05.01.02.03</t>
  </si>
  <si>
    <t>Įgyvendinti jaunimo verslumo skatinimo programą</t>
  </si>
  <si>
    <t>Konsultuotų asmenų</t>
  </si>
  <si>
    <t>II ketv. konsultuotas 1 asmuo (įsteigtas 1 naujas jaunas verslo subjektas (MB "SMAGT").
III ketv. priemonė buvo vykdoma pagal planą.                                        
IV ketv. 40 vnt. konsultuotų asmenų.</t>
  </si>
  <si>
    <t>Verslumo mokymo ir verslo informacinės sklaidos renginių</t>
  </si>
  <si>
    <t>05.01.05.</t>
  </si>
  <si>
    <t>Skatinti investicijų pritraukimą</t>
  </si>
  <si>
    <t>05.01.05.01</t>
  </si>
  <si>
    <t>Parengti (atnaujinti) investicijų projektus</t>
  </si>
  <si>
    <t>Parengtų, atnaujintų investicijų projektų ir/ar kitų reikiamų dokumentų lėšų pritraukimui</t>
  </si>
  <si>
    <t>05.01.05.02</t>
  </si>
  <si>
    <t>Vystyti Šiaulių pramoninio  parko (ŠPP) ir Šiaulių laisvosios ekonominės zonos (Šiaulių LEZ) infrastruktūrą</t>
  </si>
  <si>
    <t>Įrengta krovos aikštelių infrastruktūra</t>
  </si>
  <si>
    <t>Sklypų skaičius iš kurių pašalinti medžiai</t>
  </si>
  <si>
    <t>Išvalytų sklypų skaičius</t>
  </si>
  <si>
    <t>05.01.05.02.02</t>
  </si>
  <si>
    <t>Gerinti investicinę aplinką Šiaulių pramoniniame parke</t>
  </si>
  <si>
    <t>05.01.05.02.03</t>
  </si>
  <si>
    <t>Įgyvendinti projektą „Šiaulių laisvosios ekonominės zonos infrastruktūros plėtra (II etapas)"</t>
  </si>
  <si>
    <t>05.01.05.02.04</t>
  </si>
  <si>
    <t>Įgyvendinti projektą „Investicinės aplinkos gerinimas Šiaulių laisvojoje ekonominėje zonoje ir jos prieigose"</t>
  </si>
  <si>
    <t>Atlikti mokėjimai už krovos aikštelių rangos darbus ir techninės priežiūros paslaugas.</t>
  </si>
  <si>
    <t>05.01.05.02.05</t>
  </si>
  <si>
    <t>Įgyvendinti projektą „Geležinkelio atšakos į Šiaulių miesto pramoninę zoną įrengimas"</t>
  </si>
  <si>
    <t>05.01.05.02.06</t>
  </si>
  <si>
    <t>Įgyvendinti projektą „Šiaulių laisvosios ekonominės zonos infrastruktūros įrengimo užbaigimas ir sklypų pritaikymas investuotojų pritraukimui"</t>
  </si>
  <si>
    <t>05.01.05.02.07</t>
  </si>
  <si>
    <t>Įgyvendinti projektą „Susisiekimo infrastruktūros ir dviratininkams (pėstiesiems) skirtos susisiekimo infrastruktūros įrengimas Šiaulių PP teritorijoje ir Šiaulių LEZ prieigose"</t>
  </si>
  <si>
    <t>05.01.05.02.08</t>
  </si>
  <si>
    <t>Įgyvendinti projektą "Šiaulių laisvosios ekonominės zonos ir Šiaulių pramonės parko teritorijų prijungimas prie geležinkelio infrastruktūros"</t>
  </si>
  <si>
    <t>Įrengta geležinkelio kelių</t>
  </si>
  <si>
    <t>05.01.05.03</t>
  </si>
  <si>
    <t>Vystyti Šiaulių Oro uosto veiklą</t>
  </si>
  <si>
    <t>Įvykdyti specialieji aviacijos saugumo užtikrinimo įsipareigojimai</t>
  </si>
  <si>
    <t>I-IV ketv. lėšos panaudotos aviacijos saugumo įsipareigojimų funkcijos užtikrinimui. Gautomis lėšomis buvo mokamas darbo užmokestis, darbuotojų kursų, mokymų išlaidos, transporto išlaikymo išlaidos, komunalinės paslaugos.</t>
  </si>
  <si>
    <t>Įsigyta techninė įranga</t>
  </si>
  <si>
    <t>05.01.05.04</t>
  </si>
  <si>
    <t>Įrengti ekonominės veiklos centro infrastruktūrą</t>
  </si>
  <si>
    <t>Elektros transformatorinės rekonstrukcija el. galios padidinimui</t>
  </si>
  <si>
    <t>Atlikti angarų griovimo darbai</t>
  </si>
  <si>
    <t>Parengtas Oro uosto terminalo techninis projektas</t>
  </si>
  <si>
    <t>05.01.05.05</t>
  </si>
  <si>
    <t>Viešinti investicinę aplinką</t>
  </si>
  <si>
    <t>Suorganizuota renginių</t>
  </si>
  <si>
    <t>II ketv. suorganizuoti 2 renginiai: Verslumo skatinimo renginys (nuotolinis) ir Marketingo terapija (partneriai – Lietuvos marketingo asociacijos (LiMA) Šiaulių skyriumi).
III ketv. suorganizuotas renginys: Ch. Frenkelio konferencija (partneriai – Šiaulių Pramonininkų asociacija).
IV ketv. suorganizuotas renginys „Rinkodaros dirbtuvės“ (partneriai - Lietuvos marketingo asociacijos (LiMA) Šiaulių skyrius ir Šiaulių kultūros centras).</t>
  </si>
  <si>
    <t>Dalyvauta parodose</t>
  </si>
  <si>
    <t>Publikuotų straipsnių Lietuvos ir užsienio spaudoje</t>
  </si>
  <si>
    <t>I ketv. Publikuotas užsakomasis straipsnis portale www.delfi.lt.
II ketv. Publikuotas straipsnis tarptautiniame žurnale anglų kalba "The Baltic Times".</t>
  </si>
  <si>
    <t>Sukurtų edukacinių rinkodaros priemonių</t>
  </si>
  <si>
    <t>Įgyvendinta reklaminė kampanija "Šiauliai - karjeros miestas"</t>
  </si>
  <si>
    <t>Kampanija įgyvendinta balandžio-gegužės mėnesiais.</t>
  </si>
  <si>
    <t>Atlikta Šiaulių miesto gyventojų, verslininkų, asocijuotų verslo struktūrų, turistų ir kt. apklausa</t>
  </si>
  <si>
    <t>Parengti miesto istorijų, interviu ciklai</t>
  </si>
  <si>
    <t>Asociacijų, kurių narė yra savivaldybė skaičius</t>
  </si>
  <si>
    <t>Savivaldybė yra Lietuvos marketingo asociacijos (LiMA) narė.</t>
  </si>
  <si>
    <t>Įgyvendinta reklaminė kampanija jauniems specialistams „Rinkis Šiaulius!“</t>
  </si>
  <si>
    <t>Kampanija įgyvendinta gruodžio mėnesį.</t>
  </si>
  <si>
    <t>05.01.05.06</t>
  </si>
  <si>
    <t>Pritraukti aukštos kvalifikacijos specialistus į Šiaulių miestą</t>
  </si>
  <si>
    <t>Atvykę dirbti aukštos kvalifikacijos specialistai, kurie gavo vienkartines išmokas</t>
  </si>
  <si>
    <t>II ketv.: pasirašyta 1 sutartis pasibaigus darbo sutartyse bandomajam periodui.                                                   
II ketv.: pasirašytos 5 sutartys pasibaigus darbo sutartyse bandomajam periodui.
III ketv.: pasirašytos 2 sutartys.</t>
  </si>
  <si>
    <t>06.</t>
  </si>
  <si>
    <t>Turto valdymo ir privatizavimo programa</t>
  </si>
  <si>
    <t>06.01.</t>
  </si>
  <si>
    <t>Užtikrinti Savivaldybei nuosavybės teise priklausančio turto efektyvų panaudojimą</t>
  </si>
  <si>
    <t>Teisiškai sutvarkytų ir  įregistruotų  nekilnojamojo turto sk.  nuo viso turimo turto, proc.</t>
  </si>
  <si>
    <t>06.01.01.</t>
  </si>
  <si>
    <t>Užtikrinti Savivaldybei nuosavybės teise priklausančio turto įregistravimą viešuosiuose registruose</t>
  </si>
  <si>
    <t>06.01.01.01</t>
  </si>
  <si>
    <t>Apmokėti pastatų, patalpų ir inžinerinių statinių vertinimo, kadastrinių matavimų atlikimo, teisines registracijos išlaidas</t>
  </si>
  <si>
    <t>Nekilnojamojo turto registre teisiškai įregistruotas turtas</t>
  </si>
  <si>
    <t>Per 2023 m. teisiškai įregistruota 111 objektų.</t>
  </si>
  <si>
    <t>06.01.01.03</t>
  </si>
  <si>
    <t>Padengti Privatizavimo programos vykdymo išlaidas</t>
  </si>
  <si>
    <t>Padengtos išlaidos</t>
  </si>
  <si>
    <t>Mokama pagal faktą. Visos išlaidos apmokėtos.</t>
  </si>
  <si>
    <t>06.01.01.06</t>
  </si>
  <si>
    <t>Apmokėti turto, kuris neturi savininko (ar savininkas nežinomas) laikinosios priežiūros ir laikinųjų apsaugos priemonių įrengimo arba griovimo išlaidas</t>
  </si>
  <si>
    <t>Prižiūrimų ir nugriautų objektų</t>
  </si>
  <si>
    <t>2023 m. apmokėta už nugriautus statinius 4vnt.</t>
  </si>
  <si>
    <t>06.01.02.</t>
  </si>
  <si>
    <t>Tinkamai eksploatuoti, renovuoti, remontuoti ir  saugoti Savivaldybei nuosavybės teise priklausantį turtą</t>
  </si>
  <si>
    <t>06.01.02.03</t>
  </si>
  <si>
    <t>Apmokėti Savivaldybei nuosavybės teise priklausančių pastatų, patalpų ir inžinerinių statinių  draudimo, apsaugos, remonto, komunalines ir kitas išlaidas</t>
  </si>
  <si>
    <t>Apmokėtos eksploatavimo išlaidos</t>
  </si>
  <si>
    <t>Mokama pagal faktą. 2023 m. visos išlaidos apmokėtos.</t>
  </si>
  <si>
    <t>Apdraustų objektų</t>
  </si>
  <si>
    <t>2023 m. apdrausti negyvenamus pastatus nebuvo poreikio.</t>
  </si>
  <si>
    <t>06.01.02.12</t>
  </si>
  <si>
    <t>Apmokėti Savivaldybei nuosavybės teise priklausančio nekilnojamojo turto renovacijos išlaidas</t>
  </si>
  <si>
    <t>Apmokėtos renovacijos išlaidos</t>
  </si>
  <si>
    <t>Mokama pagal sąskaitas faktūras. 2023 m. visos išlaidos apmokėtos.</t>
  </si>
  <si>
    <t>06.01.02.14</t>
  </si>
  <si>
    <t>Užtikrinti skolų išieškojimą ir skolininkų iškeldinimą iš Savivaldybei nuosavybės teise priklausančių būstų</t>
  </si>
  <si>
    <t>Įvykdytų teismų sprendimų</t>
  </si>
  <si>
    <t>Per 2023 m. įvykdyti 4 teismo sprendimai, sudarytos dvi taikos sutartys su nuomininkais, nuomininkai neiškeldinti.</t>
  </si>
  <si>
    <t>06.01.02.15</t>
  </si>
  <si>
    <t>Organizuoti finansinių įsipareigojimų Aukštabalio multifunkcinio komplekso operatoriui vykdymą</t>
  </si>
  <si>
    <t>Pasirašyta koncesijos sutartis</t>
  </si>
  <si>
    <t>Įvykdytų sutartinių metinių įsipareigojimų</t>
  </si>
  <si>
    <t>Iki 2023 m. kovo mėn. buvo mokamas koncesijos mokestis.</t>
  </si>
  <si>
    <t>06.01.02.16</t>
  </si>
  <si>
    <t>Apmokėti Savivaldybei nuosavybės teise priklausančių būstų eksploatavimo, administravimo, kaupimo, nuomos mokesčio surinkimo, komunalinių mokesčių, remonto išlaidas</t>
  </si>
  <si>
    <t>Apmokėtos išlaidos</t>
  </si>
  <si>
    <t>06.01.02.17</t>
  </si>
  <si>
    <t>Kompensuoti daugiabučių namų savininkų bendrijų steigimo išlaidas</t>
  </si>
  <si>
    <t>Padengtos steigimo išlaidos</t>
  </si>
  <si>
    <t>2023 metus gauti ir apmokėti 9 prašymai.</t>
  </si>
  <si>
    <t>06.01.03.</t>
  </si>
  <si>
    <t>Sudaryti sąlygas įsigyti būstą pažeidžiamiausioms gyventojų grupėms</t>
  </si>
  <si>
    <t>06.01.03.05</t>
  </si>
  <si>
    <t>Didinti Savivaldybės būsto fondą</t>
  </si>
  <si>
    <t>Nupirktų būstų</t>
  </si>
  <si>
    <t>Buvo vykdomi būstų pirkimai ir išlaidos dengiamos iš 06.01.03.06 priemonės.</t>
  </si>
  <si>
    <t>06.01.03.06</t>
  </si>
  <si>
    <t>Įgyvendinti projektą „Socialinio būsto fondo plėtra Šiaulių miesto savivaldybėje"</t>
  </si>
  <si>
    <t>2023 m. Pasirašytos 7 butų pirkimo pardavimo sutartys. 2 butai pritaikyti neįgaliųjų poreikiams.</t>
  </si>
  <si>
    <t>06.01.03.06.01</t>
  </si>
  <si>
    <t>Įgyvendinti projektą "Socialinio būsto fondo plėtra Šiaulių miesto savivaldybėje I etapas"</t>
  </si>
  <si>
    <t>06.01.03.06.02</t>
  </si>
  <si>
    <t>Įgyvendinti projektą „Socialinio būsto fondo plėtra Šiaulių miesto savivaldybėje, II etapas“</t>
  </si>
  <si>
    <t>06.01.03.07</t>
  </si>
  <si>
    <t>Kompensuoti būsto nuomos ar išperkamosios būsto nuomos mokesčių dalį</t>
  </si>
  <si>
    <t>Mokama pagal faktą, visos išlaidos apmokėtos. Kompensaciją per 2023 metus gavo 219 asmenų.</t>
  </si>
  <si>
    <t>1.04.</t>
  </si>
  <si>
    <t>06.01.03.09</t>
  </si>
  <si>
    <t>Kompensuoti jaunoms šeimoms dalį išlaidų įsigyjant pirmą būstą</t>
  </si>
  <si>
    <t>Šeimų gavusių kompensacijas</t>
  </si>
  <si>
    <t>Per 2023 m. 22 šeimos gavo kompensaciją.</t>
  </si>
  <si>
    <t>07.</t>
  </si>
  <si>
    <t>Sporto plėtros programa</t>
  </si>
  <si>
    <t>07.01.</t>
  </si>
  <si>
    <t>Sudaryti sąlygas ugdyti sveiką ir fiziškai aktyvią miesto bendruomenę bei plėtoti aukšto meistriškumo sportininkų rengimo sistemą</t>
  </si>
  <si>
    <t>Sporto organizacijų Šiaulių mieste</t>
  </si>
  <si>
    <t>Prižiūrimų sporto bazių</t>
  </si>
  <si>
    <t>07.01.01.</t>
  </si>
  <si>
    <t>Plėtoti aukšto meistriškumo sportininkų rengimo sistemą</t>
  </si>
  <si>
    <t>07.01.01.02</t>
  </si>
  <si>
    <t>Vykdyti miesto, apskrities, šalies ir tarptautinius sporto renginius bei pasirengti ir dalyvauti šalies ir tarptautinėms varžyboms (Baltijos, Europos ir pasaulio čempionato varžyboms, kompleksiniams renginiams ir kt.)</t>
  </si>
  <si>
    <t>Šalies sporto šakų čempionatuose, taurės varžybose (suaugusiųjų amžiaus grupėje) laimėta 1–3 vietų</t>
  </si>
  <si>
    <t>Šiaulių miesto sporto įstaigų sportininkai laimėjo 274 Lietuvos suaugusiųjų čempionatų prizines vietas.</t>
  </si>
  <si>
    <t>Šalies sporto šakų čempionatuose, taurės varžybose (jaunučių, jaunių, jaunimo amžiaus grupėse) laimėta 1–3 vietų</t>
  </si>
  <si>
    <t>Šiaulių miesto sporto įstaigų sportininkai laimėjo 564 jaunučių, jaunių ir jaunimo Lietuvos čempionatų prizines vietas.</t>
  </si>
  <si>
    <t>Europos čempionate iškovotų 1–6 vietų ir pasaulio čempionate, taurės varžybose (suaugusiųjų amžiaus grupėje) iškovotų 1–10 vietų</t>
  </si>
  <si>
    <t>25 Šiaulių miesto sporto įstaigų sportininkai Europos čempionate iškovojo 1–6 vietų ir pasaulio čempionate, taurės varžybose (suaugusiųjų amžiaus grupėje).</t>
  </si>
  <si>
    <t>Europos čempionate iškovotų 1–6 vietų ir pasaulio čempionate, taurės varžybose (jaunučių, jaunių, jaunimo amžiaus grupėse) iškovotų 1–10 vietų</t>
  </si>
  <si>
    <t>37 Šiaulių miesto sporto įstaigų sportininkai Europos čempionate iškovojo 1–6 vietų ir pasaulio čempionate, taurės varžybose (jaunučių, jaunių, jaunimo amžiaus grupėse) 1-10 vietų</t>
  </si>
  <si>
    <t>Olimpinės ir paralimpinės rinktinės kandidatų bei perspektyvinės pamainos sportininkų</t>
  </si>
  <si>
    <t>52 sportininkai buvo Olimpinės / Paralimpinės rinktinės nariai bei perspektyvinės pamainos sportininkai.</t>
  </si>
  <si>
    <t>Rinktinės narių (suaugusiųjų amžiaus grupėje)</t>
  </si>
  <si>
    <t>52 Šiaulių miesto sporto įstaigų sportininkai buvo Lietuvos suaugusiųjų rinktinių nariais.</t>
  </si>
  <si>
    <t>Rinktinės narių (jaunučių, jaunių, jaunimo amžiaus grupėse)</t>
  </si>
  <si>
    <t>151 Šiaulių miesto sporto įstaigų sportininkas buvo Lietuvos jaunimo, jaunių ir jaunučių rinktinių nariais.</t>
  </si>
  <si>
    <t>Surengtų sporto renginių</t>
  </si>
  <si>
    <t>2023 m. Šiaulių miesto sporto įstaigos surengė 299 sporto renginius.</t>
  </si>
  <si>
    <t>07.01.01.06</t>
  </si>
  <si>
    <t>Pasirengti ir dalyvauti Lietuvos čempionato ir sporto šakų federacijų taurės, Baltijos lygos ir taurės laimėtojų, Europos taurės ir kitose oficialiose varžybose (žaidimų komandų jaunimo ir suaugusiųjų amžiaus grupė)</t>
  </si>
  <si>
    <t>Komandų, dalyvaujančių šalies varžybose</t>
  </si>
  <si>
    <t>Šalies čempionatuose dalyvavo šios komandos: 
1. Šiaulių regbio komanda „Baltrex-Šiauliai" R7;
2. Šiaulių moterų regbio komanda „Baltrex" R7;
3. Šiaulių vyrų regbio komanda „Vairas-Kalvis-Jupoja-Šiauliai“ R7;
4. Šiaulių moterų regbio komanda „Vairas" R7;
5. Šiaulių vyrų regbio komanda „Šiauliai“ R7;
6.  Šiaulių moterų futbolo komanda „Gintra“ ; 
7. Šiaulių moterų žolės riedulio komanda „Ginstrektė-ŠSG“ (lauko); 
8. Šiaulių moterų žolės riedulio komanda „Ginstrektė-ŠSG“ (uždarų patalpų);
9. Šiaulių vyrų žolės riedulio komanda „Ginstrektė“ (lauko);
10. Šiaulių vyrų žolės riedulio komanda „Ginstrektė“ (uždarų patalpų);
11.Šiaulių vyrų tinklinio komanda „Elga-Master Idea-SC Dubysa“; 
12. Šiaulių vyrų rankinio komanda „RK Šiauliai“; 
13. Šiaulių moterų krepšinio komanda „Šiauliai-Vilmers“; 
14. Šiaulių vyrų krepšinio komanda „Šiauliai“;
15. Šiaulių vyrų paplūdimio tinklinio komanda.</t>
  </si>
  <si>
    <t>Lietuvos čempionato varžybose laimėta 1–3 vietų</t>
  </si>
  <si>
    <t>Šalies čempionatuose/taurės varžybose prizines vietas laimėjo šios komandos: 
1. Šiaulių regbio komanda „Baltrex-Šiauliai“ R7 – 1 v.;
2. Šiaulių vyrų regbio komanda „Vairas-Kalvis-Jupoja-Šiauliai“ R7 – 2 v.;
3. Šiaulių moterų regbio komanda „Vairas" R7 – 1 v.;
4. Šiaulių moterų futbolo komanda „Gintra“ – 1 v.;
5. Šiaulių moterų žolės riedulio komanda „Ginstrektė-ŠSG“ (lauko) – 1v.;
6. Šiaulių moterų žolės riedulio komanda „Ginstrektė-ŠSG“ (uždarų patalpų) – 1 v.;
7. Šiaulių vyrų žolės riedulio komanda „Ginstrektė“ (lauko) – 1 v.;
8. Šiaulių vyrų žolės riedulio komanda „Ginstrektė“ (uždarų patalpų) – 2 v.;
9. Šiaulių vyrų tinklinio komanda „Elga-Grafaitė-SC Dubysa“ (LT čempionatas) – 1 v.</t>
  </si>
  <si>
    <t>Komandų, dalyvaujančių tarptautinėse varžybose</t>
  </si>
  <si>
    <t>Oficialiose tarptautinėse varžybose dalyvavo šios komandos:
1. Šiaulių moterų futbolo komanda „Gintra“;
2. Šiaulių regbio komanda „Baltrex-Šiauliai“ (Baltijos čempionatas R15);
3. Šiaulių vyrų regbio komanda „Vairas-Kalvis-Jupoja-Šiauliai“ (Baltijos čempionatas R15);
4. Šiaulių vyrų regbio komanda „Šiauliai“ (Baltijos čempionatas R15);
5. Šiaulių moterų žolės riedulio komanda „Ginstrektė-ŠSG“(lauko); 
6. Šiaulių moterų žolės riedulio komanda „Ginstrektė-ŠSG“(uždarų patalpų);
7. Šiaulių vyrų žolės riedulio komanda „Ginstrektė-ŠSG“(lauko);
8. Šiaulių moterų krepšinio komanda "Šiauliai-Vilmers";
9. Šiaulių krepšinio komanda "Šiauliai";
10. Šiaulių vyrų paplūdimio tinklinio komanda.</t>
  </si>
  <si>
    <t>Tarptautinėse varžybose laimėta 1–3 vietų</t>
  </si>
  <si>
    <t>Oficialiuose tarptautinėse varžybose laimėjo 1–3 vietą šios komandos:
1. Šiaulių regbio komanda „Baltrex-Šiauliai“ (Baltijos čempionatas R15) – 2 v.;
2. Šiaulių vyrų regbio komanda „Vairas-Kalvis-Jupoja-Šiauliai“ (Baltijos čempionatas R15) – 1 v.;
3. Šiaulių vyrų paplūdimio tinklinio komanda (Kontinentinė taurė) – 2 v.
4. Šiaulių vyrų paplūdimio tinklinio komanda (World Tour Future) – 3 v.
5. Šiaulių moterų futbolo komanda „Gintra“ - 1 v.</t>
  </si>
  <si>
    <t>Rinktinės narių</t>
  </si>
  <si>
    <t>2023 m. Šiaulių miesto komandinio sporto Lietuvos rinktinėse buvo 82 sportininkai.</t>
  </si>
  <si>
    <t>07.01.01.08</t>
  </si>
  <si>
    <t>Įgyvendinti Šiaulių miesto reprezentacinių renginių programą</t>
  </si>
  <si>
    <t>Surengtų miestą reprezentuojančių sporto renginių</t>
  </si>
  <si>
    <t>2023 m. įvyko šie reprezentaciniai sporto renginiai: 
1. Tarptautinės sportinių šokių varžybos „Sun City Cup“;
2. UEFA moterų čempionų lyga ir Moterų futbolo Baltijos lyga; 
3. Lietuvos krepšinio lyga ir Karaliaus Mindaugo Taurė; 
4. Šiaulių dviračių lenktynės; 
5.Europos regbio čempionatai;
6. Europos motokroso čempionato etapas;
7. Daviso taurės mačas ir Tarptautinės teniso federacijos antros kategorijos jaunių (iki 18) metų turnyras.</t>
  </si>
  <si>
    <t>Surengtų sporto renginių dalyvių</t>
  </si>
  <si>
    <t>7 surengtuose reprezentaciniuose  sporto renginiuose dalyvavo 2 900 dalyviai (pagal reprezentacinių renginių vykdytojų pateiktus duomenis).</t>
  </si>
  <si>
    <t>07.01.01.09</t>
  </si>
  <si>
    <t>Skatinti sportininkus ir trenerius laimėjusius aukštas vietas tarptautinės varžybose</t>
  </si>
  <si>
    <t>Paskatinta aukšto meistriškumo sportininkų</t>
  </si>
  <si>
    <t>Paskatinti 48 aukšto meistriškumo sportininkai.</t>
  </si>
  <si>
    <t>Premijų (stipendijų), skirtų sportininkams</t>
  </si>
  <si>
    <t>Metinės premijos (stipendijos) skirtos šiems sportininkams: 
1. Gerda Meištininkaitė;
2. Kamilė Gaučaitė; 
3. Raimeda Bučinskytė; 
4. Dovilė Kilty; 
5. Juozas Baikštys;
6. Urtė Baikštytė;
7. Andrius Skuja; 
8. Greta Karinauskaitė; 
9. Gabrielė Čerepokaitė; 
10. Gabija Dilytė.</t>
  </si>
  <si>
    <t>Paskatinta aukšto meistriškumo sportininkų trenerių</t>
  </si>
  <si>
    <t>Paskatinta 26 aukšto meistriškumo sportininkų treneriai.</t>
  </si>
  <si>
    <t>07.01.01.10</t>
  </si>
  <si>
    <t>Plėtoti sportininkų rengimo centrų veiklą</t>
  </si>
  <si>
    <t>Komandų, dalyvaujančių LFF A, I ir II lygos varžybose</t>
  </si>
  <si>
    <t>LFF A lygos varžybose dalyvavo vyrų futbolo komanda „FA ŠIAULIAI", o LFF I lygos varžybose dalyvavo FA „ŠIAULIAI B" ir moterų salės futbolo komanda „FA ŠIAULIAI".</t>
  </si>
  <si>
    <t>Futbolo plėtros programoje rengiamų sportininkų</t>
  </si>
  <si>
    <t>2023 metais buvo rengiami 738 futbolo sporto šakos sportininkai.</t>
  </si>
  <si>
    <t>Komandų, dalyvaujančių Regiono lygos varžybose</t>
  </si>
  <si>
    <t>Regionų krepšinio lygos varžybose dalyvavo vyrų VšĮ krepšinio akademijos „Saulė" krepšinio komanda.</t>
  </si>
  <si>
    <t>Krepšinio plėtros programoje rengiamų sportininkų</t>
  </si>
  <si>
    <t>2023 metais buvo rengiami 600 krepšinio sporto šakos sportininkai.</t>
  </si>
  <si>
    <t>07.01.01.10.01</t>
  </si>
  <si>
    <t>Įgyvendinti futbolo sporto šakos plėtros ir populiarinimo programą</t>
  </si>
  <si>
    <t>07.01.01.10.02</t>
  </si>
  <si>
    <t>Įgyvendinti krepšinio sporto šakos plėtros ir populiarinimo programą</t>
  </si>
  <si>
    <t>07.01.01.11</t>
  </si>
  <si>
    <t>Plėtoti sporto įstaigų veiklą</t>
  </si>
  <si>
    <t>Sporto įstaigose rengiamų sportininkų</t>
  </si>
  <si>
    <t>Šiaulių miesto biudžetines sporto įstaigose buvo rengiami  2845 sportininkai.</t>
  </si>
  <si>
    <t>Šiaulių miesto biudžetines sporto įstaigose buvo 52 suaugusiųjų Lietuvos rinktinių nariai.</t>
  </si>
  <si>
    <t>Šiaulių miesto biudžetines sporto įstaigose buvo 151 jaunučių, jaunių ir jaunimo Lietuvos rinktinių narys.</t>
  </si>
  <si>
    <t>07.01.01.12</t>
  </si>
  <si>
    <t>Kompensuoti tėvų atlyginimą už teikiamas sportinio rengimo paslaugas sporto įstaigose ir sportininkų rengimo centruose</t>
  </si>
  <si>
    <t>Atlyginimo lengvatą už teikiamas sportinio rengimo paslaugas gaunančių asmenų</t>
  </si>
  <si>
    <t>2023 m. atlyginimo lengvata už teikiamas sportinio rengimo paslaugas buvo suteikta 330 asmenų.</t>
  </si>
  <si>
    <t>07.01.06.</t>
  </si>
  <si>
    <t>Modernizuoti ir sukurti sporto infrastruktūrą</t>
  </si>
  <si>
    <t>07.01.06.01</t>
  </si>
  <si>
    <t>Pastatyti sporto kompleksą (futbolo ir regbio maniežą)</t>
  </si>
  <si>
    <t>Atlikta darbų</t>
  </si>
  <si>
    <t>Įvykdyta elektros įrenginių prijungimo paslauga (ESO). Paruoštas techninis projektas. Įvykdyta projekto ekspertizė. Paruošta viešojo pirkimo rangos medžiaga. Paleistas rangovo pirkimas.</t>
  </si>
  <si>
    <t>1.07.</t>
  </si>
  <si>
    <t>07.01.06.02</t>
  </si>
  <si>
    <t>Pastatyti irklavimo sporto bazę (Žvyro g. 34)</t>
  </si>
  <si>
    <t>07.01.06.03</t>
  </si>
  <si>
    <t>Suprojektuoti ir pastatyti buriavimo elingą prie Rėkyvos ežero</t>
  </si>
  <si>
    <t>Parengtas techninis projektas</t>
  </si>
  <si>
    <t>07.01.06.06</t>
  </si>
  <si>
    <t>Suremontuoti Šiaulių m. stadioną ir pastatų patalpas (S. Daukanto g. 23)</t>
  </si>
  <si>
    <t>Atlikta laiptų remonto prie Lengvosios atletikos ir sveikatingumo centro darbų</t>
  </si>
  <si>
    <t>Renovuoti laiptai prie Lengvosios atletikos ir sveikatingumo centro.</t>
  </si>
  <si>
    <t>Atlikta laistymo sistemos įrengimo darbų</t>
  </si>
  <si>
    <t>Įrengta centrinio stadiono laistymo sistema.</t>
  </si>
  <si>
    <t>07.01.06.08</t>
  </si>
  <si>
    <t>Futbolo aikščių rekonstrukcija (Kviečių g. 7A ir Kviečių g. 9)</t>
  </si>
  <si>
    <t>Atlikta apšvietimo sistemos modernizavimo darbų</t>
  </si>
  <si>
    <t>Pakeisti apšvietimo stulpai, sudėtos naujos gembės.</t>
  </si>
  <si>
    <t>07.01.06.09</t>
  </si>
  <si>
    <t>Didinti Šiaulių teniso akademijos pastato funkcionalumą</t>
  </si>
  <si>
    <t>07.01.06.10</t>
  </si>
  <si>
    <t>Atlikti Šiaulių regbio ir žolės riedulio akademijos aikštyno rekonstrukciją</t>
  </si>
  <si>
    <t>Pakloti elektros laidai numatyti apšvietimui, aptverta segmentinė tvora, pradėta rengti laistymo sistema.</t>
  </si>
  <si>
    <t>07.01.07.</t>
  </si>
  <si>
    <t>Skatinti gyventojų fizinio aktyvumo veiklas</t>
  </si>
  <si>
    <t>07.01.07.01</t>
  </si>
  <si>
    <t>Sudaryti sąlygas didinti fizinio aktyvumo renginių bei veiklų prieinamumą ir aprėptį</t>
  </si>
  <si>
    <t>Vykdytose fizinio aktyvumo veiklose dalyvaujančių dalis nuo bendro Šiaulių miesto gyventojų skaičiaus</t>
  </si>
  <si>
    <t>Pagal Šiaulių miesto sporto organizacijų pateiktus statistinius duomenis fizinio aktyvumo veiklose dalyvavo 10 424 asmenys. 2023 metais bendras Šiaulių mieste gyventojų skaičius buvo 115 160.</t>
  </si>
  <si>
    <t>Finansuotų neįgaliųjų sporto klubų</t>
  </si>
  <si>
    <t>Finansuoti neįgaliųjų sporto klubai:
1. Šiaulių miesto neįgaliųjų sporto klubas „Šiauliai";
2. Šiaulių miesto žmonių su fizine negalia sporto klubas „Entuziastas";
3. Šiaulių miesto aklųjų ir silpnaregių sporto klubas „Perkūnas".</t>
  </si>
  <si>
    <t>07.01.07.02</t>
  </si>
  <si>
    <t>Mokyti vaikus plaukti ir saugiai elgtis vandenyje ir prie vandens</t>
  </si>
  <si>
    <t>Išmokytų plaukti vaikų dalis nuo bendro 1–4 klasių mokinių skaičiaus Šiaulių miesto bendrojo ugdymo mokyklose</t>
  </si>
  <si>
    <t>Plaukimo įgūdžių pagrindai buvo suteikti 1150 mokiniams. Švietimo skyriaus duomenimis Šiaulių mieste mokėsi 4823 1-4 klasių mokiniai.</t>
  </si>
  <si>
    <t>08.</t>
  </si>
  <si>
    <t>Švietimo prieinamumo ir kokybės užtikrinimo programa</t>
  </si>
  <si>
    <t>08.01.</t>
  </si>
  <si>
    <t>Plėtoti inovatyvią švietimo sistemą, ugdančią aktyvią ir kūrybingą asmenybę</t>
  </si>
  <si>
    <t>Sudarytos sąlygos kokybiškam ugdymo procesui</t>
  </si>
  <si>
    <t>Užtikrinta švietimo pagalba kiekvienam mokiniui</t>
  </si>
  <si>
    <t>08.01.01.</t>
  </si>
  <si>
    <t>Gerinti švietimo prieinamumą ir pristatyti švietimo veiklą</t>
  </si>
  <si>
    <t>08.01.01.01</t>
  </si>
  <si>
    <t>Atstovauti miestui, pristatyti švietimo veiklą, organizuoti renginius</t>
  </si>
  <si>
    <t>Tradicinių mokytojų ir mokinių renginių</t>
  </si>
  <si>
    <t>Apdovanotų olimpiadų nugalėtojų</t>
  </si>
  <si>
    <t>Įteikta premijų ,,Metų mokytojas“</t>
  </si>
  <si>
    <t>Mokytojo dienos proga įteiktos metų mokytojo premijos dešimčiai geriausių miesto mokytojų.</t>
  </si>
  <si>
    <t>Vieną ir daugiau 100 balų įvertinimą gavusių mokinių</t>
  </si>
  <si>
    <t>Šešiasdešimt šešiems vieną ir daugiau šimto balų įvertinimą gavusiems abiturientams įteiktos  Šiaulių miesto savivaldybės premijos.</t>
  </si>
  <si>
    <t>Švietimo lyderystės ir pagalbos programų dalyvių</t>
  </si>
  <si>
    <t>Pirmoko krepšelį gavusių mokinių</t>
  </si>
  <si>
    <t>Neformaliojo švietimo mokyklų, kuriose atliktas išorės vertinimas</t>
  </si>
  <si>
    <t>08.01.01.02</t>
  </si>
  <si>
    <t>Užtikrinti skaitmeninę plėtrą bendrojo ugdymo mokyklose</t>
  </si>
  <si>
    <t>Sukurtos skaitmeninės mokymosi aplinkos, naudojamos skaitmeninės mokymo priemonės mokyklose</t>
  </si>
  <si>
    <t>Atnaujinamos skaitmeninės mokymosi aplinkos ir įsigyjamos priemonės  bendrojo ugdymo mokyklose.</t>
  </si>
  <si>
    <t>Esamos aplinkos</t>
  </si>
  <si>
    <t>08.01.01.03</t>
  </si>
  <si>
    <t>Užtikrinti švietimo elektroninės apskaitos ir registracijos sistemų funkcionavimą</t>
  </si>
  <si>
    <t>Įstaigų objektų, kuriuose įdiegta ir atnaujinta veikianti apskaitos sistema</t>
  </si>
  <si>
    <t>Apmokamos sąskaitos už sistemų priežiūrą.</t>
  </si>
  <si>
    <t>Nevalstybinių švietimo įstaigų ir laisvųjų mokytojų įgyvendinamų neformaliojo vaikų švietimo programų</t>
  </si>
  <si>
    <t>Veikianti priėmimo į bendrojo ugdymo mokyklas sistema</t>
  </si>
  <si>
    <t>Sukurta ir veikia priėmimo į bendrojo ugdymo mokyklas sistema.</t>
  </si>
  <si>
    <t>Veikianti priėmimo į ikimokyklinio ugdymo įstaigas sistema</t>
  </si>
  <si>
    <t>Sistema skirta registruoti vaikų priėmimą į Šiaulių miesto lopšelius-darželius.</t>
  </si>
  <si>
    <t>Sukurta ir veikianti priėmimo į neformaliojo švietimo mokyklas sistema</t>
  </si>
  <si>
    <t>Veikianti SKU modelio apskaitos sistema</t>
  </si>
  <si>
    <t>08.01.01.05</t>
  </si>
  <si>
    <t>Vykdyti Šiaulių miesto savivaldybės, jos teritorijoje veikiančių aukštųjų mokyklų, Šiaulių technologijų mokymo centro, verslo įmonių ir švietimo įstaigų bendradarbiavimo programas</t>
  </si>
  <si>
    <t>STEAM ir STEAM JUNIOR programos grupių</t>
  </si>
  <si>
    <t>Įvykdyti programų konkursai, sudarytos sutartys programų įgyvendinimui: STEAM+ (1 sutartis), STEAM (31 sutartis, 70 grupių), STEAM JUNIOR (12 sutarčių, 55 grupės)</t>
  </si>
  <si>
    <t>INOSTART programų</t>
  </si>
  <si>
    <t>Pasirašytos 3 sutartys su ŠVK INOSTART programų įgyvendinimui.</t>
  </si>
  <si>
    <t>Inžinerijos ir informatikos mokslų krypties studijų Šiaulių mieste parama kviestiniams dėstytojams, skatinamųjų stipendijų</t>
  </si>
  <si>
    <t>Finansuojami inžinerijos ir informatikos mokslų krypties studijų kviestinių dėstytojų vizitai į aukštąsias mokyklas.</t>
  </si>
  <si>
    <t>Pritaikytų erdvių integruotam gamtos mokslų ugdymui ir Šiaulių miesto bendruomenės švietimui programų</t>
  </si>
  <si>
    <t>Vykdoma programa ,,Gamtos laboratorija Šiauliuose“.</t>
  </si>
  <si>
    <t>Viešųjų ryšių akcijos „Šiauliai – sėkmingos karjeros miestas“ priemonių</t>
  </si>
  <si>
    <t>Studentų, kuriems skirta studijų parama</t>
  </si>
  <si>
    <t>STEAM renginių ir varžybų</t>
  </si>
  <si>
    <t>Organizuojamos respublikinės robotikos varžybos ir tarptautinė STEAM konferencija.</t>
  </si>
  <si>
    <t>Įgyvendinta ankstyvojo profesinio informavimo programa "OPA" pradinių klasių mokiniams</t>
  </si>
  <si>
    <t>žm.</t>
  </si>
  <si>
    <t>Pasirašyta sutartis ir patvirtintas tvarkaraštis.</t>
  </si>
  <si>
    <t>Įgyvendinta  Tarpinstitucinio bendradarbiavimo žmogiškųjų išteklių plėtros programa</t>
  </si>
  <si>
    <t>Vykdytos komunikacijos kampanijos, skatinančios karjerai rinktis Šiaulius, sukūrimas ir įgyvendinimas; platformos „Karjera Šiauliuose“ sukūrimas;
renginių, pristatančių profesijas, miesto įmonėse kuriančias aukštą pridėtinę vertę, moksleiviams ir jų tėvams organizavimas;
viešų diskusijų, kviečiant verslo įmones ir mokymo įstaigas aptarti, kaip verslas galėtų prisidėti prie aktualių studijų/mokymo programų rėmimo, organizavimas</t>
  </si>
  <si>
    <t>Įgyvendinta technologijų pamokų programa ŠTMC</t>
  </si>
  <si>
    <t>Bendrojo ugdymo mokyklų mokinių technologijų pamokų organizavimas Šiaulių technologijų mokymo centro laboratorijose.</t>
  </si>
  <si>
    <t>Įgyvendintų aukštųjų mokyklų bendradarbiavimo programų</t>
  </si>
  <si>
    <t>Įgyvendinama 1 programa, kuriai skirtos lėšos.</t>
  </si>
  <si>
    <t>08.01.01.06</t>
  </si>
  <si>
    <t>Vykdyti suaugusiųjų neformaliojo švietimo programas</t>
  </si>
  <si>
    <t>Įgyvendinamų programų</t>
  </si>
  <si>
    <t>2023m. vykdytos neformaliojo suaugusiųjų švietimo programos: VšĮ Edukaciniai projektai - „Aš taip pat esu ECO“, VšĮ Šiaulių Trečiojo amžiaus universitetas - „Turizmo ir kraštotyros fakultetas“ ir „Vyresnio amžiaus asmenų pilietiškumo ugdymas“, Asociacija Naujasis Šiaulių trečiojo amžiaus universitetas - „Kelias į aktyvią senatvę“ NŠTAU Sveikatos, Maisto mokslo fakultetų jungtinė programa“, Šiaulių valstybinė kolegija - „Išmaniojo, skaitmeninio ir medijų raštingumo pagrindai suaugusiesiems asmenims ir senjorams“, VšĮ Šiaurės Lietuvos kolegija - „Medijų ir informacinio raštingumo gebėjimų tobulinimas 55+ šiauliečiams: efektyvesnis ir saugesnis gyvenimas“, Šiaulių jaunųjų gamtininkų centras - „EKO sąmoningumo stovykla“, VšĮ Žmogiškųjų išteklių stebėsenos ir plėtros biuras - „Suaugusiųjų kompiuterinio raštingumo ir informacinių technologijų įgūdžių ugdymas stiprinant integraciją į visuomenę, atsparumą dezinformacijai ir kibernetinį saugumą“, Šiaulių apskrities Povilo Višinskio viešosios biblioteka - „Suaugusiųjų ekologinio sąmoningumo ugdymas per patyriminį gamtos ir aplinkos pažinimą“ ir „Medijų ir informacinio raštingumo kompetencijų ugdymo programa TAU studentams“.</t>
  </si>
  <si>
    <t>08.01.01.07</t>
  </si>
  <si>
    <t>Užtikrinti Šiaulių miesto reprezentacinių renginių organizavimą</t>
  </si>
  <si>
    <t>Suorganizuotų reprezentacinių renginių</t>
  </si>
  <si>
    <t>Įvyko krikščioniškų šeimų šventė ir Lengvosios atletikos ir sveikatingumo centro organizuotas renginys „Runway Run“, Šiaulių valstybinės kolegijos ruoštas renginys „Tavo PIN kodas“, Šiaulių prekybos, pramonės ir amatų rūmų organizuotas renginys „Šiauliai Smart“, Kultūros centro - „Aušrinė žvaigždė“.</t>
  </si>
  <si>
    <t>08.01.03.</t>
  </si>
  <si>
    <t>Sudaryti sąlygas kokybiškam ugdymo procesui</t>
  </si>
  <si>
    <t>08.01.03.01</t>
  </si>
  <si>
    <t>Užtikrinti švietimo įstaigų veiklą (ML 98% + SB)</t>
  </si>
  <si>
    <t>Bendrojo ugdymo mokyklų</t>
  </si>
  <si>
    <t>Ugdymui ir ugdymo aplinkai skirtų lėšų įsisavinimas bendrojo ugdymo mokyklose.</t>
  </si>
  <si>
    <t>Miesto bendrojo ugdymo mokyklose mokinių</t>
  </si>
  <si>
    <t>Veikiantis Švietimo centras</t>
  </si>
  <si>
    <t>Suformatuotų, atspausdintų ir išduotų naujų elektroninių mokinio pažymėjimų</t>
  </si>
  <si>
    <t>Dalyvavusių pedagogų mokymuose dirbti informacinėmis technologijomis, asmeninių ir profesinių gebėjimų kursuose</t>
  </si>
  <si>
    <t>Tarnyba, teikianti pedagoginę psichologinę pagalbą vaikams ir mokiniams</t>
  </si>
  <si>
    <t>1.03.</t>
  </si>
  <si>
    <t>Įstaigų, kuriose įsteigti karjeros specialisto etatai</t>
  </si>
  <si>
    <t>Vidutiniškai vienam mokiniui tenkantis plotas</t>
  </si>
  <si>
    <t>Mokinių, dalyvaujančių ,,Kultūros krepšelio“ edukaciniuose užsiėmimuose Šiaulių regiono muziejuose ir kitose kultūros įstaigose</t>
  </si>
  <si>
    <t>Mokinių, lankančių IT, robotikos, inžinerijos neformaliojo ugdymo būrelius, dalis nuo bendro mokinių skaičiaus</t>
  </si>
  <si>
    <t>08.01.03.02</t>
  </si>
  <si>
    <t>Tenkinti mokymo reikmes (ML  2% )</t>
  </si>
  <si>
    <t>Ikimokyklinio ir bendrojo ugdymo mokyklų, kuriose tenkinamos ugdymo reikmės</t>
  </si>
  <si>
    <t>Mokyklų, įdiegusių socialinių kompetencijų ugdymo modelį</t>
  </si>
  <si>
    <t>08.01.03.02.01</t>
  </si>
  <si>
    <t>Organizuoti ir vykdyti mokymosi pasiekimų patikrinimą (ML 2%)</t>
  </si>
  <si>
    <t>Egzaminų vykdytojų ir vertintojų</t>
  </si>
  <si>
    <t>08.01.03.02.02</t>
  </si>
  <si>
    <t>Užtikrinti ugdymo finansavimo poreikių skirtumo sumažimą (ML 2%)</t>
  </si>
  <si>
    <t>Ikimokyklinio ir bendrojo ugdymo mokyklų, kuriose mažinami ugdymo finansavimo poreikių skirtumai</t>
  </si>
  <si>
    <t>Skiriamos lėšos pedagoginių darbuotojų pareiginės algos pastoviosios dalies koeficientų skirtumams mokyklose išlyginti, ikimokyklinio, priešmokyklinio ir bendrojo ugdymo kokybei ir prieinamumui užtikrinti (tarp jų ir mokyti namuose), ikimokyklinio ir priešmokyklinio ugdymo formų įvairovei diegti.</t>
  </si>
  <si>
    <t>08.01.03.03</t>
  </si>
  <si>
    <t>Organizuoti mokinių vežimą</t>
  </si>
  <si>
    <t>Mokinių, kuriems kompensuojamas važiavimas į mokyklą</t>
  </si>
  <si>
    <t>Kompensuojamos ne Šiaulių miesto savivaldybės teritorijoje gyvenančių mokinių išlaidos už važiavimą į (iš) mokyklą.</t>
  </si>
  <si>
    <t>08.01.03.04</t>
  </si>
  <si>
    <t>Užtikrinti viešųjų įstaigų, įgyvendinančių bendrąsias ir specialiąsias ugdymo programas bei nevalstybinių tradicinių religinių bendruomenių ir bendrijų mokyklų veiklą (ML 98 % + SB)</t>
  </si>
  <si>
    <t>VšĮ ugdymo įstaigų (,,Smalsieji pabiručiai“ ir Šiaulių jėzuitų mokykla)</t>
  </si>
  <si>
    <t>Nevalstybinių tradicinių religinių bendruomenių ir bendrijų mokyklų</t>
  </si>
  <si>
    <t>08.01.03.04.01</t>
  </si>
  <si>
    <t>Finansuoti VšĮ Šiaulių jėzuitų mokyklą</t>
  </si>
  <si>
    <t>Viešųjų įstaigų</t>
  </si>
  <si>
    <t>08.01.03.04.02</t>
  </si>
  <si>
    <t>Finansuoti VšĮ „Smalsieji pabiručiai“</t>
  </si>
  <si>
    <t>08.01.03.04.03</t>
  </si>
  <si>
    <t>Finansuoti nevalstybines tradicinių religinių bendruomenių ir bendrijų mokyklas</t>
  </si>
  <si>
    <t>08.01.03.05</t>
  </si>
  <si>
    <t>Įgyvendinti projektą „Gerinti mokinių pasiekimus diegiant kokybės krepšelį“</t>
  </si>
  <si>
    <t>Projekte dalyvaujančių mokyklų</t>
  </si>
  <si>
    <t>Projektas įgyvendinamas šešiose miesto mokyklose: ,,Santarvės“, ,,Saulėtekio“, Stasio Šalkauskio gimnazijose ir ,,Rasos“, Salduvės, Vinco Kudirkos progimnazijose.</t>
  </si>
  <si>
    <t>08.01.03.06</t>
  </si>
  <si>
    <t>Vykdyti neformaliojo vaikų švietimo programas</t>
  </si>
  <si>
    <t>Neformaliojo vaikų švietimo mokyklų</t>
  </si>
  <si>
    <t>Ugdymui ir ugdymo aplinkai skirtų lėšų įsisavinimas vaikų neformaliojo švietimo mokyklose.</t>
  </si>
  <si>
    <t>Vaikų, lankančių neformaliojo vaikų švietimo mokyklas</t>
  </si>
  <si>
    <t>FŠPU dalyvaujančių 1-12 klasių mokinių</t>
  </si>
  <si>
    <t>08.01.03.07</t>
  </si>
  <si>
    <t>Užtikrinti neformaliojo vaikų švietimo teikėjų programų vykdymą (ŠMSM - 15 Eur/mėn.)</t>
  </si>
  <si>
    <t>Neformaliojo vaikų švietimo programų</t>
  </si>
  <si>
    <t>Neformaliojo vaikų švietimo teikėjų</t>
  </si>
  <si>
    <t>Nevalstybinių švietimo įstaigų ir laisvųjų mokytojų įgyvendinamų neformaliojo vaikų švietimo programas lankančių vaikų</t>
  </si>
  <si>
    <t>Ugdymui skirtų lėšų įsisavinimas nevalstybinėse švietimo įstaigose ir laisvųjų mokytojų vykdomose neformaliojo vaikų švietimo programose.</t>
  </si>
  <si>
    <t>08.01.03.08</t>
  </si>
  <si>
    <t>Kompensuoti tėvų atlyginimą už neformalųjį vaikų švietimą savivaldybės įstaigose</t>
  </si>
  <si>
    <t>Atlyginimo lengvatą už neformalųjį vaikų švietimą  gaunančių vaikų</t>
  </si>
  <si>
    <t>Kompensuojamas tėvų atlyginimas už  neformalųjį vaikų švietimą savivaldybės įstaigose.</t>
  </si>
  <si>
    <t>08.01.03.09</t>
  </si>
  <si>
    <t>Užtikrinti ikimokyklinį ir priešmokyklinį ugdymą</t>
  </si>
  <si>
    <t>Ikimokyklinio ugdymo įstaigų</t>
  </si>
  <si>
    <t>Ugdymui ir ugdymo aplinkai skirtų lėšų įsisavinimas ikimokyklinio ugdymo įstaigose.</t>
  </si>
  <si>
    <t>Pagal ikimokyklinę programą ugdomų vaikų</t>
  </si>
  <si>
    <t>Mokyklų ikimokyklinio ugdymo skyrių</t>
  </si>
  <si>
    <t>08.01.03.10</t>
  </si>
  <si>
    <t>Kompensuoti tėvų atlyginimą už vaiko išlaikymą įstaigoje</t>
  </si>
  <si>
    <t>Ikimokyklinio ugdymo įstaigose lengvatas gaunančių vaikų</t>
  </si>
  <si>
    <t>Kompensuojamas tėvų atlyginimas už vaiko išlaikymą ikimokyklinėje įstaigoje.</t>
  </si>
  <si>
    <t>08.01.03.11</t>
  </si>
  <si>
    <t>Užtikrinti ikimokyklinio ugdymo programų įgyvendinimą Šiaulių miesto nevalstybinėse švietimo įstaigose (70 Eur/mėn.)</t>
  </si>
  <si>
    <t>Nevalstybines švietimo įstaigas, įgyvendinančias ikimokyklinio ugdymo programas, lankančių ugdytinių</t>
  </si>
  <si>
    <t>Finansuojamos ikimokyklinio ugdymo programos, kurias įgyvendina Šiaulių miesto nevalstybinės švietimo įstaigos.</t>
  </si>
  <si>
    <t>08.01.03.12</t>
  </si>
  <si>
    <t>Finansuoti ikimokyklinio ir priešmokyklinio ugdymo programas vykdančias viešąsias įstaigas</t>
  </si>
  <si>
    <t>08.01.03.12.01</t>
  </si>
  <si>
    <t>Finansuoti VšĮ „Garso servisas“</t>
  </si>
  <si>
    <t>08.01.03.12.02</t>
  </si>
  <si>
    <t>Finansuoti VšĮ „Mažieji šnekoriai“</t>
  </si>
  <si>
    <t>08.01.03.12.03</t>
  </si>
  <si>
    <t>Finansuoti VšĮ „Mūsų kiemelis“</t>
  </si>
  <si>
    <t>08.01.03.12.04</t>
  </si>
  <si>
    <t>Finansuoti VšĮ Šiaulių Valdorfo darželio-mokyklos bendruomenė</t>
  </si>
  <si>
    <t>08.01.03.12.05</t>
  </si>
  <si>
    <t>Finansuoti VšĮ „Kiškių miškas“</t>
  </si>
  <si>
    <t>08.01.03.13</t>
  </si>
  <si>
    <t>Įgyvendinti vaikų ir jaunimo vasaros užimtumo programas</t>
  </si>
  <si>
    <t>Vasaros užimtumo programose dalyvaujančių vaikų</t>
  </si>
  <si>
    <t>Finansuojamos vaikų ir jaunimo poilsio stovyklos.</t>
  </si>
  <si>
    <t>08.01.03.14</t>
  </si>
  <si>
    <t>Švietimo pagalbos užtikrinimas švietimo įstaigose</t>
  </si>
  <si>
    <t>Specialiųjų ugdymosi poreikių turinčių mokinių, kuriems teikiama švietimo pagalba</t>
  </si>
  <si>
    <t>Lėšos skiriamos švietimo pagalbos specialisto pareigybei išlaikyti mokykloms, kurioms nepakanka mokymo lėšų skiriamų iš valstybės biudžeto.</t>
  </si>
  <si>
    <t>08.01.03.15</t>
  </si>
  <si>
    <t>Užtikrinti profesinio orientavimo paslaugų teikimą Šiaulių miesto bendrojo ugdymo mokyklose</t>
  </si>
  <si>
    <t>Mokyklų, kuriose dirba karjeros specialistai</t>
  </si>
  <si>
    <t>Lėšos skiriamos karjeros specialistų pareigybių išlaikymui bendrojo ugdymo mokyklose.</t>
  </si>
  <si>
    <t>Karjeros specialistų etatų mokyklose</t>
  </si>
  <si>
    <t>08.01.03.16</t>
  </si>
  <si>
    <t>Aprūpinti Šiaulių miesto bendrojo ugdymo mokyklas mokymosi priemonėmis</t>
  </si>
  <si>
    <t>Mokyklų , kurioms skirtos lėšos priemonėms  įsigyti</t>
  </si>
  <si>
    <t>Bendrojo ugdymo mokykloms skiriamos lėšos mokymo priemonių įsigijimui.</t>
  </si>
  <si>
    <t>08.01.03.17</t>
  </si>
  <si>
    <t>„Įgyvendinti projektą „Atvirų klasių sukūrimas Šiaulių Vinco Kudirkos progimnazijoje“</t>
  </si>
  <si>
    <t>Mokytojai dirbantys su mokiniais turinčiais didelių specialių ugdymosi poreikių</t>
  </si>
  <si>
    <t>2023 m. lapkričio 6 d. pasirašyta finansavimo sutartis. 2023 m. spalio mėn. buvo įdarbinta viena mokytojo padėjėja (1 etato) bei specialioji pedagoge/antrasis mokytojas (1 etato) darbui su SUP vaikais.  Lapkričio ir gruodžio mėn. dirbo dvi mokytojos padėjėjos ir viena specialioji pedagogė/antrasis mokytojas su SUP vaikais</t>
  </si>
  <si>
    <t>08.05.</t>
  </si>
  <si>
    <t>Gerinti ugdymo sąlygas ir aplinką</t>
  </si>
  <si>
    <t>Įstaigų objektų, kuriuose atnaujintos arba iš dalies atnaujintos aplinkos</t>
  </si>
  <si>
    <t>08.05.02.</t>
  </si>
  <si>
    <t>Atnaujinti ir modernizuoti švietimo įstaigų ugdymo aplinką</t>
  </si>
  <si>
    <t>08.05.02.08</t>
  </si>
  <si>
    <t>Įgyvendinti projektą „Šiaulių Sporto gimnazijos (Vilniaus g. 297) modernizavimas“</t>
  </si>
  <si>
    <t>Atlikti išorės sienų šiltinimo darbai</t>
  </si>
  <si>
    <t>08.05.02.09</t>
  </si>
  <si>
    <t>Įgyvendinti projektą „Santarvės gimnazijos rekonstravimas“</t>
  </si>
  <si>
    <t>Atlikta planuotų pastato remonto darbų</t>
  </si>
  <si>
    <t>08.05.02.16</t>
  </si>
  <si>
    <t>Rekonstruoti miesto gimnazijų ir mokyklų sporto aikštynus</t>
  </si>
  <si>
    <t>Atlikti "Rasos" progimnazijos sporto aikštyno atnaujinimo rangos darbai</t>
  </si>
  <si>
    <t>Atlikti Gytarių progimnazijos sporto aikštyno atnaujinimo rangos darbai</t>
  </si>
  <si>
    <t>Atlikti ,,Saulėtekio“ gimnazijos sporto aikštyno atnaujinimo darbai</t>
  </si>
  <si>
    <t>08.05.02.22</t>
  </si>
  <si>
    <t>Įgyvendinti projektą „Rėkyvos progimnazijos rekonstrukcija ir aplinkos gerinimas“</t>
  </si>
  <si>
    <t>Atlikta planuotų mokyklos rekonstravimo darbų</t>
  </si>
  <si>
    <t>Atlikti beveik visi objekto rekonstravimo fiziniai rangos darbai. Dėl pasikeitusių teisės aktų, likusi dalis statybos rangos darbų bus atlikta 2024 m.</t>
  </si>
  <si>
    <t>08.05.02.23</t>
  </si>
  <si>
    <t>Tvarkyti švietimo įstaigų teritorijų dangas ir įvažiavimus</t>
  </si>
  <si>
    <t>Švietimo įstaigų, kuriose atnaujintos teritorijų dangos ir įvažiavimai (l/d „Pasaka“, Lieporių gimnazija, l/d „Dainelė“, "Bitė", "Sigutė", P. Avižonio ugd. centras, "Dermės" mokykla, "Santakos" ugd. centras, "Ringuvos" mokykla, ir kt.)</t>
  </si>
  <si>
    <t>08.05.02.24</t>
  </si>
  <si>
    <t>Atnaujinti švietimo įstaigų teritorijų lauko įrenginius ir aptvėrimą</t>
  </si>
  <si>
    <t>Švietimo įstaigų, kuriose atnaujinti lauko įrenginiai ir aptvertos teritorijos (Gegužių, Rėkyvos, "Juventos" progimnazijos ir kt.)</t>
  </si>
  <si>
    <t>Atliktas sulaikytas mokėjimas už atnaujintą lauko apšvietimą švietimo įstaigose: l/d „Pasaka“, Centro pradinė mokykla, l/d „Berželis“, l/d ,„Vaikystė“, l/d ,,Trys nykštukai“, l/d ,,Žiogelis“.
IV ketvirtis. Įrengtas kiemo apšvietimas l/d ,„Vaikystė“, l/d ,,Kregždutė“, l/d ,,Ąžuoliukas“ II korpuse, Rasos progimnazijos ikimokyklinio ugdymo skyriuje.</t>
  </si>
  <si>
    <t>08.05.02.31</t>
  </si>
  <si>
    <t>Atnaujinti švietimo įstaigų pastatus, patalpas, įrangą ir komunikacijas</t>
  </si>
  <si>
    <t>Atnaujinta vėdinimo sistema ir lauko laiptai (Gytarių progimnazija)</t>
  </si>
  <si>
    <t>Įstaigų, kuriose atnaujinti arba suremontuoti stogai („Dagilėlio“ dainavimo mokykla, Juliaus Janonio gimnazija, Dailės mokykla, Dainų muzikos mokykla ir kt.)</t>
  </si>
  <si>
    <t>08.05.02.41</t>
  </si>
  <si>
    <t>Įgyvendinti projektą „Didždvario gimnazijos pastato remontas“</t>
  </si>
  <si>
    <t>Atlikta planuotų gimnazijos remonto darbų</t>
  </si>
  <si>
    <t>08.05.02.52</t>
  </si>
  <si>
    <t>Įgyvendinti projektą „Šiaulių Didždvario gimnazijos ir Šiaulių „Juventos“ progimnazijos ugdymo aplinkos modernizavimas“</t>
  </si>
  <si>
    <t>Parengti GMP dokumentai.</t>
  </si>
  <si>
    <t>Įsigyta įranga ir baldai</t>
  </si>
  <si>
    <t>Visos prekės pristatytos iki 2023 m. gruodžio mėn. pabaigos</t>
  </si>
  <si>
    <t>08.05.02.53</t>
  </si>
  <si>
    <t>Įgyvendinti projektą „Lopšelio darželio „Kregždutė" modernizavimas“</t>
  </si>
  <si>
    <t>Įvykdyti visi planuoti pirkimai, pristatytos visos nupirktos prekės, paruošti galutinio mokėjimo prašymo dokumentai. SB likutis buvo naudojamas kaip apyvartinės lėšos. Gavus paramos lėšas išlaidos atstatytos, todėl matomos kaip nepanaudotos.</t>
  </si>
  <si>
    <t>08.05.02.60</t>
  </si>
  <si>
    <t>Įgyvendinti švietimo įstaigų modernizavimo projektą</t>
  </si>
  <si>
    <t>Įrengti liftai ir kitas pritaikymas neįgaliesiems švietimo įstaigose</t>
  </si>
  <si>
    <t>Įdiegtos hibridinės klasės bendrojo ugdymo mokyklose</t>
  </si>
  <si>
    <t>Įdiegta kondicionavimo įranga ikimokyklinio ugdymo įstaigose</t>
  </si>
  <si>
    <t>Švietimo įstaigose įrengtų saulės elektrinių</t>
  </si>
  <si>
    <t>08.05.02.60.01</t>
  </si>
  <si>
    <t>Gerinti švietimo paslaugų prieinamumą ir kokybę</t>
  </si>
  <si>
    <t>Salduvės progimnazijoje vykdomi grunto ekspertizės darbai. ,,Romuvos“ progimnazijoje neįvyko per CPO organizuoti viešieji pirkimai.
IV ketvirtis: ,,Romuvos“ progimnazijoje atlikta 50 proc. lifto rangos darbų, parengti Ragainės ir Salduvės progimnazijų liftų projektai.</t>
  </si>
  <si>
    <t>08.05.02.60.02</t>
  </si>
  <si>
    <t>Atsinaujinančių energijos išteklių panaudojimas Šiaulių miesto švietimo įstaigose (saulės elektrinių įrengimas)</t>
  </si>
  <si>
    <t>10 švietimo įstaigų įvykdė rangos darbus, mokėjimo prašymai patvirtinti, įstaigos gavo paramos lėšas ir atliko apmokėjimus.</t>
  </si>
  <si>
    <t>08.05.02.61</t>
  </si>
  <si>
    <t>Įgyvendinti projektą „Savivaldybės viešųjų pastatų atnaujinimui teikiamų subsidijų panaudojimas“</t>
  </si>
  <si>
    <t>Atnaujinta (modernizuota) savivaldybės viešųjų pastatų</t>
  </si>
  <si>
    <t>Rangos darbai baigti ir projektai baigti įgyvendinti: Centro pradinės mokyklos, Menų mokyklos (Krymo g. 32), Sporto gimnazijos mokyklos pastato ir lopšelio-darželio "Žiogelis" pastatų atnaujinimas. 
Spalio mėn. sudarytos sutartys dėl darbų atlikimo Šiaulių lopšeliuose-darželiuose „Salduvė“ ir „Pelėdžiukas“ (buvęs „Žiburėlis“), darbų vykdymas persikelia į 2024 metus.</t>
  </si>
  <si>
    <t>08.05.02.62</t>
  </si>
  <si>
    <t>Užtikrinti švietimo įstaigų pastatų ir vidaus patalpų avarinių situacijų šalinimą</t>
  </si>
  <si>
    <t>Pašalintos vidaus ir išorės pastatų, lauko aplinkos avarinės situacijos švietimo įstaigose</t>
  </si>
  <si>
    <t>Pasirašytas papildomas susitarimas su Šiaulių universitetine gimnazija. Keičiama sutarties suma.</t>
  </si>
  <si>
    <t>08.05.02.64</t>
  </si>
  <si>
    <t>Atnaujinti mokyklų sporto sales</t>
  </si>
  <si>
    <t>Suremontuotų  sporto salių (ir pagalbinių patalpų) švietimo įstaigose (V. Kudirkos,  Gegužių, Gytarių, Jovaro , Zoknių, "Romuvos" progimnazijų, "Romuvos", Šiaulių universitetinės, S. Daukanto inžinerinės, S. Šalkauskio, "Santarvės" gimnazijų, "Ringuvos" mokyklos ir kt.)</t>
  </si>
  <si>
    <t>08.05.02.65</t>
  </si>
  <si>
    <t>Atnaujinti Šiaulių jaunųjų gamtininkų centrą (Žuvininkų g.30)</t>
  </si>
  <si>
    <t>Parengtas projektas</t>
  </si>
  <si>
    <t>08.05.02.66</t>
  </si>
  <si>
    <t>Įrengti edukacines erdves bendrojo ugdymo mokyklose, plėtojant visos dienos mokyklos veiklas</t>
  </si>
  <si>
    <t>08.05.02.67</t>
  </si>
  <si>
    <t>Didinti ikimokyklinio ugdymo paslaugų prieinamumą, pritaikant ikimokykliniam ugdymui pastatą adresu Pabalių g. 53</t>
  </si>
  <si>
    <t>Sukurtų naujų ikimokyklinio ugdymo vietų</t>
  </si>
  <si>
    <t>08.05.02.68</t>
  </si>
  <si>
    <t>Įgyvendinti bendrojo ugdymo mokyklų projektą ,,Tūkstantmečio mokyklos I“</t>
  </si>
  <si>
    <t>Įgyvendintos ugdymo kokybę gerinančios priemonės Šiaulių universitetinėje ir S. Šalkauskio gimnazijose, Gytarių, Ragainės ir Salduvės progimnazijose</t>
  </si>
  <si>
    <t>Įdarbinti veiklų koordinatoriai ŠMSA, koordinatoriai mokyklose. Mokyklos sudarė įvairias paslaugų ir prekių tiekimo sutartis. Atlikti mokėjimai įstaigoms patiriamoms išlaidoms apmokėti.</t>
  </si>
  <si>
    <t>Įsigyti baldai, įranga ir mokymo priemonės Šiaulių universitetinėje ir S. Šalkauskio gimnazijose, Gytarių, Ragainės ir Salduvės progimnazijose</t>
  </si>
  <si>
    <t>Įsigyti tie baldai  ir priemonės, kurie gali būti naudojami mokyklose neatlikus rangos darbų (pvz. kompiuterinė įranga, sėdmaišiai, muzikos instrumentai ir kt.).</t>
  </si>
  <si>
    <t>09.</t>
  </si>
  <si>
    <t>Bendruomenės sveikatinimo programa</t>
  </si>
  <si>
    <t>09.01.</t>
  </si>
  <si>
    <t>Sudaryti palankias sąlygas miesto bendruomenei sveikatinti ir gerinti sveikatos priežiūros paslaugų kokybę ir prieinamumą</t>
  </si>
  <si>
    <t>Asmenų sergamumas, tenkantis 1000 savivaldybės gyventojų, skaičiaus pokytis per metus</t>
  </si>
  <si>
    <t>09.01.01.</t>
  </si>
  <si>
    <t>Modernizuoti sveikatos priežiūros įstaigų infrastruktūrą</t>
  </si>
  <si>
    <t>09.01.01.02</t>
  </si>
  <si>
    <t>Modernizuoti VšĮ Šiaulių reabilitacijos centro pastatą</t>
  </si>
  <si>
    <t>Atlikta rekuperavimo ir kondicionavimo sistemos įrengimo darbų</t>
  </si>
  <si>
    <t>09.01.01.05</t>
  </si>
  <si>
    <t>Įgyvendinti projektą „Energetinių charakteristikų gerinimas VšĮ Dainų pirminės sveikatos priežiūros centre"</t>
  </si>
  <si>
    <t>2023-06-19 sudaryta rangos darbų sutartis Nr. SŽ-1112, nuo 2023-07-11 vykdomi darbai</t>
  </si>
  <si>
    <t>Parengta atnaujinimo (modernizavimo) techninė dokumentacija</t>
  </si>
  <si>
    <t>Įsigyta medicininė įranga</t>
  </si>
  <si>
    <t>Įsigyta medicininė įranga: medicininių (chirurginių) instrumentų automatinio plovimo ir terminio dezinfekavimo mašina.</t>
  </si>
  <si>
    <t>09.01.01.11</t>
  </si>
  <si>
    <t>Įgyvendinti projektą „VšĮ Šiaulių ilgalaikio gydymo ir geriatrijos centro pastatų rekonstravimas, aktyvios ventiliacijos įrengimas, kiemo gerbūvio sutvarkymas ir maisto gamybos skyriaus modernizavimas"</t>
  </si>
  <si>
    <t>Atlikta naujojo korpuso dalies rekuperavimo ir kondicionavimo sistemos įrengimo darbų</t>
  </si>
  <si>
    <t>Baigti senojo korpuso ventiliacijos sistemos įrengimo darbai pagal 2022-06-30 Statybos darbų rangos sutartį Nr. SŽ-1060. 2023 m. III-IV ketv. įrengiama naujo korpuso 1.2. skyriaus ventiliacija ir modernizuojamas šiluminis mazgas. Vėdinimo ir oro kondicionavimo įrengimo darbų pirkimas inicijuotas. II ketvirtį įvyko 2 konkursai.
Pirmame konkurse rangovas buvo atmestas vadovaujantis LR Viešųjų pirkimų įstatymo 45 str. 1 p. 4 pap. Antro konkurso vokai su pasiūlymais atplėšti 2023 m. birželio 28 d. Pasiūlymus pateikė 2 rangovai. Tikrinami pateikti dokumentai. Planuojamas sutarties pasirašymas liepos mėn.
III ketv. pasirašyta sutartis, darbai vykdomi.
IV ketv. darbų vėlavimas, tęsiami 2024 m.</t>
  </si>
  <si>
    <t>09.01.01.13</t>
  </si>
  <si>
    <t>Modernizuoti VšĮ Šiaulių centro polikliniką</t>
  </si>
  <si>
    <t>Atlikta vidaus patalpų ir odontologinės įrangos atnaujinimo darbų</t>
  </si>
  <si>
    <t>Skaitmeninės rentgeno diagnostinės sistemos įsigijimas pagal 2023-02-06 Viešojo pirkimo-pardavimo sutartį Nr. SŽ-133.
Planuojami vidaus patalpų ir odontologinės įrangos atnaujinimo darbai. Pirkimai inicijuoti ir vykdomi. 
III ketv. Odontologinės įrangos pirkimo sutartis pasirašyta 2023-09-18 (Nr. SŽ-1540), planuojamas pristatymas lapkričio mėn. Vidaus patalpų remonto darbų pirkimo sutartis pasirašyta 2023-10-12 (Nr. SŽ-1746), laukiama sutarties užtikrinimo.
IV ketv. įsigyta odontologinė darbo įranga V2000, atlikti vidaus patalpų atnaujinimo darbai.</t>
  </si>
  <si>
    <t>09.01.02.</t>
  </si>
  <si>
    <t>Plėtoti visuomenės sveikatos priežiūros paslaugas ir ugdyti visuomenės poreikį sveikai gyventi</t>
  </si>
  <si>
    <t>09.01.02.04</t>
  </si>
  <si>
    <t>Užtikrinti Visuomenės sveikatos biuro veiklą</t>
  </si>
  <si>
    <t>Privalomojo mokymo metu mokytų asmenų</t>
  </si>
  <si>
    <t>09.01.02.05</t>
  </si>
  <si>
    <t>Plėtoti sveiką gyvenseną bei stiprinti sveikos gyvensenos įgūdžius ugdymo įstaigose ir bendruomenėse, vykdyti visuomenės sveikatos stebėseną</t>
  </si>
  <si>
    <t>Ugdymo įstaigų, kuriose vykdytos visuomenės sveikatos priežiūros funkcijos</t>
  </si>
  <si>
    <t>Ugdymo įstaigos (62), kuriose vykdytos visuomenės sveikatos priežiūros funkcijos.</t>
  </si>
  <si>
    <t>Mokinių, dalyvavusių sveikatinimo veiklose ugdymo įstaigose</t>
  </si>
  <si>
    <t>Mokinių, dalyvavusių sveikatinimo veiklose ugdymo įstaigose: I ketv. - 25 195, II ketv. 31 967, III ketv. - 7 169, IV ketv. 26 462 mokiniai.</t>
  </si>
  <si>
    <t>Stebėsenos ataskaitų su pasiūlymais dėl gyventojų sveikatos būklės gerinimo</t>
  </si>
  <si>
    <t>Stebėsenos ataskaitos su pasiūlymais dėl gyventojų sveikatos būklės gerinimo.</t>
  </si>
  <si>
    <t>Miesto gyventojų, dalyvavusių sveikatinimo veiklose</t>
  </si>
  <si>
    <t>Miesto gyventojų, dalyvavusių sveikatinimo veiklose: I ketv. - 5 883, II ketv. 6065, III ketv. 5117, IV ketv. 4424 gyventojai.</t>
  </si>
  <si>
    <t>Asmenų, baigusių Širdies ir kraujagyslių ligų ir cukrinio diabeto prevencinę sveikatos stiprinimo programą</t>
  </si>
  <si>
    <t>09.01.02.07</t>
  </si>
  <si>
    <t>Plėtoti visuomenės psichikos sveikatos paslaugų prieinamumą bei ankstyvojo savižudybių atpažinimo ir kompleksinės pagalbos teikimo sistemą</t>
  </si>
  <si>
    <t>Suteiktų individualių konsultacijų</t>
  </si>
  <si>
    <t>Suteiktų grupinių konsultacijų</t>
  </si>
  <si>
    <t>Pravestų mokymų</t>
  </si>
  <si>
    <t>09.01.04.</t>
  </si>
  <si>
    <t>Vykdyti ligų prevenciją ir didinti sveikatos priežiūros paslaugų prieinamumą</t>
  </si>
  <si>
    <t>09.01.04.04</t>
  </si>
  <si>
    <t>Įgyvendinti projektą „Paramos priemonių tuberkulioze sergantiems asmenims įgyvendinimas Šiaulių mieste"</t>
  </si>
  <si>
    <t>Tuberkulioze sergančių pacientų, kuriems buvo suteiktos socialinės paramos priemonės tuberkuliozės ambulatorinio gydymo metu</t>
  </si>
  <si>
    <t>09.01.04.05</t>
  </si>
  <si>
    <t>Įgyvendinti projektą „Priklausomybės ligų profilaktikos, diagnostikos ir gydymo kokybės ir prieinamumo gerinimas Šiaulių mieste"</t>
  </si>
  <si>
    <t>Apsilankymų žemo slenksčio paslaugų kabinetuose</t>
  </si>
  <si>
    <t>Atlikti patvirtintų paramos lėšų mokėjimai projekto partneriui Šiaulių centro poliklinikai. Projektas baigtas, galutinis mokėjimo prašymas patvirtintas.</t>
  </si>
  <si>
    <t>09.01.04.06</t>
  </si>
  <si>
    <t>Pritraukti sveikatos specialistus į Šiaulių miestą ir išlaikyti jame</t>
  </si>
  <si>
    <t>Paremtų gydytojų, atvykusių dirbti į Šiaulius</t>
  </si>
  <si>
    <t>Trūkstamiems gydytojams specialistams taikoma finansinė motyvavimo priemonė, siekiant pritraukti dirbti Šiaulių miesto sveikatos priežiūros įstaigose.</t>
  </si>
  <si>
    <t>Finansuotų sveikatos mokslų studentų</t>
  </si>
  <si>
    <t>Rezidentų, bendrosios praktikos slaugytojų, visuomenės sveikatos specialistų studijų ar kursų finansavimas, siekiant trūkstamus specialistus pritraukti dirbti Šiaulių miesto sveikatos priežiūros įstaigose.</t>
  </si>
  <si>
    <t>09.01.04.08</t>
  </si>
  <si>
    <t>Įgyvendinti projektą „Geležinkelių transporto aplinkos apsaugos priemonių (triukšmą slopinančių priemonių) diegimas Šiaulių miesto savivaldybėje"</t>
  </si>
  <si>
    <t>Atliktas galutinis mokėjimas projekto partneriui LTG infra</t>
  </si>
  <si>
    <t>09.01.04.10</t>
  </si>
  <si>
    <t>Vykdyti Visuomenės sveikatos rėmimo specialiąją programą</t>
  </si>
  <si>
    <t>Įgyvendinta programa</t>
  </si>
  <si>
    <t>09.01.04.10.01</t>
  </si>
  <si>
    <t>Sukurti ir gerinti miesto bendruomenės sveikatinimo sąlygas, organizuojant sveikatinimo projektų konkursus ir finansuojant jų įgyvendinimą</t>
  </si>
  <si>
    <t>Sveikatinimo iniciatyvose dalyvavusių asmenų</t>
  </si>
  <si>
    <t>09.01.04.10.02</t>
  </si>
  <si>
    <t>Organizuoti privalomąjį profilaktinį aplinkos kenksmingumo pašalinimą</t>
  </si>
  <si>
    <t>Gavusių privalomojo profilaktinio aplinkos kenksmingumo pašalinimo paslaugas asmenų</t>
  </si>
  <si>
    <t>Gauti 3 prašymai, paslaugos suteiktos 3 asmenims.</t>
  </si>
  <si>
    <t>09.01.04.10.03</t>
  </si>
  <si>
    <t>Vykdyti maudyklų priežiūrą ir vandens kokybės stebėseną</t>
  </si>
  <si>
    <t>Stebėtų ir prižiūrėtų maudyklų</t>
  </si>
  <si>
    <t>Atliktų vandens kokybės tyrimų</t>
  </si>
  <si>
    <t>09.01.04.10.04</t>
  </si>
  <si>
    <t>Vykdyti ligų profilaktikos ir prevencijos priemones</t>
  </si>
  <si>
    <t>Įvykdytų ligų profilaktikos ir prevencijos priemonių</t>
  </si>
  <si>
    <t>09.01.04.10.05</t>
  </si>
  <si>
    <t>Kompensuoti ir teikti medicinines paslaugas tikslinėms gyventojų grupėms</t>
  </si>
  <si>
    <t>Dantų protezavimo paslaugas gavusių asmenų</t>
  </si>
  <si>
    <t>Slaugos paslaugas gavusių asmenų</t>
  </si>
  <si>
    <t>3 asmenys gavo paslaugas.</t>
  </si>
  <si>
    <t>Pervežtų pacientų</t>
  </si>
  <si>
    <t>Ortodonto suteiktų konsultacijų</t>
  </si>
  <si>
    <t>10.</t>
  </si>
  <si>
    <t>Socialinės paramos įgyvendinimo programa</t>
  </si>
  <si>
    <t>10.01.</t>
  </si>
  <si>
    <t>Įgyvendinti socialinės apsaugos sistemą, mažinančią socialinę atskirtį ir užtikrinančią pažeidžiamų gyventojų grupių socialinę integraciją</t>
  </si>
  <si>
    <t>Socialinių paslaugų gavėjų dalis nuo bendro Šiaulių miesto gyventojų skaičiaus</t>
  </si>
  <si>
    <t>Įgyvendindama šią programą Savivaldybė organizuoja prevencinių, bendrųjų, socialinės priežiūros ir socialinės globos paslaugų teikimą įvairioms gyventojų grupėms, modernizuoja ir plečia socialinių paslaugų įstaigų infrastruktūrą, Europos Sąjungos struktūrinių fondų lėšomis įgyvendina projektus, sudaro sąlygas asmenims su negalia integruotis į visuomenę, ir spręsti asmenų socialines problemas.</t>
  </si>
  <si>
    <t>Piniginės socialinės paramos gavėjų dalis nuo bendro Šiaulių miesto gyventojų skaičiaus</t>
  </si>
  <si>
    <t>Mažas pajamas gaunančių socialinės paramos gavėjų dalis nuo bendro Šiaulių miesto gyventojų skaičiaus</t>
  </si>
  <si>
    <t>10.01.01.</t>
  </si>
  <si>
    <t>Teikti socialines paslaugas ir didinti jų prieinamumą įvairioms gyventojų grupėms</t>
  </si>
  <si>
    <t>10.01.01.05</t>
  </si>
  <si>
    <t>Teikti ilgalaikės, trumpalaikės ir dienos socialinės globos paslaugas senyvo amžiaus asmenims, suaugusiems asmenims ir vaikams su negalia ir su sunkia negalia</t>
  </si>
  <si>
    <t>Teikiamų paslaugų rūšių</t>
  </si>
  <si>
    <t>Teikiamos soc. globos paslaugos asmenims su negalia ir sunkia negalia. Trumpalaikę ar ilgalaikę soc. globą teikiančias įstaigas, kurias pasirenka pats soc. globos gavėjas (ar jo teisėtas atstovas) ar įstatymų nustatyta tvarka paskiria teismas, Savivaldybė finansuoja tiesiogiai, sudarydama sutartis dėl asmeniui teikiamos soc. globos išlaidų finansavimo. Dėl soc. globos paslaugų finansavimo Savivaldybė yra sudariusi sutartis su 49 įstaigomis. Dienos soc. globa teikiama Šiaulių m. sav. globos namų dienos globos padalinyje „Goda“, Kompleksinių paslaugų namuose „Alka" ir Šiaulių „Spindulio" ugdymo centre. Teikiant integralios pagalbos ir dienos socialinės globos paslaugas asmens namuose siekiama padėti šeimos nariams, prižiūrintiems savo artimuosius namuose, derinti šeimos ir darbo įsipareigojimus, todėl asmenims teikiamos socialinės globos ir slaugos paslaugos. Šias paslaugas teikia Šiaulių vyskupijos Caritas, Šiaulių miesto sav. globos namai, Šiaulių socialinių paslaugų centras.</t>
  </si>
  <si>
    <t>Paslaugų gavėjų su sunkia negalia</t>
  </si>
  <si>
    <t>Paslaugų gavėjų su negalia</t>
  </si>
  <si>
    <t>Patenkintų prašymų laikino atokvėpio paslaugai gauti (nuo visų pateiktų asmenų prašymų)</t>
  </si>
  <si>
    <t>Patenkinti visi prašymai laikino atokvėpio paslaugai gauti: 5 vaikai ir 25 suaugę asmenys.</t>
  </si>
  <si>
    <t>10.01.01.07</t>
  </si>
  <si>
    <t>Įgyvendinti Užimtumo didinimo programą</t>
  </si>
  <si>
    <t>Įsidarbinusių asmenų dalis nuo bendro Programoje dalyvavusių asmenų skaičiaus</t>
  </si>
  <si>
    <t>Per 2023 m. programoje dalyvavusių asmenų skaičiaus 111, įsidarbinusių asmenų 10.</t>
  </si>
  <si>
    <t>10.01.01.09</t>
  </si>
  <si>
    <t>Įgyvendinti Būsto pritaikymo asmenims turintiems negalią programą</t>
  </si>
  <si>
    <t>Pritaikytų būstų dalis nuo visų gautų paraiškų</t>
  </si>
  <si>
    <t>10.01.01.10</t>
  </si>
  <si>
    <t>Didinti socialinių paslaugų prieinamumą</t>
  </si>
  <si>
    <t>Suteikta asmeninės pagalbos paslaugų asmenims su negalia nuo pateiktų prašymų</t>
  </si>
  <si>
    <t>Suteikta pagalbos į namus paslaugų nuo pateiktų prašymų</t>
  </si>
  <si>
    <t>Pagalbos į namus paslaugų suteikta 59 asmenims.</t>
  </si>
  <si>
    <t>Suteikta palydėjimo jaunuoliams paslaugų nuo pateiktų prašymų</t>
  </si>
  <si>
    <t>Palydėjimo jaunuoliams paslaugų suteikta 16 asmenų.</t>
  </si>
  <si>
    <t>Suteikta intensyvios krizių įveikimo pagalbos paslaugų nuo pateiktų prašymų</t>
  </si>
  <si>
    <t>Intensyvios krizių įveikimo pagalbos paslaugų suteikta 29 asmenims.</t>
  </si>
  <si>
    <t>10.01.01.11</t>
  </si>
  <si>
    <t>Užtikrinti socialinių paslaugų įstaigų veiklą ir prienamumą</t>
  </si>
  <si>
    <t>Socialinių paslaugų centre teikiamų paslaugų rūšių</t>
  </si>
  <si>
    <t>Šiaulių m. savivaldybės socialinių paslaugų centras teikia socialines paslaugas, vadovaujantis LR socialinės apsaugos ir darbo ministro 2006 m. balandžio 5 d. įsakymu Nr. A1-193 „Dėl socialinių paslaugų patvirtinimo“ ir kitas Šiaulių miesto savivaldybės perduotas / deleguotas  paslaugas: organizuoja prevencinių, bendrųjų, socialinės priežiūros ir socialinės globos paslaugų teikimą įvairioms gyventojų grupėms, asmeninės pagalbos teikimas, asmenims, grįžusiems iš įkalinimo/pataisos įstaigų ir kt.</t>
  </si>
  <si>
    <t>Socialinių paslaugų centre aptarnautų asmenų (šeimų)</t>
  </si>
  <si>
    <t>Vaikų globos namuose teikiamų paslaugų rūšių</t>
  </si>
  <si>
    <t>Šiaulių miesto Šeimos centre teikiamos šios paslaugos:
1. Ilgalaikė (trumpalaikė) socialinė globa vaikams;
2. Vaikų dienos socialinė priežiūra (vaikų dienos centras);
3. Socialinė priežiūra šeimoms (atvejo vadyba šeimoms); 
4. Pagalba globėjams (rūpintojams), budintiems globotojams, įtėviams ir šeimynų dalyviams ar besirengiantiems jais tapti (globos centras).</t>
  </si>
  <si>
    <t>Vaikų globos namuose paslaugų gavėjų</t>
  </si>
  <si>
    <t>Padidėjo vaikų skaičius pas budinčius globotojus ir didėjo šeimų patiriančių socialinę riziką skaičius.</t>
  </si>
  <si>
    <t>Globos namuose teikiamų paslaugų rūšių</t>
  </si>
  <si>
    <t>Šiaulių miesto savivaldybės globos namuose teikiamos šios paslaugos:
1. Ilgalaikės socialinės globos paslauga senyvo amžiaus asmenims ir suaugusiems asmenims su  negalia ar sunkia negalia institucijoje;
2. Trumpalaikės socialinės globos paslauga senyvo amžiaus asmenims ir suaugusiems asmenims su  negalia ar sunkia negalia institucijoje;
3. Laikinas atokvėpis (trumpalaikė socialinė globa) institucijoje;
4. Laikinas atokvėpis (dienos socialinė globa) asmens namuose;
5. Apgyvendinimo Savarankiško gyvenimo namuose paslauga senyvo amžiaus asmenims ir suaugusiems asmenims su negalia;
6. Apgyvendinimo Apsaugotame būste paslauga;
7. Integralios pagalbos (dienos socialinės globos ir slaugos) asmens namuose paslauga senyvo amžiaus ir suaugusiems asmenims su negalia;
8. Dienos socialinės globos paslaugas asmens namuose asmenims su sunkia negalia;
9. Dienos socialinė globa įstaigoje (dienos centras GODA);
10. Socialinių įgūdžių ugdymas, palaikymas ir (ar) atkūrimas Socialinėse dirbtuvėse,
11.Bendrosios (informavimo, konsultavimo, tarpininkavimo ir atstovavimo, maitinimo organizavimo, sociokultūrinės, reabilitacijos ir kt.) socialines paslaugos;
12. Socialinės reabilitacijos paslaugos neįgaliesiems bendruomenėje;
13. Intensyvi krizių įveikimo pagalba - laikino apgyvendinimo, jei asmuo (šeima) dėl patirto smurto, prievartos ar kitų priežasčių negali naudotis savo gyvenamąja vieta;
14. Asmenų  socialinių paslaugų poreikio vertinimas, socialinės globos vertinimas.</t>
  </si>
  <si>
    <t>Globos namuose aptarnautų asmenų</t>
  </si>
  <si>
    <t>Kompleksinių paslaugų namuose "Alka" teikiamų paslaugų rūšių</t>
  </si>
  <si>
    <t>Kompleksinių paslaugų namuose "Alka" paslaugų gavėjų</t>
  </si>
  <si>
    <t>Vykstant institucinės globos pertvarkai, vadovaujantis Socialinės globos normomis, nebuvo galima didinti paslaugų gavėjų skaičiaus. Paslaugų gavėjų skaičius didės, pradėjus jas teikti naujai sukurtoje infrastruktūroje: Grupiniuose gyvenimo namuose ir Slaugos - globos padalinyje 2024 m.</t>
  </si>
  <si>
    <t>Suteikta pavėžėjimo su pagalba paslaugų asmenims su negalia nuo pateiktų prašymų</t>
  </si>
  <si>
    <t>Šiaulių miesto savivaldybės socialinių paslaugų centras teikia transporto organizavimo paslaugas vadovaujantis Lietuvos Respublikos socialinės apsaugos ir darbo ministro 2006 m. balandžio 5 d. įsakymu Nr. A1-193 „Dėl socialinių paslaugų katalogo patvirtinimo“.</t>
  </si>
  <si>
    <t>10.01.01.12</t>
  </si>
  <si>
    <t>Užtikrinti socialinės globos paslaugų teikimą vaikams, likusiems be tėvų globos</t>
  </si>
  <si>
    <t>Globojamų vaikų šeimose</t>
  </si>
  <si>
    <t>Įgyvendinant priemonę „Užtikrinti socialinės globos paslaugų teikimą vaikams, likusiems be tėvų globos" yra mokami pagalbos pinigai globėjams, kai Savivaldybės nustatytais atvejais vaikus prižiūri ar juos globoja šeimos ar budintys globotojai.
 2023 m. 213 globėjų savo šeimose globojo 274 vaikus, likusius be tėvų globos (iš jų 40 vaikai iš Ukrainos).</t>
  </si>
  <si>
    <t>Globojamų vaikų šeimynose</t>
  </si>
  <si>
    <t>Šiaulių miesto savivaldybėje veikia 3 šeimynos, kuriose 2023 m. buvo globojama 15 tėvų globos netekusių vaikų.</t>
  </si>
  <si>
    <t>Globojamų vaikų bendruomeniniuose vaikų globos namuose</t>
  </si>
  <si>
    <t>Šiaulių miesto Šeimos centro įkurti 4 bendruomeniniai vaikų globos namai, globojamų vaikų 24. Bendruomeninių vaikų globos namų paslaugas taip pat teikia VŠĮ "Vilniaus SOS vaikų kaimas", kuriuose globojamų vaikų 8.</t>
  </si>
  <si>
    <t>10.01.01.13</t>
  </si>
  <si>
    <t>Užtikrinti socialinės reabilitacijos paslaugų neįgaliesiems teikimą bendruomenėje</t>
  </si>
  <si>
    <t>Paslaugų gavėjų</t>
  </si>
  <si>
    <t>Nuo 2023 m. sausio 1 d. pradėta teikti nauja akredituota socialinės priežiūros paslauga – soc. reabilitacija neįgaliesiems bendruomenėje. Tai kompleksiškai pagal negalios pobūdį, sunkumą ir specifiką teikiamos socialinių, savarankiško gyvenimo, mokymosi, darbinių įgūdžių ugdymo, palaikymo ar atkūrimo paslaugos, kuriomis siekiama įgalinti asmenis su negalia savarankiškai gyventi bendruomenėje, ugdytis ir dalyvauti darbo rinkoje ar užimtumo veikloje. Paslaugą teikė įstaigos, kurioms Administracijos direktoriaus patvirtinta tvarka suteikta teisė teikti akredituotą soc. reabilitacijos neįgaliesiems bendruomenėje paslaugą Šiaulių miesto sav. teritorijoje. Nuo 2023 metų socialinės reabilitacijos paslaugos neįgaliesiems bendruomenėje yra finansuojamos ne per projektus, bet pagal įstaigose akredituotų vietų skaičių. 
II ketv. akredituotų vietų skaičius buvo 430, faktiškai paslaugos suteiktos 356 asmenims.
III ketv. paslaugos suteiktos 388 asmenims. 
IV ketv. paslaugas gavo 405 asmenys su negalia, nuo metų pradžios  – 412  asmenų.</t>
  </si>
  <si>
    <t>Akredituotų įstaigų, teikiančių socialinės reabilitacijos paslaugas</t>
  </si>
  <si>
    <t>Socialinės reabilitacijos neįgaliesiems projektus įgyvendino 13 nevyriausybinių organizacijų, veikiančių Šiaulių mieste.</t>
  </si>
  <si>
    <t>10.01.01.14</t>
  </si>
  <si>
    <t>Užtikrinti vaikų dienos centrų veiklą ir prieinamumą</t>
  </si>
  <si>
    <t>Vaikų, lankančių dienos centrus</t>
  </si>
  <si>
    <t>Įstaigų, teikiančių vaikų dienos socialinę priežiūrą</t>
  </si>
  <si>
    <t>Vaikų dienos socialinę priežiūrą teikė 9 nevyriausybinės organizacijos ir 2 biudžetinės įstaigos, veikiančios Šiaulių mieste.</t>
  </si>
  <si>
    <t>Vaikų su negalia dalis nuo visų vaikų dienos centrus lankančių vaikų skaičiaus</t>
  </si>
  <si>
    <t>Patenkintas 100 proc. tėvų prašymas dėl 26 vaikų su negalia dienos socialinės priežiūros paslaugų teikimo vaikų dienos centruose.</t>
  </si>
  <si>
    <t>10.01.01.15</t>
  </si>
  <si>
    <t>Užtikrinti kraitelio skyrimą šeimoms, susilaukusioms kūdikio</t>
  </si>
  <si>
    <t>Nupirktų kraitelių</t>
  </si>
  <si>
    <t>Per 2023 m. nupirkta 724 vnt. kraitelių kūdikiams, kurie įteikti visoms šeimoms, susilaukusioms naujagimių.</t>
  </si>
  <si>
    <t>Kūdikiams įteiktų kraitelių dalis nuo visų per metus gimusių kūdikių</t>
  </si>
  <si>
    <t>10.01.01.17</t>
  </si>
  <si>
    <t>Įgyvendinti projektą „Kompleksinės paslaugos šeimai Šiaulių miesto savivaldybėje"</t>
  </si>
  <si>
    <t>VŠĮ Socialinių inovacijų centras projektą "Kompleksinės paslaugos šeimai Šiaulių miesto savivaldybėje" Nr. 08.4.1-ESFA-V-416-01-0008 vykdė iki 2023-03-31 d. Per 2023 m. 3 mėnesius paslaugos buvo suteiktos 64 naujiems paslaugų gavėjams. Nuo 2023 m. balandžio 1 d. sudarius naują sutartį dėl kompleksinių paslaugų organizavimo, Socialinių inovacijų centrui įsteigus bendruomeninių šeimos namų darbuotojo etatą, pradėtos vykdyti bendruomeninių šeimos namų funkcijos bei teikiamos paslaugos projekte „Kompleksinės paslaugos (KOPA)“ Nr. 07-007-P-0001. Nuo 2023-04-01 iki metų pabaigos paslaugas gavo 243 nauji paslaugų gavėjai. 
VŠĮ "Šiaurės Lietuvos kolegija" 2023 m. kovo 31 d. sėkmingai įgyvendino projektą "Kompleksinės paslaugos šeimai Šiaulių miesto savivaldybėje", o nuo 2023 m. liepos 18 d. pradėjo įgyvendinti projektą "Kompleksinės paslaugos (KOPA)". Sudarytos sąlygos asmeniui (šeimai), patyrusiam sunkumų, gebėjimams savarankiškai spręsti iškilusias problemas stiprinti, siekiant ateityje išvengti galimų didesnių socialinių problemų ir (ar) socialinės rizikos. Teikiamų paslaugų poveikis šeimoms ir jų nariams padeda: spręsti įvairias emocines problemas, krizines situacijas; atsigauti po skaudžių patirčių ir išgyvenimų; skatina teigiamą šeimos ir jos santykių dinamiką bei asmeninį tobulėjimą; kompleksiškai gerina šeimos narių tarpusavio santykius, tėvystės ir kitus socialinius įgūdžius; preventuoja didesnių problemų ir jų pasekmių šeimoje atsiradimą. Paslaugas gavo 480 gavėjų.</t>
  </si>
  <si>
    <t>Bendruomeninių šeimos namų darbuotojų, organizuojančių kompleksinių paslaugų teikimą šeimai</t>
  </si>
  <si>
    <t>Bendruomeninių šeimos namų ir kompleksinių paslaugų teikėjai 2023 - 2027 metų laikotarpiui buvo atrinkti I ketv. pabaigoje. Kompleksinės paslaugos šeimai organizuojamos vieno langelio principu. Vadovaujantis šiuo principu, paslaugas šeimai kuo arčiau asmeniui (šeimai) gyvenamosios vietos arba asmens (šeimos) gyvenamojoje vietoje koordinuoja, organizuoja ir (ar) teikia BŠN. Teikiamos paslaugos (individualiai ir grupiniai užsiėmimai): individualios ir (ar) grupinės konsultacijos; savitarpio pagalbos grupės; socialinių įgūdžių grupės vaikams ir paaugliams; tėvystės mokymai; šeimos mediacija; šeimos konsultavimas asmens (šeimos) namuose.</t>
  </si>
  <si>
    <t>10.01.01.18</t>
  </si>
  <si>
    <t>Įgyvendinti projektą „Vaikų socialinės integracijos skatinimas Jelgavos ir Šiaulių miestuose"</t>
  </si>
  <si>
    <t>Suremontuota ir įranga aprūpinta vaikų dienos centrų</t>
  </si>
  <si>
    <t>Vaikų dienos centre įsigyta kompiuterinė ir vaizdo technika, buitinė technika ir baldai. Projektas baigtas įgyvendinti. Vertinama galutinė projekto įgyvendinimo ataskaita.</t>
  </si>
  <si>
    <t>Suteikta psichologo ir teisinių konsultacijų</t>
  </si>
  <si>
    <t>Per 2023 metus suteiktos 28 pirminės ir 116 antrinių psichologo konsultacijų ir 32 teisinės konsultacijos.</t>
  </si>
  <si>
    <t>Atnaujinta atviro jaunimo centro infrastruktūra</t>
  </si>
  <si>
    <t>Sutvarkytas stogas, įrengta 24/7 erdvė, apsaugos ir vaizdo stebėjimo sistemos, įsigyta baldai ir įranga.</t>
  </si>
  <si>
    <t>10.01.01.18.01</t>
  </si>
  <si>
    <t>Įgyvendinti projektą "Vaikų socialinės integracijos skatinimas Jelgavos ir Šiaulių miestuose I etapas"</t>
  </si>
  <si>
    <t>10.01.01.18.02</t>
  </si>
  <si>
    <t>Įgyvendinti projektą „Vaikų ir jaunimo socialinės integracijos skatinimas Jelgavos ir Šiaulių miestuose, II etapas“</t>
  </si>
  <si>
    <t>10.01.01.19</t>
  </si>
  <si>
    <t>Užtikrinti Globos centrų veiklą</t>
  </si>
  <si>
    <t>Budinčių globotojų</t>
  </si>
  <si>
    <t>Padaugėjus vaikų skaičiui, padidėjo budinčių globotojų skaičius, su kuriais pasirašytos paslaugų teikimo sutartys.</t>
  </si>
  <si>
    <t>Budinčių globotojų šeimose globojamų vaikų</t>
  </si>
  <si>
    <t>Globojamų vaikų budinčių globotojų šeimose skaičius 2023 m. išaugo.</t>
  </si>
  <si>
    <t>GIMK mokymus baigusių asmenų</t>
  </si>
  <si>
    <t>Šiaulių miesto savivaldybės socialinių paslaugų centras teikia pagalbos globėjams (rūpintojams), budintiems globotojams, įtėviams ir šeimynų steigėjams, dalyviams ar besirengiantiems jais tapti paslaugas vadovaujantis Lietuvos Respublikos socialinės apsaugos ir darbo ministro 2006 m. balandžio 5 d. įsakymu Nr. A1-193 „Dėl socialinių paslaugų katalogo patvirtinimo“. Vykdant globėjų (rūpintojų) aktyvią paiešką, GIMK mokymus baigusių skaičius didesnis nei planuota.</t>
  </si>
  <si>
    <t>Koordinuotos pagalbos atvejų</t>
  </si>
  <si>
    <t>2023 m. Šiaulių mieste koordinuotos pagalbos atvejų skaičius didėjo, nes yra teikiama pagal poreikį:  Šeimos centre atvejų skaičius  - 167, Socialinių paslaugų centre -  213.</t>
  </si>
  <si>
    <t>10.01.03.</t>
  </si>
  <si>
    <t>Plėsti  socialinių paslaugų įstaigų infrastruktūrą, atnaujinant ir modernizuojant esamus bei įrengiant naujus socialinės paskirties įstaigų pastatus</t>
  </si>
  <si>
    <t>10.01.03.09</t>
  </si>
  <si>
    <t>Pastatyti (pritaikyti pastatą) nakvynės namų ir apgyvendinimo paslaugoms teikti</t>
  </si>
  <si>
    <t>Atlikti laikino apgyvendinimo paslaugoms teikti (Tiesos g. 3) projekto II ir III etapo darbai</t>
  </si>
  <si>
    <t>Užbaigti II etapo rangos darbai, pastatas įregistruotas ir gautas statybos užbaigimo dokumentas (deklaracija).</t>
  </si>
  <si>
    <t>10.01.03.10</t>
  </si>
  <si>
    <t>Rekonstruoti Šiaulių miesto savivaldybės socialinių paslaugų centro Paramos tarnybos pastatą (Stoties g.)</t>
  </si>
  <si>
    <t>2023-05-16 sudaryta rangos darbų sutartis Nr. SŽ-890. Rangos darbai vykdomi nuo 2023-05-24, rangos darbų sutarties terminas 2024-01-24. Įvykdyta 84,59% statybos rangos darbų, taip pat pasirašytas papildomas susitarimas, likusi dalis statybos rangos darbų bus atlikta 2024 m. Planuojant 2023 m. planuota, kad pavyks rangos darbus pradėti anksčiau ir užbaigti 2023 m.</t>
  </si>
  <si>
    <t>10.01.03.11</t>
  </si>
  <si>
    <t>Naujo padalinio prie Šiaulių miesto savivaldybės globos namų (Energetikų g. 13 A) statyba</t>
  </si>
  <si>
    <t>10.01.03.12</t>
  </si>
  <si>
    <t>Įgyvendinti projektą „Bendruomeninių apgyvendinimo bei užimtumo paslaugų asmenims su proto ir psichikos negaliai plėtra Šiaulių mieste“</t>
  </si>
  <si>
    <t>Pastatyti ir grupinio gyvenimo namų veiklai pritaikyti namai</t>
  </si>
  <si>
    <t>Rangos darbai baigti, darbų užbaigimo procedūros baigtos.</t>
  </si>
  <si>
    <t>Rekonstruotas ir specializuotos slaugos-globos namų, dienos užimtumo ir socialinių dirbtuvių veiklai pritaikytas pastatas</t>
  </si>
  <si>
    <t>10.01.03.14</t>
  </si>
  <si>
    <t>Plėsti bendruomenines paslaugas vaikams</t>
  </si>
  <si>
    <t>Projektas baigtas įgyvendinti, įsigyti visi projekto paraiškoje suplanuoti baldai ir įranga. Projekto įgyvendinimas baigtas, galutinis mokėjimo prašymas patvirtintas.</t>
  </si>
  <si>
    <t>10.01.03.14.01</t>
  </si>
  <si>
    <t>Įkurti bendruomeninius vaikų globos namus Šiaulių mieste</t>
  </si>
  <si>
    <t>10.01.03.14.02</t>
  </si>
  <si>
    <t>Plėsti vaikų dienos centrų tinklą Šiaulių mieste</t>
  </si>
  <si>
    <t>10.01.03.15</t>
  </si>
  <si>
    <t>Gerinti socialinių paslaugų įstaigų pastatų būklę</t>
  </si>
  <si>
    <t>Atlikti Globos namų (Energetikų g. 20A) stogo ir gyvenamųjų patalpų remonto darbai</t>
  </si>
  <si>
    <t>Baigti Globos namų (Energetikų g. 20A) stogo ir gyvenamųjų patalpų remonto darbai.</t>
  </si>
  <si>
    <t>Atlikti Socialinių paslaugų centro (Tilžės g. 63B) langų keitimo ir kiti remonto darbai</t>
  </si>
  <si>
    <t>Parengtas Tilžės g. 63B, Šiauliuose pastato šiltinimo darbų projektas, įvykdytas  rangos darbų pirkimas, atliktas pamato apšiltinimas, langų keitimas, lauko durų keitimas, panduso praplatinimo darbai.</t>
  </si>
  <si>
    <t>10.01.05.</t>
  </si>
  <si>
    <t>Užtikrinti valstybės garantuotos piniginės socialinės paramos teikimą</t>
  </si>
  <si>
    <t>10.01.05.01</t>
  </si>
  <si>
    <t>Skirti ir išmokėti išmokas ir kompensacijas</t>
  </si>
  <si>
    <t>Socialinių išmokų ir kompensacijų gavėjų skaičius</t>
  </si>
  <si>
    <t>Laidojimo pašalpų gavėjų skaičius</t>
  </si>
  <si>
    <t>10.01.05.01.01</t>
  </si>
  <si>
    <t>Skirti socialinę pašalpą</t>
  </si>
  <si>
    <t>Išmokų gavėjų</t>
  </si>
  <si>
    <t>10.01.05.01.02</t>
  </si>
  <si>
    <t>Kompensuoti būsto šildymo išlaidas</t>
  </si>
  <si>
    <t>10.01.05.01.03</t>
  </si>
  <si>
    <t>Kompensuoti šalto vandens ir nuotekų išlaidas</t>
  </si>
  <si>
    <t>10.01.05.01.04</t>
  </si>
  <si>
    <t>Kompensuoti karšto vandens išlaidas</t>
  </si>
  <si>
    <t>10.01.05.01.05</t>
  </si>
  <si>
    <t>Kompensuoti kredito, paimto daugiabučiui namui atnaujinti ir palūkanų apmokėjimo už asmenis, turinčius teisę į būsto šildymo išlaidas</t>
  </si>
  <si>
    <t>10.01.05.01.06</t>
  </si>
  <si>
    <t>Skirti laidojimo pašalpą</t>
  </si>
  <si>
    <t>10.01.05.01.08</t>
  </si>
  <si>
    <t>Kompensuoti už būsto šildymą (kitomis kuro rūšimis)</t>
  </si>
  <si>
    <t>10.01.05.01.09</t>
  </si>
  <si>
    <t>Kompensuoti palaikų pervežimą</t>
  </si>
  <si>
    <t>10.01.05.01.11</t>
  </si>
  <si>
    <t>Užtikrinti išmokas Ginkluoto pasipriešinimo / rezistencijos dalyviams mokėti</t>
  </si>
  <si>
    <t>10.01.05.01.12</t>
  </si>
  <si>
    <t>Užtikrinti kompensacijų fiziniams ir juridiniams asmenims, perdavusiems savo būstą ar patalpas neatlygintinai naudotis panaudos pagrindais dėl karinių veiksmų iš Ukrainos pasitraukusiems gyventojams, mokėjimą</t>
  </si>
  <si>
    <t>Išmokos mokamos pagal poreikį</t>
  </si>
  <si>
    <t>10.01.05.01.13</t>
  </si>
  <si>
    <t>Užtikrinti vienkartinių išmokų įsikurti gyvenamojoje vietoje savivaldybės teritorijoje ir (ar) mėnesinių kompensacijų vaiko ugdymo pagal ikimokyklinio ar priešmokyklinio ugdymo programą, skirtų laikinąją apsaugą LR gavusiems užsieniečiams, mokėjimą</t>
  </si>
  <si>
    <t>10.01.05.02</t>
  </si>
  <si>
    <t>Skirti ir išmokėti išmokas vaikams</t>
  </si>
  <si>
    <t>Patvirtintų pareigybių</t>
  </si>
  <si>
    <t>10.01.05.02.01</t>
  </si>
  <si>
    <t>Pervesti lėšas vienkartinei išmokai vaikui mokėti</t>
  </si>
  <si>
    <t>10.01.05.02.02</t>
  </si>
  <si>
    <t>Pervesti lėšas išmokai vaikui mokėti</t>
  </si>
  <si>
    <t>10.01.05.02.03</t>
  </si>
  <si>
    <t>Pervesti lėšas privalomosios tarnybos kario vaikui mokėti</t>
  </si>
  <si>
    <t>10.01.05.02.04</t>
  </si>
  <si>
    <t>Pervesti lėšas vienkartinei išmokai nėščiai moteriai mokėti</t>
  </si>
  <si>
    <t>10.01.05.02.05</t>
  </si>
  <si>
    <t>Pervesti lėšas globos (rūpybos) išmokai mokėti</t>
  </si>
  <si>
    <t>10.01.05.02.06</t>
  </si>
  <si>
    <t>Pervesti lėšas našlaičio įsikūrimui (vienkartinė išmoka)</t>
  </si>
  <si>
    <t>10.01.05.02.07</t>
  </si>
  <si>
    <t>Pervesti lėšas globos (rūpybos) išmokos tiksliniui priedui mokėti</t>
  </si>
  <si>
    <t>10.01.05.02.08</t>
  </si>
  <si>
    <t>Pervesti lėšas išmokai besimokančio ar studijuojančio asmens vaiko priežiūrai</t>
  </si>
  <si>
    <t>10.01.05.02.09</t>
  </si>
  <si>
    <t>Pervesti lėšas išmokai gimus vienu metu daugiau kaip vienam vaikui</t>
  </si>
  <si>
    <t>10.01.05.02.10</t>
  </si>
  <si>
    <t>Pervesti lėšas išmokai įvaikinus vaiką  mokėti</t>
  </si>
  <si>
    <t>10.01.05.02.11</t>
  </si>
  <si>
    <t>Pervesti lėšas vaiko laikinosios priežiūros išmokai mokėti</t>
  </si>
  <si>
    <t>10.01.05.02.12</t>
  </si>
  <si>
    <t>Pervesti lėšas išmoką vaikui mokėti, skirtą COVID-19 pandemijos padariniams mažinti (gaunantiems universalią išmoką vaikui)</t>
  </si>
  <si>
    <t>10.01.05.02.13</t>
  </si>
  <si>
    <t>Apmokėti administravimo išlaidos</t>
  </si>
  <si>
    <t>10.01.05.02.14</t>
  </si>
  <si>
    <t>Užtikrinti pažangos priemonės vykdymą (globos (rūpybos) ir tiksliniam priedui mokėti)</t>
  </si>
  <si>
    <t>10.01.05.02.15</t>
  </si>
  <si>
    <t>Apmokėti administravimo išlaidas (globos (rūpybos) ir tiksliniam priedui mokėti)</t>
  </si>
  <si>
    <t>10.01.05.03</t>
  </si>
  <si>
    <t>Skirti ir išmokėti tikslines kompensacijas</t>
  </si>
  <si>
    <t>10.01.05.03.01</t>
  </si>
  <si>
    <t>Užtikrinti tikslinių kompensacijų mokėjimą</t>
  </si>
  <si>
    <t>Gavėjų skaičius</t>
  </si>
  <si>
    <t>10.01.05.03.02</t>
  </si>
  <si>
    <t>Patvirtinta pareigybių</t>
  </si>
  <si>
    <t>10.01.05.05</t>
  </si>
  <si>
    <t>Skirti kompensacijas nepriklausomybės gynėjams nukentėjusiems nuo 1991 m. sausio 11-13 d. ir po to vykdytos SSRS agresijos</t>
  </si>
  <si>
    <t>10.01.05.06</t>
  </si>
  <si>
    <t>Skirti kitas išmokas</t>
  </si>
  <si>
    <t>10.01.05.07</t>
  </si>
  <si>
    <t>Skirti socialinę paramą moksleiviams</t>
  </si>
  <si>
    <t>10.01.05.07.01</t>
  </si>
  <si>
    <t>Apmokėti išlaidas už įsigytus maisto produktus</t>
  </si>
  <si>
    <t>10.01.05.07.02</t>
  </si>
  <si>
    <t>Apmokėti išlaidas mokinio reikmenims</t>
  </si>
  <si>
    <t>10.01.05.08</t>
  </si>
  <si>
    <t>Kompensuoti keleivinio transporto vežėjų išlaidas (negautas pajamas) už lengvatinį keleivių vežimą reguliaraus susisiekimo maršrutais</t>
  </si>
  <si>
    <t>Sutartinių įsipareigojimų vykdymas</t>
  </si>
  <si>
    <t>Lėšos naudojamos pagal faktines išlaidas.</t>
  </si>
  <si>
    <t>10.01.05.09</t>
  </si>
  <si>
    <t>Įgyvendinti vystomojo bendradarbiavimo veiklą ir teikti humanitarinę pagalbą</t>
  </si>
  <si>
    <t>Suteikta pagalba (parama) šaliai, kurioje įvesta nepaprastoji padėtis ir (ar) karo padėtis</t>
  </si>
  <si>
    <t>2023 m. iš viso gauti 4 prašymai dėl humanitarinės pagalbos suteikimo, iš viso humanitarinei pagalbai teikti piniginėmis lėšomis skirta 180 000 Eur.
Skirta 80 tūkst. Eur humanitarinei pagalbai Ukrainos Respublikos Chmelnyckio miesto gyventojams. 2023-06-22 sudaryta sutartis su Lietuvos Raudonojo Kryžiaus draugija Nr. SŽ-1151, kurios pagrindu įsigyta reikalinga medicininė įranga.
100 tūkst. Eur humanitarinei pagalbai skirta humanitarinei pagalbai Ukrainos Respublikos Chmelnyckio miesto gyventojams. 2023-11-21 buvo sudaryta sutartis su Lietuvos Raudonojo Kryžiaus draugija Nr. SŽ-1890, kurios pagrindu organizacija nupirko ir į Chmelnyckio miestą transportavo 4820 vienetų šiltų rūbų (termorūbų).</t>
  </si>
  <si>
    <t>11.</t>
  </si>
  <si>
    <t>Savivaldybės veiklos programa</t>
  </si>
  <si>
    <t>11.01.</t>
  </si>
  <si>
    <t>Efektyviai organizuoti Savivaldybės darbą ir užtikrinti Savivaldybės funkcijų įgyvendinimą</t>
  </si>
  <si>
    <t>Darbuotojų, dalyvavusių mokymuose, skaičius (nuo visų darbuotojų skaičiaus)</t>
  </si>
  <si>
    <t>Vidutiniškai kiekvienas Savivaldybės administracijos darbuotojas per 2023 m. dalyvavo 3 mokymuose.</t>
  </si>
  <si>
    <t>Suteiktų elektroninių paslaugų kiekis</t>
  </si>
  <si>
    <t>Valstybės deleguotų funkcijų skaičius</t>
  </si>
  <si>
    <t>11.01.01.</t>
  </si>
  <si>
    <t>Organizuoti  Savivaldybės veiklos funkcijų įgyvendinimą</t>
  </si>
  <si>
    <t>11.01.01.01</t>
  </si>
  <si>
    <t>Užtikrinti Savivaldybės administracijos finansinį, ūkinį ir materialinį aptarnavimą</t>
  </si>
  <si>
    <t>Valstybės karjeros tarnautojų (pareigybių)</t>
  </si>
  <si>
    <t>Šiaulių miesto savivaldybės administracijoje 2023 m. sausio 1 d.  buvo patvirtintas didžiausias leistinas pareigybių skaičius - 272, 2023 m. gruodžio 31 d. - 279. iš jų valstybės tarnautojų pareigybių skaičius sausio 1 d. buvo 184, 2023 m. gruodžio 31 d. - 209. Pasikeitus Viešojo administravimo įstatymui, didžiausi pokyčiai įvyko šiuose skyriuose: Socialinių išmokų ir kompensacijų skyriuje vietoj 21 darbuotojo, dirbančių pagal darbo sutartį, pareigybės įsteigtos valstybės tarnautojų pareigybės,  Miesto koordinavimo skyriuje vietoj 7 darbuotojo, dirbančių pagal darbo sutartį, pareigybių įsteigtos valstybės tarnautojų pareigybės. 2023-03-02 TS Nr. T-78 įsteigta papildoma pareigybė Švietimo skyriuje. Kitų valstybės tarnautojų pareigybių pokytis įvyko atliekant vidinius pertvarkymus tarp skyrių pagal poreikį.</t>
  </si>
  <si>
    <t>Darbuotojų dirbančių pagal darbo sutartis (pareigybių)</t>
  </si>
  <si>
    <t>Darbuotojų,  dirbančių pagal darbo sutartis pareigybių skaičius sumažėjo ir  2023 m. sausio 1 d. buvo 88, 2023 m. gruodžio 31 d. - 70  pareigybių: Socialinių išmokų ir kompensacijų skyriuje sumažėjo 21 pareigybe ir Miesto koordinavimo skyriuje  -7 pareigybėmis. 2023-03-02 TS Nr. T-78  papildomai įsteigtos 4  pareigybės: 3 pareigybės perkeltos iš Tarybos ir mero sekretoriato, įsteigta 1 dokumentų redaktoriaus pareigybė. 2023-09-07 TS Nr. T-379 įsteigtos 2 pareigybės  Socialinių išmokų ir kompensacijų skyriuje (dokumentų registravimui). Kitų darbuotojų, dirbančių pagal darbo sutartis, pareigybių pokyčiai įvyko atliekant vidinius pertvarkymus tarp skyrių pagal poreikį.</t>
  </si>
  <si>
    <t>Įvykdytų planuotų administracijos remonto darbų</t>
  </si>
  <si>
    <t>2023 m. I ketvirtį restauruotos Civilinės metrikacijos skyriaus durys, pradėti Švietimo skyriaus kabinetų durų restauravimo darbai.
2023 m. II ketv. suremontuotos Švietimo skyriaus patalpos (perdaryta į 2 kab.), pradėti išorinių laiptų remontai. Stogo ir įėjimo remonto šiuo metu vyksta pirkimo procedūros.
2023 m. pradėti holo remonto darbai, kurie bus baigti IV ketv.
2023 m. IV ketv. holo remontai nepabaigti dėl papildomos projektavimo paslaugos pirkimo, remonto pabaiga keliasi į 2024 m.</t>
  </si>
  <si>
    <t>Įsigyta kompiuterinės technikos</t>
  </si>
  <si>
    <t>2023 m. įsigyta 40 vnt. kompiuterinės technikos: 15 nešiojamųjų kompiuterių ir 25 stacionarūs kompiuteriai.</t>
  </si>
  <si>
    <t>Įsigyta organizacinės technikos</t>
  </si>
  <si>
    <t>2023 m. įsigyta 4 vnt. organizacinės technikos:
2 tinklo komutatoriai
2 tinklo serveriai.</t>
  </si>
  <si>
    <t>Įsigyta programinė įranga</t>
  </si>
  <si>
    <t>2023 m. įsigyta 3 vnt. programinės įrangos:
MKS IS
Eset Antivirus
Vmware</t>
  </si>
  <si>
    <t>Įsigyta duomenų saugyklų</t>
  </si>
  <si>
    <t>2023 m. įsigyta 3 duomenų kaupyklos (pajungtos LRTC)</t>
  </si>
  <si>
    <t>Eksploatuojama kompiuterių</t>
  </si>
  <si>
    <t>2023 m. eksploatuojama 300 vnt. kompiuterių.</t>
  </si>
  <si>
    <t>Aktyvios komunikacijos Savivaldybės socialinėje paskyroje "Facebook" (sekėjai)</t>
  </si>
  <si>
    <t>Mokymų dalyvių</t>
  </si>
  <si>
    <t>2023 m. priskaičiuojama 840 mokymų dalyvių. Vidutiniškai vienas darbuotojas dalyvavo 3 mokymuose per metus.</t>
  </si>
  <si>
    <t>Sekėjų socialiniuose tinkluose lietuvių/anglų kalba (Linkedin ir Instagram) skaičius</t>
  </si>
  <si>
    <t>11.01.01.01.01</t>
  </si>
  <si>
    <t>Organizuoti Savivaldybės administracijos darbą</t>
  </si>
  <si>
    <t>2023 m. I ketvirtį yra 202 valstybės tarnautojų pareigybės (2023-03-31 duomenimis). Pasikeitus Viešojo administravimo įstatymui Socialinių išmokų ir kompensacijų skyriuje vietoj 21 darbuotojo, dirbančių pagal darbo sutartį, pareigybės įsteigtos valstybės tarnautojų pareigybės.
2023 II ketvirtis-Lyginant su I ketvirčiu valstybės tarnautojų galutinis pareigybių skaičius nesikeitė (2023-03-31 buvo 202):  panaikinta 1 Bendrųjų reikalų skyriaus Informacinių technologijų poskyrio vyr. specialisto, karjeros valstybės tarnautojo pareigybė ir  įsteigta 1 Švietimo skyriaus vyr. specialisto (karjeros valstybės tarnautojo) pareigybė.
2023 m. III ketv. lyginant su II ketvirčiu valstybės tarnautojų galutinis pareigybių skaičius padidėjo 3 pareigybėmis (2023-06-30 buvo 202):  Miesto koordinavimo skyriuje vietoj 4 darbuotojų, dirbančių pagal darbo sutartį, pareigybių įsteigtos 4 valstybės tarnautojų pareigybės. Apskaitos skyriuje panaikinta valstybės tarnautojo pareigybė.</t>
  </si>
  <si>
    <t>Darbuotojų, dirbančių pagal darbo sutartis (pareigybių)</t>
  </si>
  <si>
    <t>2023 m. I ketvirtį yra 70 darbuotojų, dirbančių pagal darbo sutartis, pareigybės (2023-03-31 duomenimis).
Darbuotojų,  dirbančių pagal darbo sutartis pareigybių (2023-03-31) yra 70. Šių pareigybių skaičius sumažėjo nei buvo planuota, kadangi Socialinių išmokų ir kompensacijų skyriuje vietoj darbuotojų, dirbančių pagal darbo sutartis, pareigybių buvo įsteigtos valstybės tarnautojų pareigybes. Priėmus sprendimą visuomenei naudingos veiklos organizavimo funkcijas iš Šiaulių miesto savivaldybės švietimo centro perkelti į Šiaulių miesto savivaldybės administraciją, Miesto ūkio ir aplinkos skyriuje buvo įsteigtos 3 pareigybės.
2023 II ketvirtis-Lyginant su I ketvirčiu darbuotojų,  dirbančių pagal darbo sutartis pareigybių skaičius padidėjo 5 pareigybėmis (2023-03-31 buvo 70): įsteigta 1 dokumentų redaktoriaus  pareigybė Kultūros skyriuje, 3 darbuotojų pareigybės perkeltos iš Savivaldybės tarybos ir mero sekretoriato ir įsteigta 1 Bendrųjų reikalų skyriaus Informacinių technologijų poskyrio vyr. specialisto,  darbuotojo, dirbančio pagal darbo sutartį, pareigybė.
2023 m. III ketv. Lyginant su II ketvirčiu darbuotojų,  dirbančių pagal darbo sutartis pareigybių skaičius sumažėjo 1 pareigybe (2023-06-30 buvo 75): Miesto koordinavimo skyriuje 4 darbuotojų, dirbančių pagal darbo sutartis, pareigybės  buvo panaikintos ir įsteigos valstybės tarnautojų pareigybės. 2023-09-07 Tarybos sprendimu T-379 Socialinių išmokų ir kompensacijų skyriuje papildomai įsteigtos 2 darbuotojų, dirbančio pagal darbo sutartį, pareigybės. Apskaitos skyriuje vietoj valstybės tarnautojo pareigybės įsteigta darbuotojo, dirbančio pagal darbo sutartį, pareigybė.</t>
  </si>
  <si>
    <t>11.01.01.01.03</t>
  </si>
  <si>
    <t>Organizuoti Civilinės būklės aktų registravimą</t>
  </si>
  <si>
    <t>Užtikrintas funkcijos įgyvendinimas</t>
  </si>
  <si>
    <t>Funkcijos įgyvendinimas užtikrinamas pagal poreikį.</t>
  </si>
  <si>
    <t>11.01.01.01.06</t>
  </si>
  <si>
    <t>Organizuoti socialinių paslaugų suteikimą bei socialinių išmokų ir kompensacijų mokėjimą</t>
  </si>
  <si>
    <t>11.01.01.01.09</t>
  </si>
  <si>
    <t>Apmokėti Savivaldybės administracijos teisines išlaidas</t>
  </si>
  <si>
    <t>11.01.01.01.10</t>
  </si>
  <si>
    <t>Organizuoti Savivaldybės administracijos pastato, patalpų remontą ir turto įsigijimą</t>
  </si>
  <si>
    <t>2023 m. I ketvirtį restauruotos Civilinės metrikacijos skyriaus durys, pradėti Švietimo skyriaus kabinetų durų restauravimo darbai.
2023 m. II ketv. suremontuotos Švietimo skyriaus patalpos (perdaryta į 2 kab.), pradėti išorinių laiptų remontai. Stogo ir įėjimo remonto šiuo metu vyksta pirkimo procedūros.
2023 m. III ketv. pastato stogo dalies remontas nebevykdomas priėmus sprendimą remontuoti ne dalį, o visą stogą. Pradėtas holo remontas, kuris bus baigtas IV ketv.
2023 m. IV ketv. pradėtas holo remontas keliasi į 2024 m. dėl papildomo projektavimo paslaugos pirkimo poreikio.</t>
  </si>
  <si>
    <t>11.01.01.01.11</t>
  </si>
  <si>
    <t>Organizuoti Savivaldybės administracijos informacijos sklaidą ir reprezentacinių prekių įsigijimą</t>
  </si>
  <si>
    <t>Aktyvios komunikacijos Savivaldybės socialinėje paskyroje "Facebook"(sekėjai)</t>
  </si>
  <si>
    <t>Komunikacija socialiniuose tinkluose lietuvių/anglų kalba (Linkedin ir Instagram) (sekėjai)</t>
  </si>
  <si>
    <t>Užtikrintas reprezentacinių prekių įsigijimas</t>
  </si>
  <si>
    <t>11.01.01.01.12</t>
  </si>
  <si>
    <t>Organizuoti Savivaldybės administracijos kompiuterinės ir programinės įrangos įsigijimą ir aptarnavimą</t>
  </si>
  <si>
    <t>2023 m. įsigyta 15 vnt. nešiojamų kompiuterių ir 25 vnt. stacionarių kompiuterių.</t>
  </si>
  <si>
    <t>Įsigyta programinės įrangos</t>
  </si>
  <si>
    <t>11.01.01.02</t>
  </si>
  <si>
    <t>Užtikrinti Savivaldybės tarybos, Savivaldybės mero ir jo politinio (asmeninio) pasitikėjimo valstybės tarnautojų finansinį, ūkinį ir materialinį aptarnavimą</t>
  </si>
  <si>
    <t>Tarybos sekretoriato darbuotojų (pareigybių)</t>
  </si>
  <si>
    <t>2023 m. patvirtintos 8 pareigybės.
Nuo 2023 m. balandžio 1 d. įsigaliojus naujam Vietos savivaldos įstatymui nenumatytas Tarybos ir mero sekretoriato steigimas kaip atskiro struktūrinio padalinio. Nuo 2023 m. balandžio 11 d.  Tarybos sekretoriatas veikia kaip Savivaldybės tarybos darinys, (2023-02-02 sprendimas Nr. T-31), kurį sudaro 8 pareigybės: 5 politinio (asmeninio) pasitikėjimo  valstybės tarnautojų pareigybės ir 3 pareigybės iš Administracijos pagal darbuotojus, dirbančius pagal darbo sutartį (2023-04-11 mero potvarkis Nr. MP-150).</t>
  </si>
  <si>
    <t>Įvykę skelbti Tarybos, Komitetų, Komisijų posėdžiai</t>
  </si>
  <si>
    <t>2023 m. įvyko visi skelbti Tarybos ir Komitetų posėdžiai.</t>
  </si>
  <si>
    <t>Laiku paskelbti ir įvykdyti Tarybos priimti sprendimai</t>
  </si>
  <si>
    <t>2023 m. visi Tarybos priimti sprendimai laiku paskelbti ir vykdomi juose nurodyta tvarka ir terminais.</t>
  </si>
  <si>
    <t>11.01.01.02.01</t>
  </si>
  <si>
    <t>Organizuoti Savivaldybės tarybos darbą</t>
  </si>
  <si>
    <t>Užtikrintas tarybos narių darbas</t>
  </si>
  <si>
    <t>Tarybos narių darbas materialiai užtikrinamas pagal poreikį.</t>
  </si>
  <si>
    <t>11.01.01.02.02</t>
  </si>
  <si>
    <t>Apmokėti Mero fondo išlaidas</t>
  </si>
  <si>
    <t>Mero išlaidos iš fondo apmokamos pagal poreikį.</t>
  </si>
  <si>
    <t>11.01.01.02.03</t>
  </si>
  <si>
    <t>Organizuoti Savivaldybės mero ir jo politinio (asmeninio) pasitikėjimo valstybės tarnautojų darbą</t>
  </si>
  <si>
    <t>2023 m. patvirtintos 8 Tarybos sekretoriato pareigybės. Nuo 2023 m. balandžio 1 d. įsigaliojus naujam Vietos savivaldos įstatymui nenumatytas Tarybos ir mero sekretoriato steigimas kaip atskiro struktūrinio padalinio. Nuo 2023 m. balandžio 11 d.  Tarybos sekretoriatas veikia kaip Savivaldybės tarybos darinys, (2023-02-02 sprendimas Nr. T-31), kurį sudaro 8 pareigybės: 5 politinio (asmeninio) pasitikėjimo  valstybės tarnautojų pareigybės ir 3 pareigybės iš Administracijos pagal darbuotojus, dirbančius pagal darbo sutartį (2023-04-11 mero potvarkis Nr. MP-150).</t>
  </si>
  <si>
    <t>11.01.01.03</t>
  </si>
  <si>
    <t>Užtikrinti Kontrolės ir audito tarnybos finansinį, ūkinį bei materialinį aptarnavimą</t>
  </si>
  <si>
    <t>Atliktų auditų</t>
  </si>
  <si>
    <t>2023 m. atlikti 5 auditai.</t>
  </si>
  <si>
    <t>11.01.01.05</t>
  </si>
  <si>
    <t>Užtikrinti Šiaulių apskaitos centro veiklą</t>
  </si>
  <si>
    <t>Užtikrintas centralizuotos apskaitos ir viešųjų pirkimų vykdymas</t>
  </si>
  <si>
    <t>I-IV ketv. lėšos panaudotos įstaigos vykdomų funkcijų užtikrinimui. Lėšos buvo naudojamos darbuotojų darbo užmokesčiui ir socialinio draudimo įmokoms, ryšių paslaugoms, patalpų nuomai, komunalinėms paslaugoms, IT sistemų palaikymui ir priežiūrai bei kitoms įvairioms prekėms ir paslaugoms kurios reikalingos užtikrinti įstaigos veiklą. 2023 m. pilnai užtikrintos ŠAC vykdomos biudžetinių įstaigų finansinės apskaitos ir savivaldybės centrinės perkančiosios organizacijos (SCPO) funkcijos. 2023 m. finansinės apskaitos paslaugos buvo suteiktos 82 Šiaulių miesto savivaldybei pavaldžioms biudžetinėms įstaigoms (Įstaigos). Viešųjų pirkimų (kaip SCPO) paslaugos buvo teikiamos 82 Įstaigoms ir Šiaulių miesto savivaldybės administracijai. 2023 metais buvo atlikti 126 centralizuoti pirkimai. Bendra inicijuotų pirkimų vertė siekė 61,3 milijonus eurų. 2023 m. papildomai pasiruošta sklandžiam Šiaulių miesto savivaldybės valdomų VŠĮ viešųjų pirkimų centralizavimui nuo 2024 m.</t>
  </si>
  <si>
    <t>11.01.01.09</t>
  </si>
  <si>
    <t>Užtikrinti projektų vykdymo priežiūros ir kitas inžinerines paslaugas</t>
  </si>
  <si>
    <t>Įgyvendintos projektų vykdymo priežiūros ir kitos inžinerinės paslaugos</t>
  </si>
  <si>
    <t>11.01.01.10</t>
  </si>
  <si>
    <t>Likviduoti įvykių, ekstremalių įvykių ir situacijų pasekmes (mero rezervas)</t>
  </si>
  <si>
    <t>Likviduotos įvykusių ekstremalių įvykių/situacijų pasekmės</t>
  </si>
  <si>
    <t>11.01.01.11</t>
  </si>
  <si>
    <t>Parengti Šiaulių m. 2025–2033 m. strateginį plėtros ir 2025–2027 m. strateginį veiklos planus</t>
  </si>
  <si>
    <t>Parinktas rengėjas</t>
  </si>
  <si>
    <t>2023 m. po įvykusių viešųjų pirkimų buvo parinktas Šiaulių m. 2025–2033 m. strateginio plėtros ir 2025–2027 m. strateginio veiklos planų rengėjas UAB „Ekonominės konsultacijos ir tyrimai“.</t>
  </si>
  <si>
    <t>Parengta esamos situacijos analizė</t>
  </si>
  <si>
    <t>Parengta esamos situacijos analizė, kuri buvo pristatyta Strateginės plėtros tarybos posėdyje, Savivaldybės tarybos nariams ir Šiaulių miesto gyventojams.</t>
  </si>
  <si>
    <t>Parengtas strateginis plėtros planas</t>
  </si>
  <si>
    <t>Parengtas strateginis veiklos planas</t>
  </si>
  <si>
    <t>11.01.02.</t>
  </si>
  <si>
    <t>Tinkamai įgyvendinti valstybines (perduotas savivaldybei) funkcijas</t>
  </si>
  <si>
    <t>11.01.02.01</t>
  </si>
  <si>
    <t>Deklaruoti gyvenamąją vietą</t>
  </si>
  <si>
    <t>11.01.02.02</t>
  </si>
  <si>
    <t>Teikti duomenis Valstybės registrui</t>
  </si>
  <si>
    <t>11.01.02.03</t>
  </si>
  <si>
    <t>Teikti pirminę teisinę pagalbą</t>
  </si>
  <si>
    <t>11.01.02.05</t>
  </si>
  <si>
    <t>Registruoti civilinės būklės aktus</t>
  </si>
  <si>
    <t>11.01.02.06</t>
  </si>
  <si>
    <t>Tvarkyti Gyventojų registrą</t>
  </si>
  <si>
    <t>11.01.02.07</t>
  </si>
  <si>
    <t>Vykdyti valstybinės kalbos vartojimo kontrolę</t>
  </si>
  <si>
    <t>11.01.02.09</t>
  </si>
  <si>
    <t>Įgyvendinti jaunimo politiką</t>
  </si>
  <si>
    <t>11.01.02.10</t>
  </si>
  <si>
    <t>Tvarkyti archyvinius dokumentus</t>
  </si>
  <si>
    <t>11.01.02.11</t>
  </si>
  <si>
    <t>Administruoti mobilizaciją</t>
  </si>
  <si>
    <t>11.01.02.12</t>
  </si>
  <si>
    <t>Organizuoti civilinę saugą</t>
  </si>
  <si>
    <t>11.01.02.13</t>
  </si>
  <si>
    <t>Vykdyti žemės ūkio funkcijas</t>
  </si>
  <si>
    <t>11.01.02.14</t>
  </si>
  <si>
    <t>Administruoti Užimtumo didinimo programą</t>
  </si>
  <si>
    <t>11.01.02.15</t>
  </si>
  <si>
    <t>Administruoti socialines pašalpas</t>
  </si>
  <si>
    <t>11.01.02.17</t>
  </si>
  <si>
    <t>Administruoti socialinę paramą mokiniams</t>
  </si>
  <si>
    <t>11.01.02.18</t>
  </si>
  <si>
    <t>Administruoti socialinę globą</t>
  </si>
  <si>
    <t>11.01.02.19</t>
  </si>
  <si>
    <t>Administruoti valstybinės žemės valdymą</t>
  </si>
  <si>
    <t>Perimtų patikėjimo teise valdyti žemės ir miško sklypų sk.</t>
  </si>
  <si>
    <t>11.01.02.20</t>
  </si>
  <si>
    <t>Administruoti būsto nuomos ar išperkamosios būsto nuomos mokesčių dalies kompensacijas</t>
  </si>
  <si>
    <t>11.01.02.21</t>
  </si>
  <si>
    <t>Užtikrinti informacijos apie neveiksnių asmenų būklę persvarstymą</t>
  </si>
  <si>
    <t>Komisijos priimti sprendimai kreiptis į teismą</t>
  </si>
  <si>
    <t>Komisijos inicijuoti asmens būklės peržiūrėjimai</t>
  </si>
  <si>
    <t>2023 m. I ketv. 62, II ketv. 60 peržiūrėjimų. III ketv. 3 posėdžių metu inicijuoti 84 asmenų būklės peržiūrėjimai.</t>
  </si>
  <si>
    <t>11.01.02.22</t>
  </si>
  <si>
    <t>Organizuoti tarpinstitucinio bendradarbiavimo koordinatoriaus darbą</t>
  </si>
  <si>
    <t>11.01.02.23</t>
  </si>
  <si>
    <t>Atlikti erdvinių duomenų rinkinio tvarkymo funkciją</t>
  </si>
  <si>
    <t>Atlikta tvarkymo funkcija</t>
  </si>
  <si>
    <t>11.01.04.</t>
  </si>
  <si>
    <t>Diegti ir palaikyti Savivaldybės administracijoje modernias informacines sistemas</t>
  </si>
  <si>
    <t>11.01.04.03</t>
  </si>
  <si>
    <t>Įgyvendinti administracinės naštos mažinimo planą ir organizuoti plano įgyvendinimo stebėseną</t>
  </si>
  <si>
    <t>Įgyvendintų plano priemonių</t>
  </si>
  <si>
    <t>11.01.04.04</t>
  </si>
  <si>
    <t>Gerinti asmenų aptarnavimo ir paslaugų kokybę Šiaulių miesto savivaldybėje</t>
  </si>
  <si>
    <t>Patobulinti viešojo administravimo paslaugų organizavimo ir teikimo procesai</t>
  </si>
  <si>
    <t>11.01.04.04.02</t>
  </si>
  <si>
    <t>Gerinti paslaugų teikimo ir asmenų aptarnavimo kokybę Šiaulių miesto savivaldybės administracijoje ir Šiaulių miesto savivaldybės viešojoje bibliotekoje</t>
  </si>
  <si>
    <t>11.01.04.04.03</t>
  </si>
  <si>
    <t>Gerinti viešųjų ir administracinių paslaugų (miesto tvarkymo, infrastruktūros priežiūros ir kt.) kokybę Šiaulių miesto savivaldybėje (II etapas)</t>
  </si>
  <si>
    <t>Projektas įgyvendintas, atliktos visos suplanuotos veiklos, t .y. įdiegta informacinė sistema Šiaulių miesto KC, įsigyta įranga užtikrinanti IS funkcionavimą Šiaulių miesto KC.</t>
  </si>
  <si>
    <t>11.01.04.04.05</t>
  </si>
  <si>
    <t>Įgyvendinti projektą „GovTech: miesto teritorijų priežiūros kontrolės sprendinys“</t>
  </si>
  <si>
    <t>Įgyvendintas miesto teritorijų priežiūros kontrolės sprendinys</t>
  </si>
  <si>
    <t>Sprendinys įdiegtas, sutartis įgyvendinta.</t>
  </si>
  <si>
    <t>11.01.04.08</t>
  </si>
  <si>
    <t>Įgyvendinti projektą „Bendradarbiavimas pasienio regione siekiant užtikrinti saugumą ir viešųjų paslaugų efektyvumą“</t>
  </si>
  <si>
    <t>Įrengtų vaizdo stebėjimo kamerų</t>
  </si>
  <si>
    <t>Baigtos projekto veiklos, parengta ir pateikta projekto ataskaita, laukiama išvados.</t>
  </si>
  <si>
    <t>Įsigyta kilnojamų vaizdo stebėjimo kamerų</t>
  </si>
  <si>
    <t>11.01.04.08.01</t>
  </si>
  <si>
    <t>Įgyvendinti projektą „Bendradarbiavimas pasienio regione siekiant užtikrinti saugumą ir viešųjų paslaugų efektyvumą 1“</t>
  </si>
  <si>
    <t>11.01.04.08.02</t>
  </si>
  <si>
    <t>Įgyvendinti projektą „Bendradarbiavimas pasienio regione siekiant užtikrinti saugumą ir viešųjų paslaugų efektyvumą 2“</t>
  </si>
  <si>
    <t>11.01.06.</t>
  </si>
  <si>
    <t>Užtikrinti finansinių įsipareigojimų vykdymą</t>
  </si>
  <si>
    <t>11.01.06.01</t>
  </si>
  <si>
    <t>Vykdyti paskolų grąžinimą, palūkanų už paskolas mokėjimą ir kitus finansinius  įsipareigojimus</t>
  </si>
  <si>
    <t>Pasirašytų paskolų sutarčių</t>
  </si>
  <si>
    <t>Įvykdyti skoliniai įsipareigojimai</t>
  </si>
  <si>
    <t>11.01.06.02</t>
  </si>
  <si>
    <t>Kompensuoti keleivių vežimo vietiniais maršrutais organizavimo išlaidas</t>
  </si>
  <si>
    <t>Įvykdyti sutartiniai įsipareigojimai</t>
  </si>
  <si>
    <t>11.01.06.03</t>
  </si>
  <si>
    <t>Vykdyti išmokėtos dotacijų dalies savivaldybei grąžinimą</t>
  </si>
  <si>
    <t>Atlikti suplanuoti VIPA dotacijos grąžinimo mokėjimai</t>
  </si>
  <si>
    <t>11.01.06.03.01</t>
  </si>
  <si>
    <t>Vykdyti projekto „Aplinkos oro kokybės gerinimas Šiaulių mieste“ išmokėtos dotacijos dalies grąžinimą</t>
  </si>
  <si>
    <t>Atliktas suplanuotas VIPA dotacijos grąžinimo mokėjimas</t>
  </si>
  <si>
    <t>11.01.06.03.02</t>
  </si>
  <si>
    <t>Vykdyti projekto „Pirminės asmens sveikatos priežiūros veiklos efektyvumo didinimas Šiaulių mieste“ išmokėtos dotacijos dalies grąžinimą</t>
  </si>
  <si>
    <t>11.01.06.04</t>
  </si>
  <si>
    <t>Užtikrinti Biudžetinių įstaigų finansinį, ūkinį aptarnavimą</t>
  </si>
  <si>
    <t>Įvykdyti švietimo įstaigų statinių inžinerinių sistemų avarijų ir jų padarinių šalinimo darbai</t>
  </si>
  <si>
    <t>Apdraustų biudžetinių įstaigų civilinės atsakomybės draudimu</t>
  </si>
  <si>
    <t>11.01.06.04.01</t>
  </si>
  <si>
    <t>Apmokėti civilinės atsakomybės draudimo paslaugas Savivaldybei pavaldžioms švietimo, sporto ir socialinių paslaugų įstaigoms</t>
  </si>
  <si>
    <t>11.01.06.04.02</t>
  </si>
  <si>
    <t>Užtikrinti statinių inžinerinių avarijų šalinimą Šiaulių miesto savivaldybės įstaigose</t>
  </si>
  <si>
    <t>11.01.07.</t>
  </si>
  <si>
    <t>Užtikrinti pagrindinius lygių galimybių principus Savivaldybės administracijoje</t>
  </si>
  <si>
    <t>11.01.07.01</t>
  </si>
  <si>
    <t>Sudaryti galimybes Savivaldybės administracijos darbuotojams dirbti nuotoliniu būdu ir taikyti lanksčius darbo grafikus</t>
  </si>
  <si>
    <t>Sudarytos sąlygos dirbti nuotoliniu būdu</t>
  </si>
  <si>
    <t>Per 2023 metus Administracijoje gauti 264 prašymai dėl nuotolinio darbo. Darbuotojams sudarytos sąlygos dirbti nuotoliniu būdu ir taikyti lanksčius darbo grafikus.</t>
  </si>
  <si>
    <t>11.01.07.02</t>
  </si>
  <si>
    <t>Teikti pasiūlymus dėl lygių galimybių kriterijų/krypčių numatymo Savivaldybės vykdomose programose</t>
  </si>
  <si>
    <t>Pateikti pasiūlymai</t>
  </si>
  <si>
    <t>11.01.07.03</t>
  </si>
  <si>
    <t>Užtikrinti informacijos sklaidą lygių galimybių klausimais</t>
  </si>
  <si>
    <t>Parengta straipsnių</t>
  </si>
  <si>
    <t>Sudaryta Paslaugų teikimo sutartis Nr. SŽ-654, pagal kurią transliuojamos reportažinio tipo aktualių įprastinio pobūdžio informacinių pranešimų savaitės aktualijų TV laidos, skirtos Šiaulių miesto gyventojams, su vertimu į gestų kalbą. Parengtas straipsnis apie Lietuvoje vykdomą Moterų lobistinės organizacijos vykdomą projektą "Politinis moterų dalyvavimas pažangai: nuo analizės iki veiksmo". Parengta ir atnaujinta informacija Savivaldybės internetinės svetainės skiltyje "Lygių galimybių užtikrinimas". Parengtas straipsnis "Administracijos lygių galimybių padėties analizė".</t>
  </si>
  <si>
    <t>11.02.</t>
  </si>
  <si>
    <t>Plėtoti bendradarbiavimą su socialiniais partneriais</t>
  </si>
  <si>
    <t>Prevencinės programos įgyvendinimas</t>
  </si>
  <si>
    <t>Finansuota bendruomeninių projektų</t>
  </si>
  <si>
    <t>11.02.01.</t>
  </si>
  <si>
    <t>Plėtoti bendradarbiavimą su miesto teisėtvarkos institucijomis ir vietos bendruomene</t>
  </si>
  <si>
    <t>11.02.01.01</t>
  </si>
  <si>
    <t>Įgyvendinti prevencines programas</t>
  </si>
  <si>
    <t>Įgyvendintų prevencinių priemonių skaičius</t>
  </si>
  <si>
    <t>Įgyvendintų prevencinių priemonių skaičius pagal Šiaulių miesto savivaldybės gaisrų prevencijos ir nusikaltimų prevencijos programų priemonių planus.</t>
  </si>
  <si>
    <t>11.02.01.01.01</t>
  </si>
  <si>
    <t>Įgyvendinti Šiaulių miesto savivaldybės nusikaltimų prevencijos programą</t>
  </si>
  <si>
    <t>11.02.01.01.02</t>
  </si>
  <si>
    <t>Įgyvendinti Šiaulių miesto savivaldybės gaisrų prevencijos programą</t>
  </si>
  <si>
    <t>11.02.01.03</t>
  </si>
  <si>
    <t>Stiprinti bendruomeninę veiklą savivaldybėje</t>
  </si>
  <si>
    <t>Finansuota projektų</t>
  </si>
  <si>
    <t>Finansuota prašymų</t>
  </si>
  <si>
    <t>Įgyvendinta iniciatyvų</t>
  </si>
  <si>
    <t>11.02.01.03.01</t>
  </si>
  <si>
    <t>Organizuoti bendruomeninės veiklos projektų finansavimą</t>
  </si>
  <si>
    <t>11.02.01.03.02</t>
  </si>
  <si>
    <t>Įgyvendinti tradicinių religinių bendruomenių ir bendrijų rėmimo programą</t>
  </si>
  <si>
    <t>11.02.01.03.03</t>
  </si>
  <si>
    <t>Įgyvendinti visuomenės iniciatyvas</t>
  </si>
  <si>
    <t>Įgyvendinta mokinių iniciatyvų</t>
  </si>
  <si>
    <t>11.02.01.04</t>
  </si>
  <si>
    <t>Skatinti nevyriausybinių organizacijų veiklą ir užtikrinti jų plėtrą</t>
  </si>
  <si>
    <t>I ketvirtį suorganizuotas paraiškų teikimo konkursas. II ketv. pasirašytos finansavimo sutartys su Projektų vykdytojais.</t>
  </si>
  <si>
    <t>Suorganizuota mokymų</t>
  </si>
  <si>
    <t>11.02.01.05</t>
  </si>
  <si>
    <t>Dalyvauti rengiant ir įgyvendinant Šiaulių vietos veiklos grupės strategiją</t>
  </si>
  <si>
    <t>Sudaryta biudžeto lėšų naudojimo sutarčių</t>
  </si>
  <si>
    <t>Išmokėta prisidėjimo dalis prie projekto įgyvendinimo.</t>
  </si>
  <si>
    <t>11.02.01.06</t>
  </si>
  <si>
    <t>Įgyvendinti dalyvaujamojo biudžeto iniciatyvas</t>
  </si>
  <si>
    <t>Įgyvendintų iniciatyvų</t>
  </si>
  <si>
    <t>11.02.01.06.01</t>
  </si>
  <si>
    <t>Įgyvendinti bendruomenės iniciatyvas, skirtas gyvenamajai aplinkai gerinti</t>
  </si>
  <si>
    <t>11.02.01.06.02</t>
  </si>
  <si>
    <t>Įgyvendinti mokinių iniciatyvas</t>
  </si>
  <si>
    <t>11.02.01.07</t>
  </si>
  <si>
    <t>Dalyvių</t>
  </si>
  <si>
    <t>Jaunimo, dalyvaujančio projektinėje veikloje, dalis nuo bendro jaunimo skaičiaus</t>
  </si>
  <si>
    <t>11.02.01.08</t>
  </si>
  <si>
    <t>Užtikrinti Integracijos paslaugų trečiųjų šalių piliečiams teikimo ir stiprinimo priemonių įgyvendinimą</t>
  </si>
  <si>
    <t>Parengta padalomoji medžiaga</t>
  </si>
  <si>
    <t>Integracijos paslaugų teikimo plane numatytų priemonių įgyvendinimas</t>
  </si>
  <si>
    <t>Integracijos paslaugų teikimo plane numatytų priemonių įgyvendinimas 50 proc.</t>
  </si>
  <si>
    <t>Įstaigų (savivaldybės biudžetinių įstaigų, nevyriausybinių organizacijų ir kt), teikiančių informaciją interneto svetainėse</t>
  </si>
  <si>
    <t>Įstaigų skaičius 60  (savivaldybės biudžetinių įstaigų, nevyriausybinių organizacijų ir kt), teikiančių informaciją interneto svetainėse</t>
  </si>
  <si>
    <t>Ankstyvosios trečiųjų valstybių piliečių integracijos veiklas vykdančių organizacijų</t>
  </si>
  <si>
    <t>Suorganizuota mokymų ir individualių konsultacijų, skirtų karo pabėgėlių įgalinimui</t>
  </si>
  <si>
    <t>Organizuotos individualios konsultacijos ir mokymai.</t>
  </si>
  <si>
    <t>Suorganizuota prevencinių konsultacijų sprendžiant priklausomybių problemas</t>
  </si>
  <si>
    <t>Suorganizuota prevencinių renginių sprendžiant priklausomybių problemas</t>
  </si>
  <si>
    <t>Suorganizuota stovyklų, skirtų vietos bendruomenės narių ir užsieniečių sutelktumo stiprinimui</t>
  </si>
  <si>
    <t>Suorganizuota konsultacijų, skirtų tėvams ir jų vaikams sėkmingai pasiruošti ugdymo procesui</t>
  </si>
  <si>
    <t>Suorganizuota konsultacijų, skirtų tėvams ir jų vaikams sėkmingai pasiruošti ugdymo procesui.</t>
  </si>
  <si>
    <t>Suorganizuota renginių / suteikta kompleksinių psichosocialinių konsultacijų  karo pabėgėliams</t>
  </si>
  <si>
    <t>Dirbančių užsieniečių dalis nuo visų darbingo amžiaus užsieniečių, registruotų savivaldybės teritorijoje</t>
  </si>
  <si>
    <t>1.</t>
  </si>
  <si>
    <t>SAVIVALDYBĖS BIUDŽETAS IŠ VISO, IŠ JO:</t>
  </si>
  <si>
    <t>Savivaldybės biudžeto lėšos (SB)</t>
  </si>
  <si>
    <t>Skolintos lėšos (PS)</t>
  </si>
  <si>
    <t>Lėšos ugdymo reikmėms VB (UR)</t>
  </si>
  <si>
    <t>Lėšos valstybinėms funkcijoms VB (VF)</t>
  </si>
  <si>
    <t>Valstybės biudžeto lėšos (VB)</t>
  </si>
  <si>
    <t>Kelių priežiūros ir plėtros programos lėšos VB (KPPP)</t>
  </si>
  <si>
    <t>Valstybės investicijų projektų lėšos VB (VIP)</t>
  </si>
  <si>
    <t>Europos Sąjungos lėšos (ES)</t>
  </si>
  <si>
    <t>Įstaigos pajamų lėšos (PL)</t>
  </si>
  <si>
    <t>Lėšų likutis ataskaitinio laikotarpio pabaigoje (LIK)</t>
  </si>
  <si>
    <t>Aplinkos apsaugos rėmimo specialiosios programos lėšos SB (AA)</t>
  </si>
  <si>
    <t>Lėšų likutis iš Aplinkos apsaugos rėmimo specialiosios programos SB (AA/LIK)</t>
  </si>
  <si>
    <t>2.</t>
  </si>
  <si>
    <t>KITOS LĖŠOS IŠ VISO, IŠ JŲ:</t>
  </si>
  <si>
    <t>Valstybės biudžeto lėšos KT (VB)</t>
  </si>
  <si>
    <t>Europos Sąjungos lėšos KT (ES)</t>
  </si>
  <si>
    <t>Kitų šaltinių lėšos KT (KL)</t>
  </si>
  <si>
    <t>IŠ VISO programai finansuoti pagal finansavimo šaltinius:</t>
  </si>
  <si>
    <t>2023 metų I-IV ketvirčio įvykdymo proc.</t>
  </si>
  <si>
    <t>Faktas</t>
  </si>
  <si>
    <t xml:space="preserve"> Švietimo įstaigų, kuriose atnaujintas lauko apšvietimas ( Rasos progimnazijos ikimokyklinio ugdymo sk., „Kregždutė“, P. Avižonio ugdymo centras, Centro pradinė mokykla,  l/d „Berželis“, ,„Vaikystė“,  „Varpelis“, „Ąžuoliukas“ ir kt.)</t>
  </si>
  <si>
    <t>Švietimo įstaigų, atnaujinusių  virtuves ir įrangą (Zoknių progimnazija, Šiaulių universitetinė gimnazija, ,,Santarvės“  gimnazija , Centro pradinės mokykla, ir kt.)</t>
  </si>
  <si>
    <t xml:space="preserve"> Įstaigų, kuriose atliktas vamzdynų remontas (l/d „Varpelis“, „Trys nykštukai“, "Eglutė", Centro pr. mokykla ir kt.)</t>
  </si>
  <si>
    <t>Įstaigų, kuriose atliktas elektros instaliacijos remontas (l/d „Ąžuoliukas“ II korpusas, ,,Berželis“, ,,Drugelis“ ir kt.)</t>
  </si>
  <si>
    <t>Parengtas Teritorijos tarp Gegužių, Architektų, Gardino ir Aido gatvių Šiauliuose detalusis planas, kuris patvirtintas 2023 gegužės 2 d. Šiaulių miesto savivaldybės direktoriaus įsakymu Nr. A-644.</t>
  </si>
  <si>
    <t>Atliktas supaprastinta tvarka parengto žemės sklypo Pramonės g. 15, Šiauliuose detaliojo plano koregavimas patvirtintas 2023 m. lapkričio 30 d. Šiaulių miesto savivaldybės administracijos direktoriaus įsakymu Nr. A-1131.</t>
  </si>
  <si>
    <t>2023 m. kartojamos viešųjų pirkimų procedūros</t>
  </si>
  <si>
    <t>Suplanuota žemės paėmimo visuomenės poreikiams procedūra adresu Lyros g. 13, Šiauliuose yra sustabdyta</t>
  </si>
  <si>
    <t>Nebuvo poreikio inicijuoti žemės paėmimo visuomenės poreikiams procedūrų</t>
  </si>
  <si>
    <t xml:space="preserve"> Parengta 18  valstybinės žemės FPP projektų, atlikti 42 žemės sklypų kadastriniai matavimai.
</t>
  </si>
  <si>
    <t>Atlikti darbai (tęstinis 2023 m. projektas) - Dainų parko tolesnis gerbūvio gerinimas apimantis tokius darbus ir pirkimus:
WC konteineris – sutartis 2022-10-31 Nr. SŽ-1655;
elektros prijungimo darbai – sutartis 2023-04-07 Nr. SŽ-692; 
vandentiekio ir nuotekų darbai – sutartis 2023-04-11 Nr. SŽ-702; 
aikštelės įrengimo darbai – sutartis 2023-04-07 Nr. SŽ-691; 
pagal 2022-10-31 sutartį Nr. SŽ-1655 nupirktas modulinis tualetas; 
pagal 2022-12-21 sutartį Nr. SŽ-1903 suprojektuotas tualeto prijungimas prie elektros;
pagal 2022-12-21 sutartį Nr. SŽ-1904 suprojektuotas tualeto prijungimas prie vandentiekio;
pagal 2023-04-07 sutartį Nr. SŽ-691 atliktas tualeto įrengimas kartu su aikštele;
pagal 2023-04-11 sutartį Nr. SŽ-702 atlikti tualeto prijungimo prie vandentiekio rangos darbai;
pagal 2023-04-07 sutartį Nr. SŽ-692 atlikti tualeto prijungimo prie vandentiekio rangos darbai</t>
  </si>
  <si>
    <t xml:space="preserve">Parengtas Lieporių parko paviršinio vandens surinkimo ir drenažo sistemos projektas. Sutartis Nr. SŽ- 1170. </t>
  </si>
  <si>
    <t>Dalinis įgyvendinimas: parengtas "skate" parko projektas</t>
  </si>
  <si>
    <t>Dėl neplanuotai išsitęsusio Lieporių parko nusausinimo projekto parengimo, vaikų žaidimo aiktelės projektas bus rengiamas 2024 m.
Lieporių vaikų žaidimo aikštelės projektas neparengtas, nes vietoj vaikų žaidimo aikštelės nutarta rengti Lieporių parko kompleksinio sutvarkymo projektą, prieš tai parengus Lieporių parko nusausinimo projektą. Projektavimas nukeltas į 2024 m.(5)</t>
  </si>
  <si>
    <t>Parengti inžinerinių tinklų iškėlimo, perkėlimo, prijungimo, apsaugojimo reikalavimai – 2 vnt.
Dainų tako ESO dalies A laidos parengimo paslauga (žodinė sutartis)</t>
  </si>
  <si>
    <t>Pagal 2022-12-28 sutartį Nr. SŽ-1934 parengtas kito inžinerinio statinio (sporto paskirties) - riedučių, riedlenčių ir BMX dviračių (skate) aikštelės, V. Grinkevičiaus g. 1, Šiauliuose, supaprastinto statybos projektas (5).</t>
  </si>
  <si>
    <t xml:space="preserve"> Įtraukus parkas vaikams - projektavimo paslauga buvo perkama 3 kartus, tačiau neatsirado projektuotojų, todėl perkelta į 2024 metus.
</t>
  </si>
  <si>
    <t>Projektavimo paslaugos: Talkšos ež. pakrantės dviračių takas; J.Jablonskio takas; Liejyklos g. takas; Žuvininkų g. projekt. ; tarp Purienų ir Spindulio g.; Tauro g. kelių saugumo auditas, Pakapės g. ekspertizė, Pikeliškės g. ekspertizė; Pramonės g., Vilniaus g.; Tilžės g. nuo Dubijos g. iki Vytauto g., Ežero g. proj.; Karaliaučiaus g. projekt., Gardino  - Aido g. projektas.</t>
  </si>
  <si>
    <t xml:space="preserve">Kapavietės Aviacijos g., Šiauliuose sutvarkymo darbai užbaigti. </t>
  </si>
  <si>
    <t xml:space="preserve">2023 m. finansuoti 32 kultūros projektai </t>
  </si>
  <si>
    <r>
      <t>2023 m. kofinansuota ir įgyvendinta 20 Tolygios kultūrinės raidos programos projektų ir 11 Papildomų kultūros priemonių</t>
    </r>
    <r>
      <rPr>
        <sz val="10"/>
        <rFont val="Times New Roman"/>
        <family val="1"/>
        <charset val="186"/>
      </rPr>
      <t>.</t>
    </r>
    <r>
      <rPr>
        <sz val="10"/>
        <color rgb="FF000000"/>
        <rFont val="Times New Roman"/>
        <family val="1"/>
        <charset val="186"/>
      </rPr>
      <t xml:space="preserve"> Iš viso kofinansuotas ir įgyvendintas 31 projektas.</t>
    </r>
  </si>
  <si>
    <t>2023 m. Kultūros projektų finansavimo konkursui buvo pateikta 40 paraiškų. Kultūros ekspertų komisija, įvertinusi visas paraiškas, rekomendavo finansuoti 32 kultūros projektus.</t>
  </si>
  <si>
    <r>
      <t>Įteiktos 2 Šiaulių miesto savivaldybės premijos Šiaulių valstybinio dramos teatro kūrybiniams darbuotojams, mokėtos stipendijos 4 jauniesiems menininkams, įteiktos 4 Šiaulių miesto savivaldybės kultūros ir meno premijos</t>
    </r>
    <r>
      <rPr>
        <sz val="10"/>
        <color rgb="FFFF0000"/>
        <rFont val="Times New Roman"/>
        <family val="1"/>
        <charset val="186"/>
      </rPr>
      <t xml:space="preserve"> </t>
    </r>
    <r>
      <rPr>
        <sz val="10"/>
        <color rgb="FF000000"/>
        <rFont val="Times New Roman"/>
        <family val="1"/>
        <charset val="186"/>
      </rPr>
      <t xml:space="preserve"> ir 1 premija už geriausią kultūrinės edukacijos projektą.</t>
    </r>
  </si>
  <si>
    <t>2023 m. kofinansuota ir įgyvendinta 20 Tolygios kultūrinės raidos programos projektų ir 11 Papildomos kultūros priemonių. Iš viso kofinansuotas ir įgyvendintas 31 projektas.</t>
  </si>
  <si>
    <t>2023 m. kofinansuota ir įgyvendinta 20 Tolygios kultūrinės raidos programos projektų ir 11 papildomų kultūros priemonių. Iš viso kofinansuotas ir įgyvendintas 31 projektas.</t>
  </si>
  <si>
    <t>Surengta mažiau parodų nei planuota, nes Šiaulių miesto kultūros centre „Laiptų galerija“ vyko remontas nuo 2023 m. kovo 15 d. iki 2023 m. spalio 20 d.</t>
  </si>
  <si>
    <t>Per 2023 m. nugenėti 4 438 medžiai.</t>
  </si>
  <si>
    <t>Apmokama Rėkyvos ugniagesių savanorių draugijai už gaisrų prevenciją - Rėkyvos ežero pakrančių stebėjimą, UAB „Žalvaris“ už pavojingų atliekų surinkimą ir utilizavimą, Šiaulių priešgaisrinei gelbėjimo valdybai perkama priemonių. Per 2023 m. UAB "Toksika" pagal užsakymą surinko 1996 kg pavojingų atliekų.</t>
  </si>
  <si>
    <t>Finansuojami nevyriausybinių organizacijų (NVO) aplinkosauginio švietimo projektai. Įvykdžius aplinkosauginio švietimo projektų finansavimo konkursą, finansavimas skirtas 4 NVO projektams: Šiaulių apskrities Povilo Višinskio viešoji bibliotekai „Tvarumo laboratorija: edukacijų ciklas bibliotekoje“ ; Vilniaus universiteto Šiaulių akademijai ,,Rūšiuoju, kompostuoju ir naudoju" , Rėkyvos gyvenvietės bendruomenei ,,Rėkyvos gyvenvietės kraštovaizdžio gerinimas įtraukiant socialiai pažeidžiamas grupes" , VšĮ Meninės tekstilės dirbtuvės „Arasai“ Secreta Flumina/Upių paslaptys .
Organizacijos vykdė įvairias veiklas : organizuoti žygiai, siekiant pažinti ir atrasti Šiaulių miesto upes, organizuotos parodos bei konferencijos, edukaciniai užsiėmimai tvarumo tema, Botanikos sode sukurtas žaidimas „Rūšiuoju“, Rėkyvos seniūnijoje atnaujintas informacinis stendas, atnaujintas gėlynas prie jo, sutvarkyta aplinka.</t>
  </si>
  <si>
    <t>Per 2023 m. suorganizuoti 3 aplinkosauginiai renginiai, t.y., Pasaulinė Žemės diena, Europos judumo savaitė (organizavo UAB "Busturas", savivaldybė buvo partnerė) ir Klimato savaitė (renginį organizavo VšĮ Žaliasis taškas" pagal pakuočių gamintojų ir importuotojų organizacijos pasirinktą visuomenės švietimo priemonę). Nuo 2023 m. kovo 17 d. iki 2023 m. kovo 31 d. buvo vykdomos iniciatyvos, skirtos Pasaulinei žemės dienai. Kovo 20 d. buvo pakelta Pasaulinės žemės dienos vėliava, Prisikėlimo aikštėje per garsiakalbius buvo leidžiami gamtos, paukščių garsai. Kovo 17–27 d. buvo organizuojama Paukščių ir šikšnosparnių inkilų paroda-konkursas, kuriame dalyvavo 54 dalyviai. Kovo 20 d. buvo organizuojama dokumentinio filmo „Keturi metų laikai-2“ peržiūra. Kovo 17–31 d. Šiaulių kultūros centro Amatų dirbtuvėse organizuoti edukaciniai užsiėmimai „Molio forma“ ir „Molio ir stiklo bičiulystė“, kurios metu dalyviai gamino molinius paukštelius dekoruotus glazūra bei stiklu. Siekiant atkreipti visuomenės dėmesį į teisingą atliekų išrūšiavimą ir išmetimą, Talkšos ežero pakrantėje 3 šiukšlių dėžėms buvo pagaminti skiriamieji ženklai „Šunų ekskrementams“.</t>
  </si>
  <si>
    <t>2023 m. Užimtumo tarnyboje įregistruoti 722 užsieniečiai: pastoviam darbui įdarbinta – 289 asm., subsidijuojant įdarbinti (remiamas įdarbinimas)- 183 asm., pradėjo veiklą su verslo liudijimu – 21 asm., terminuotai įdarbinti – 52 asm.</t>
  </si>
  <si>
    <t xml:space="preserve">Suorganizuota renginių / suteikta kompleksinių psichosocialinių konsultacijų  karo pabėgėliams. </t>
  </si>
  <si>
    <t>Rodiklis 1000 turi būti pasiektas per visą projektą (2023-2024 m., ne tik per 2023 m.)</t>
  </si>
  <si>
    <t>Šv. Jurgio parapija atliko pastato vidaus patalpų remonto darbus (sienų paruošimas, dažymo darbai).                                                    Šiaulių Šv. Ignaco Lojolos bažnyčia įrengė vėdinimo sistemą rūsio patalpose (sumontuoti ortakiai, elektros aparatai, vožtuvai, sklendės, vėdinimo šachtų mazgai, pakabos, atraminės dalys).                                                                   Rėkyvos Šv. Juozapo Darbininkų parapija parengė kultūros paveldo tvarkybos projektą (topografinė nuotrauka, pastato apmatavimai, Kultūros paveldo departamento leidimas atlikti tvarkybos darbus (stogo, sienų ir cokolio remonto darbus), paveldosauginės ekspertizės aktą.                                    
Šiaulių Šv. M. Marijos nekalto prasidėjimo parapija įrengė apsaugos sistemą (sumontuotas vaizdo stebėjimo kamerų skaitmeninis įrašymo įrenginys, vaizdo stebėjimo kameros 16 vnt.).</t>
  </si>
  <si>
    <t>2023 m. įgyvendinant Administracijos direktoriaus patvirtintą Šiaulių miesto savivaldybės gaisrų prevencijos 2023–2025 metų programos įgyvendinimo ir finansavimo 2023 metais planą, buvo įvykdytos planuotos 22 gaisrų prevencijos priemonės. Sudaryta sutartis su PAGD prie VRM Šiaulių priešgaisrine gelbėjimo valdyba (2023-04-04 Nr. SŽ-652). Civilinės saugos ir teisėtvarkos skyriaus Civilinės saugos poskyris suorganizavo 500 lankstinukų gaisrinės saugos tematika (3 temomis) gamybą ir platinimą.</t>
  </si>
  <si>
    <t>Įgyvendinant Nusikaltimų prevencijos programą, buvo sudarytos 6 sutartys su atsakingais vykdytojais. Įgyvendinta 15 prevencinių priemonių pagal Tarybos 2022 m. gruodžio 1 d. patvirtinto sprendimo Nr. T-411 priemonių plano einamųjų metų vertinimo kriterijų reikšmes. Vykdyta nusikalstamumo prevencija ir kontrolė, informacinė sklaida apie turtinius nusikaltimus, smurto artimoje aplinkoje, prekybos žmonėmis prevencija didinant informacijos žinomumą per suaugusiųjų, vaikų ir jaunimo švietėjiškas veiklas.</t>
  </si>
  <si>
    <t>Per metus pateikti 2 pasiūlymai: 1) Administracijos skyrių vykdomose programose įtraukti asmenų su negalia poreikių tenkinimo rodiklį. Rekomenduojama organizuojant konkursus ir  rengiant technines užduotis įtraukti tinkamos infrastuktūros, aplinkos ir paslaugų organizavimo procesų asmenims su negalia klientų grupėms prioritetą; 2) Skyrių vykdomose finansavimo programose įrašyti lygių galimybių ir nediskriminavimo (dėl lyties, rasės, tautybės, pilietybės, kalbos, kilmės, socialinės padėties, tikėjimo, įsitikinimų ar pažiūrų, amžiaus, negalios, lytinės orientacijos, etninės priklausomybės, religijos ir kitų diskriminacinių motyvų) kurį nors vieną iš kriterijų.</t>
  </si>
  <si>
    <t xml:space="preserve">2023 m. teikti trys prašymai dėl lėšų skyrimo iš mero rezervo, visi dėl daugiabutyje, adresu Aido g. 37, kilusio gaisro. 2023 m. patvirtinti 2 prašymai. Trečias prašymas pateiktas 2023 m. IV pabaigoje, svarstymas perkeltas į 2024 m. 
</t>
  </si>
  <si>
    <t>Dėl visų šviestuvų pakeitimo iš natrio į LED, sumažėjo elektros energijos suvartojimas. Dėl 2023 m. balandį pakeisto elektros tiekėjo iš UAB Electrum Lietuva, kai dieninė elektros kWh kainavo 0,58 eur, į UAB ,,Ignitis", kur vidutinė lanksti kaina apie 0,08 eur, sumažėjo miesto išlaidos už elektros energiją.</t>
  </si>
  <si>
    <t>CPVA dar nepatvirtino galutinio mokėjimo prašymo, nes analizuoja tinkamų finansuoti darbų apimtis.</t>
  </si>
  <si>
    <r>
      <rPr>
        <sz val="10"/>
        <rFont val="Times New Roman"/>
        <family val="1"/>
        <charset val="186"/>
      </rPr>
      <t xml:space="preserve">Darbai vykdomi lėčiau nei planuota, nes rangovas </t>
    </r>
    <r>
      <rPr>
        <sz val="10"/>
        <color rgb="FF000000"/>
        <rFont val="Times New Roman"/>
        <family val="1"/>
        <charset val="186"/>
      </rPr>
      <t xml:space="preserve">neturėjo pajėgumų atlikti suplanuotus darbus, surašyti trišaliai susitarimai. Dėl to darbų pabaiga persikėlė į 2024 m. 
</t>
    </r>
  </si>
  <si>
    <t>Per 2023 m. surinkta rinkliavos 5 005 000 eur.</t>
  </si>
  <si>
    <t>Darbai buvo vykdomi šiose teritorijose: Talkšos, Rėkyvos ežerų, Prūdelio tvenkinio pakrantėse, Vijolės, Šventupio upeliuose, Panevėžio g., Pramonės g., Pandėlio g., sodų bendrijų „Margiai“, „Ramunė“, Luknės g., Sembos g. – Lietuvininkų g., Šakių g., Mažvydo g., Žuvininkų g., Poilsio g., Kauno g., Verduliukų g., Miško g., Frenkelių g., Uosių g., Numerių g., Ragainės g., Žilvičių g., Verdulių g., Aukštoji g. – Dvaro g., Smilgų g., Ragainės g., Šeduvos g., Kudirkos g., Biržų g. ir kt. lietaus nuotekų surinkimo grioviuose. 
Tvarkytas Vijolės upelis nuo Botanikos sodo iki Vilniaus g. 600 m.  ir upelis Trumpiškių g. iki Piktmiškio g. 2000 m , išvalytos 2 pralaidos. Išardyta 14 bebrų užtvankų.</t>
  </si>
  <si>
    <t>Su UAB Inreal Geo 2023-05-15 SŽ-886 pasirašyta mieste esančių griovių ir upelių inventorizacijos sutartis, atliekamos paslaugos, kur bus identifikuoti upeliai ir lietaus nuotekų surinkimo grioviai, nustatytos taikytinos ar būtinos tvarkymo priemonės. Identifikuota 24,799 km griovių.</t>
  </si>
  <si>
    <t>Gėlynų priežiūros, sodinimo, naujų gėlynų įrengimo paslaugą teikia UAB ,,Ecoservice projektai". Prižiūrimi stacionarūs gėlynai ir tūrinės gėlinės - vazonuose, loveliuose. Didžiausi gėlynų plotai - Prisikėlimo a., Višinskio - Stoties g. skvere, Talkšos ežero pakrantėje. Vilniaus g. bulvare prižiūrimos 142 vnt. ketaus gėlinės.</t>
  </si>
  <si>
    <t>Apmokame UAB Šiaulių gatvių apšvietimas už miesto apšvietimo (šviestuvų priežiūra) ir šviesoforų valdymo paslaugas. Šviestuvų kiekis per 2023 m. padidėjo dėl  šviestuvų, esančių Talkšos ežero pakrantėje, Zubovų parke, Aviacijos g., Draugystės pr. ir kvartale, Vilniaus bulvare bei Vasario 16-osios g., perdavimo eksploatacijai.
Per 2023 m. įrengtas naujas dviračių ir pėsčiųjų tako apšvietimas Architektų g. , sumontuoti 147 vnt. nauji lauko šviestuvai, rangovas UAB Fisanta.</t>
  </si>
  <si>
    <t>Apmokame už smulkius darbus - naujus suoliukus (keičiami vietoj susidėvėjusių), autobusų stotelėse esančių stoginių priežiūrą (plovimą), sulaužytų atitvarų remontą (išardymą) pagal poreikį. 2023 m. išardyti atitvarai Tilžės g., Gegužių g. , nukelti 2 kioskai ties Sevastopolio g.19.</t>
  </si>
  <si>
    <t>Neatliktas Administracijos stogo dalies remontas, nes neįvyko pirkimai (buvo skelbta 2 kartus per CPO).</t>
  </si>
  <si>
    <t>Atliktas poveikio asmens duomenų apsaugai vertinimas dėl bendro asmens duomenų valdymo. Gauta teigiama išvada, pasirašytas perdavimo-priėmimo aktas. 
Įsigyta programinė įranga, reikalinga UAB "Šiaulių gatvių apšvietimas" vaizdo stebėjimo kamerų vaizdo duomenų perdavimui ŠMSA.
Pasirašytas papildomas susitarimas su UAB „Šiaulių gatvių apšvietimas“ prie asmens duomenų bendrojo valdymo sutarties Nr. SŽ-1655, papildant 2023 m. prie ŠMSA pajungtų UAB „Šiaulių gatvių apšvietimas“ kamerų sąrašą. 
Iš viso per 2023 m. prie ŠMSA vaizdo stebėjimo sistemos pajungtas vaizdo duomenų perdavimas iš 24 UAB "Šiaulių gatvių apšvietimas" kamerų.</t>
  </si>
  <si>
    <t>1. Vaizdo stebėjimo kamerų techninę priežiūrą vykdyta pagal 2022-11-04 sutartį Nr. SŽ-1673. 
2. Atliktas vaizdo stebėjimo sistemos funkcionalumui užtikrinti reikalingos įrangos remontas/keitimas.
3.  Atliktas vaizdo stebėjimo proceso poveikio duomenų apsaugai vertinimas dėl ŠMSA ir Policijos bendro asmens duomenų valdymo. Pasirašytas perdavimo-priėmimo aktas.
4. Pasirašytas papildomas susitarimas su ŠAVPK (Nr. SŽ-1020, 2023-06-12) dėl bendro duomenų valdymo, kurio pagrindu policijai suteikta prieiga prie visų ŠMSA vaizdo stebėjimo kamerų.</t>
  </si>
  <si>
    <t>Įrengtas vienas greičio matuoklis (Tilžės g. atkarpa nuo Donelaičio g. iki Ragainės g.) ir 3 papildomos pakaitinės vietos (Vilniaus g. atkarpa nuo Darželio g. iki Darbininkų g., Architektų g. atkarpa nuo J. Jablonskio g. iki Gardino g., Tilžės g. ties Tilžės namu Nr. 11)  (2022-11-24 sutartis Nr. SŽ-1772, 2023-09-20 Nr. SŽ-1558. 
Greičio matuoklio duomenys automatiškai perduodami policijai, 2023-08-23 pasirašius papildomą susitarimą dėl 2022 m. spalio 11 / 12 d. Duomenų teikimo sutarties Nr. SŽ-1519 / 15R-466 pakeitimo Nr. SŽ-1444.</t>
  </si>
  <si>
    <t>Įrengtos:
1. 2 vaizdo stebėsenos kameros prie "Trijų paukščių" fontano pagal 2022-11-15 sutartį SŽ-1699;
2. 3 vaizdo stebėsenos kameros Beržynėlio parke pagal 2023-07-27 sutartį Nr. SŽ-1341 ir 2 vaizdo stebėjimo kameros Dainų parke prie Pump track trasos pagal 2023-10-18 sutartį  Nr. SŽ-1770.
Prie ŠMSA vaizdo stebėjimo sistemos pajungtos kitų skyrių vykdomų projektų metų įrengtos 4 vaizdo stebėjimo kameros: 3 vnt. Zubovų parke, 1 vnt. Dainų take. 
Vykdant projektą "Bendradarbiavimas pasienio regione, siekiant užtikrinti saugumą ir viešųjų paslaugų efektyvumą“ (Nr. LLI-499) prisidėta įrengiant 6 vnt. vaizdo stebėjimo kamerų ir įsigyjant 2 vnt. kilnojamų kamerų.</t>
  </si>
  <si>
    <t>Sankryža kapitaliai rekonstruota įrengiant eismo pralaidumą maksimaliai didinančias papildomas eismo juostas visomis kryptimis. Atnaujintas apšvietimas, įrengtas naujas išmanusis šviesoforas. Pramonės gatvėje atnaujinti pėsčiųjų takai ir įrengtas atskiras dviračių takas. Rangovas S.Pakarklio įmonė.</t>
  </si>
  <si>
    <t>Atlikti galutiniai mokėjimai už 5 investicijų projektų korekcijas ir 2 investicijų projekto parengimą, pirminiai mokėjimai už 4 investicijų projektų parengimo ir 3 Latlit paraiškų parengimo paslaugas, atliktas mokėjimas AB Šiaulių energija už 24 vnt. daugiabučių namų investicijų projektų rengimą ir koregavimą.</t>
  </si>
  <si>
    <t>Pašalinti želdiniai (krūmai ir medžiai) iš Šiaulių pramoniniame parke esančio sklypo adresu: Aerouosto g. 1.</t>
  </si>
  <si>
    <t>Atlikti geležinkelio infrastruktūros įrengimo darbai. Dėl prastų oro sąlygų nebuvo galimybės užbaigti apdailinių plokščių įrengimo darbų. Rangos sutartis iš esmės įgyvendinta. 2024 m. taip pat bus tvarkomi statybos užbaigimo dokumentai. 
Pažymėtina, kad rangos sutartis nėra pažeidžiama, nes darbų vykdymui numatytas 18 mėn. terminas t. y. 2024 m. balandžio mėn.</t>
  </si>
  <si>
    <t>Rugsėjo mėn. vykdytas konkursas, apdovanojimai įvyko IV ketv.</t>
  </si>
  <si>
    <t>Liepos 17 d. įvyko paslaugos pirkimas CVP sistemoje, atlikta apklausa, laiku pateikta ataskaita, ataskaitos galutinių rezultatų pristatymas nuotoliniu būdu įvyko IV ketv.</t>
  </si>
  <si>
    <t>Kampanija įgyvendinta birželio - liepos mėnesiais.</t>
  </si>
  <si>
    <t xml:space="preserve">2023-04-11 Pasirašyta koncesijos sutartis Nr. SŽ-718.
Pasirašius naują koncesijos sutartį, koncesijos mokestis nebemokamas. </t>
  </si>
  <si>
    <t>Neįvykdyta dėl pirkimo sąlygų rengimo ir tikslinimo.</t>
  </si>
  <si>
    <t>Techninio projekto rengimas nukeltas į 2025 m.</t>
  </si>
  <si>
    <t xml:space="preserve">Dėl rangos darbų vėlavimo, atsižvelgiant į oro sąlygas visų darbų nepavyko atlikti. </t>
  </si>
  <si>
    <t>Dėl rangos darbų vėlavimo, buvo vykdytos pakartotinos pirkimo procedūros ir vėlavo dėl šviestuvų neatvykimo.</t>
  </si>
  <si>
    <t>Pasirašyta sutartis su Menų mokykla renginių organizavimui.  Įvykę renginiai: ,,Metų geriausieji“,  rugsėjo 1 d. renginiai, ,,Metų mokytojo“  ir šventinis vadovų vakaras.</t>
  </si>
  <si>
    <t>Pasirašyta sutartis su Šiaulių švietimo centru bendrojo vertinimo modelio diegimo (BVM) Šiaulių miesto ugdymo įstaigose (II etapas)“ įgyvendinimui, švietimo įstaigų vadovų rezervo rengimui ir švietimo įstaigų vadovų mentorių rengimui ir mentorystės programos įgyvendinimui (II etapas).</t>
  </si>
  <si>
    <t>Sukomplektuoti Pirmoko krepšeliai įteikti miesto pirmaklasiams.</t>
  </si>
  <si>
    <t>Programų paraiškų konkurso laimėtojas VUŠA atsisakė įgyvendinti programą ir sutarties nesudarė.</t>
  </si>
  <si>
    <t xml:space="preserve">Atsižvelgiant į 2022 m. patirtas išlaidas reorganizuojant švietimo įstaigas, lėšos buvo suplanuotos š. m. reorganizuojamų įstaigų pedagoginių darbuotojų išeitinėms išmokoms sumokėti ir valstybės vykdomos mokytojų optimizavimo programos išlaidoms padengti. </t>
  </si>
  <si>
    <t xml:space="preserve">Sumažėjo pavežamų moksleivių.
</t>
  </si>
  <si>
    <t xml:space="preserve">Vasaros laikotarpiu vyko 26 stovyklos, kuriose planavo dalyvauti 1308 vaikai, tačiau faktiškai užimti buvo 1131 vaikai (iš jų 129 ukrainiečiai). </t>
  </si>
  <si>
    <t>Atlikti „Rasos" progimnazijos aikštyno, Tiesos g. 1, Šiauliuose statybos rangos darbai.</t>
  </si>
  <si>
    <t>Atnaujinta Gytarių progimnazijos aikštyno, Kviečių g. 7, Šiauliuose pirkimo procedūra. Darbai persikėlė į 2024 m.</t>
  </si>
  <si>
    <t>Baigti Saulėtekio gimnazijos aikštyno, Lieporių g. 2, Šiauliuose statybos rangos darbai.</t>
  </si>
  <si>
    <t>Atliktas sulaikytas mokėjimas už kiemo aikštelės Pakalnės g. 6A įrengimą ir apmokėtas L/D ,,Pasaka“ projektinių pasiūlymų parengimas.
Apmokėti Gegužių progimnazijos rangos darbai.</t>
  </si>
  <si>
    <t>Atnaujinti Gytarių progimnazijos lauko laiptai.</t>
  </si>
  <si>
    <t>Rangos darbų konkursai vykdyti pakartotinai kol atrinkti nugalėtojai, sudarytos sutartys dėl darbų atlikimo Šiaulių lopšeliuose-darželiuose „Salduvė“ ir „Pelėdžiukas“ (buvęs „Žiburėlis“).</t>
  </si>
  <si>
    <t>Likusi įrangos, baldų ir priemonių dalis bus įsigyjama įpusėjus rangos darbams numatant jų pristatymą po rangos darbų pabaigos.</t>
  </si>
  <si>
    <t xml:space="preserve">2023 m. atliekami rekuperavimo ir kondicionavimo sistemos įrengimo darbai. 2022 m. birželio mėn. parengtas vėdinimo kondicionavimo sistemos techninis projektas. VšĮ Šiaulių reabilitacijos centras projekto įgyvendinimui įsipareigoja skirti iš savo biudžeto 40 % projekto vertės. Atliktas rangos darbų pirkimas per CPO LT, laimėtojas nustatytas ir 2023-06-27 pasirašyta pirkimo sutartis Nr. SPO260201. </t>
  </si>
  <si>
    <t>Privalomojo mokymo metu mokytų asmenų: I ketv. - 56, II ketv. - 82, III ketv. - 40, IV ketv. - 93 mokyti asmenys.</t>
  </si>
  <si>
    <t xml:space="preserve">Rodiklis sumažėjo, nes įvyko įstaigų reorganizacija.
</t>
  </si>
  <si>
    <t xml:space="preserve">Rodiklis viršytas, nes buvo atsižvelgta į Lietuvos Respublikos Valstybės kontrolės rekomendacijas - aktyviai dalyvauti vaikų sveikatos stiprinimo procesuose, didesnis dėmesys buvo skirtas fizinio aktyvumo, sveikos mitybos ir traumatizmo profilaktikos skatinimui, įtraukiant kuo daugiau mokinių dalyvauti sveikatinimo renginiuose.
</t>
  </si>
  <si>
    <t>Žmonių, baigusių Širdies ir kraujagyslių ligų ir cukrinio diabeto prevencinę sveikatos stiprinimo programą, skaičius: I ketv - 28, II ketv. - 85, III ketv. - 0, IV ketv. - 55 asmenys.</t>
  </si>
  <si>
    <t>Rodiklis viršytas dėl aktyvaus šeimos gydytojų įsitraukimo, skatinant asmenis dalyvauti programoje.</t>
  </si>
  <si>
    <t>Suteiktų individualių konsultacijų: I ketv. - 81, II ketv. - 308, III ketv. - 1640, IV ketv. - 1025.</t>
  </si>
  <si>
    <t>Suteiktų grupinių konsultacijų: II ketv. - 55, III ketv. - 312, IV ketv. - 300 konsultacijų.</t>
  </si>
  <si>
    <t>Pravestų mokymų: I ketv. 24, II ketv. - 6, III ketv. - 7, IV ketv.- 4 pravesti mokymai.</t>
  </si>
  <si>
    <t>5 asmenų gydymas pradėtas 2023 m. yra tęsiamas 2024 metais.</t>
  </si>
  <si>
    <t xml:space="preserve">Paskelbtas sveikatinimo projektų konkursas, pateiktos 29 projektų paraiškos, sudarytos 23 sveikatinimo projektų vykdymo sutartys.
</t>
  </si>
  <si>
    <t>Vandens maudyklų kokybės stebėsena Rėkyvos ežero ir Prūdelio tvenkinio paplūdymiuose, Talkšos ežero maudykloje pagal nustatytą grafiką.  II ketv. atlikta 22 tyrimai, III ketv. - 36 tyrimai stebint 2 maudyklas.</t>
  </si>
  <si>
    <t>Mesvabakterių tyrimas atliekamas tik esant poreikiui. Poreikio nebuvo.</t>
  </si>
  <si>
    <t>Per 2023 m. buvo pritaikyta 31 būstas (iš jų 5 asmenys būstą prisitaikė savarankiškai, rangovai 25 būstus pritaikė pilnai, 3 būstai buvo pritaikyti dalinai, todėl darbai perkelti į 2024 m.). 
2023 m. gautų prašymų pritaikyti būstą skaičius - 56.</t>
  </si>
  <si>
    <t xml:space="preserve">Tęsiami būsto pritaikymo darbai (15 būstų) 2024 metais. </t>
  </si>
  <si>
    <t>Įgyvendinant priemonę „Didinti socialinių paslaugų prieinamumą", Savivaldybė perka ir finansuoja šias paslaugas: 
1. Socialinė priežiūra šeimoms, patiriančioms socialinę riziką (paslaugą teikia Labdaros ir paramos fondas "SOS vaikų kaimų Lietuvoje draugija" ir VŠĮ "Šiaurės Lietuvos kolegija"); 
2. Išvadų dėl asmens gebėjimo pasirūpinti savimi rengimas; 
3. Parama maisto produktais ir (ar) būtinojo vartojimo prekėmis labiausiai skurstantiems Savivaldybės gyventojams (Europos pagalbos fondo finansuojamas projektas; partneris - Labdaros ir paramos fondas „Maisto bankas“); 
4. Asmeninės pagalbos paslauga asmenims su negalia (Socialinių paslaugų centras).                                                               Akredituotos socialinės priežiūros paslaugos: 
1. Intensyvios krizių įveikimo pagalbos paslaugas asmeniui (šeimai), atsidūrusiems krizinėje situacijoje (VŠĮ "Motinos Teresės šeimų namai"); 
2. Pagalba į namus (VŠĮ "Nuoširdus rūpestis", Šiaulių Vyskupijos Caritas, VŠĮ Nacionalinis socialinės integracijos institutas);  
3. Palydėjimo paslauga jaunuoliams (Kompleksinių paslaugų namai "Alka" ir VŠĮ "Vilniaus SOS vaikų kaimas"); 
4. Pavėžėjimo su pagalba paslauga asmenims, turintiems negalią (Šiaulių socialinių paslaugų centras); 
5. Apsaugotas būstas (Šiaulių miesto savivaldybės globos namai).</t>
  </si>
  <si>
    <t>Asmeninės pagalbos paslaugos 2023 m. suteiktos 55 asmenims su negalia.</t>
  </si>
  <si>
    <t>Buvo planuojama pradėti teikti Dienos centro paslaugas suaugusiems asmenims su negalia. Vykstant pastato rekonstrukcijai, Dienos centro paslaugas planuojama pradėti teikti nuo 2024-04-01.</t>
  </si>
  <si>
    <t>Kompleksinių paslaugų namuose "Alka" teikiamos šios paslaugos:
1. Ilgalaikė socialinė globa vaikams su negalia;
2. Trumpalaikė socialinė globa vaikams su negalia;
3. Laikinas atokvėpis institucijoje;
4. Laikinas atokvėpis namuose; 
5. Palydėjimo paslauga jaunuoliams.</t>
  </si>
  <si>
    <t>Mokama už faktiškai suteiktas paslaugas. Atsižvelgiant į mažesnį nei planuota paslaugų gavėjų skaičių, rodiklis neįvykdytas dėl poreikio nebuvimo.</t>
  </si>
  <si>
    <t xml:space="preserve">Išmokos mokamos pagal poreikį
</t>
  </si>
  <si>
    <t xml:space="preserve">Išmokos mokamos pagal poreikį.
</t>
  </si>
  <si>
    <t>Atlikti darbai: Saulė, kolumbariumas, L-D Ežerėlis - projektų ekspertizės paslaugos, Laiptų galerija, Atviras jaunimo centras Vytauto g. 103 A, statinių statybos techninės priežiūros paslaugos, deklaracijų ekspertizės paslaugos.</t>
  </si>
  <si>
    <t>III ketv. nesikreipta į teismą, nes NABPK pateikė informaciją, kad asmenų sveikatos būklė nepakito.</t>
  </si>
  <si>
    <t>II ketv. priimtas 1 sprendimas kreiptis į teismą.</t>
  </si>
  <si>
    <t xml:space="preserve">Projektas įgyvendintas. Atliktos visos suplanuotos veiklos, t.y. įdiegta leidinių išdavimo ir grąžinimo savitarnos sistema Šiaulių viešojoje bibliotekoje, sukurta gyventojų informavimo geolokacinė sistema, įdiegta leidimų ir licencijų išdavimo sistema, ir kt. </t>
  </si>
  <si>
    <t>Organizuoti 2 paraiškų teikimo konkursai, vykę III ketvirt. Konkursus organizuoja, paraiškas priima ir vertinimą vykdo LR SADM atrinkti konsultantai ir ekspertai. Administracijoje gavus vertinimo rezultatus III ketvirtį pasirašytos finansavimo sutartys  su 9 Projektų vykdytojais.</t>
  </si>
  <si>
    <t>Parengta  bendrojo plano koncepcija ir SPAV (strateginio poveikio aplinkai įvertinimas.</t>
  </si>
  <si>
    <t>Sutartyje numatytas 50 proc. apmokėjimas už koncepcijos parengimą pagal grafiką turėtų būti atliktas  2024m. gegužės mėn. Bendrojo plano koncepcijos parengimas yra didelės apimties dokumentas, kuris apima visą miestą ir yra rengiamas pagal grafiką.</t>
  </si>
  <si>
    <t>Parengtas bendrojo plano koregavimas, vyksta viešinimo procedūros iki 2024 m. kovo 1 d. (sprendinių derinimas 1 mėn. ir sprendinių patikrinimas 1 mėn.).</t>
  </si>
  <si>
    <t xml:space="preserve"> Lietuvos geologijos tarnyba VTPSI tikrinimo metu atšaukė savo derinimą dėl Pabalių žvyro karjero. Dėl šios priežasties rengėjai taisė BP sprendinius, šiuo metu kartojamos BP koreg. procedūros - viešinimas.</t>
  </si>
  <si>
    <t>Detalaus plano keitimas sustabdytas dėl teisminių ginčų. Planuojama gauti Teismo sprendimą 2024 m. vasario 7 d.</t>
  </si>
  <si>
    <t xml:space="preserve">Parengtas detaliojo plano keitimas, paslaugos sutartis su UAB ,,CityForm LT" Nr. SŽ-453 pasirašyta  2022 m. balandžio 4 d.  2023 m. </t>
  </si>
  <si>
    <t>Paslauga buvo 2 kartus sustabdyta ne dėl rengėjo kaltės, buvo aiškinamasi su VTPSI dėl planuojamos teritorijos ir susisiekimo ir inžinerinių komunikacijų aptarnavimo objektų teritorijos naudojimo būdo, kurio galimybė nenumatyta pagal BP koregavimo sprendinius emės sklypams  uGC-P funkcinėje zonoje.</t>
  </si>
  <si>
    <t>Parengtas detaliojo plano koregavimas, kuris patvirtintas 2023 m. rugpjūčio 28 d. Šiaulių miesto savivaldybės administracijos direktoriaus įsakymu A-971.</t>
  </si>
  <si>
    <t>Parengtas detaliojo plano keitimas</t>
  </si>
  <si>
    <t>Gautos VTPSI inspekcijos pastabos dėl skl. Pumpučiu g. 40 ir 42, kurie yra 0,0203 ha ir 0,0203 ha. VTPSI nurodė juos sujungti. Sprendiniai pataisyti. Pataisytus sprendinius turi suderinti Pumpučiu g. 40 ir 42 skl. Savininkai. Kurie buvo išvykę atostagauti, o po to susirgo, laukiamas jų derinimas.</t>
  </si>
  <si>
    <t>Buvo numatyta per maža pirkimo kaina.</t>
  </si>
  <si>
    <t>Nebebuvo poreikio.</t>
  </si>
  <si>
    <t>Vyko teisminiai ginčai.</t>
  </si>
  <si>
    <t>Toks buvo poreikis 2023 m.</t>
  </si>
  <si>
    <t>I etapas baigtas (parengtas techninis projektas) II etapas vykdomas iki 2025 metų. II ketv. dalinis tikslo įgyvendinimas - įvyko paminklo "Tautos laisvė" idėjos konkursas, apmokėtos I-os, II-os vietos konkurso laimėtojų premijos.
Projektas įgyvendintas III- IV ketvirtyje.</t>
  </si>
  <si>
    <t xml:space="preserve"> I etapas baigtas (parengtas techninis projektas) ir tęsiamas  II etapas, kuris bus užbaigtas  iki 2025 metų. Kadangi 2021-2022 m. projektavimo sutaris buvo nutraukta dėl įsipareigojimo nevykdymo.</t>
  </si>
  <si>
    <t>Reikalavimai perkelti į prekybos vietų projektų tvirtinimo potvarkį</t>
  </si>
  <si>
    <t>Paaiškėjus aplinkybei, kad skulptūra nėra Šiaulių miesto savivaldybės turtas, suplanuoti darbai kol kas nėra vykdomi. Skulptūros savininkui UAB "Elga" priėmus sprendimą dovanotį skulptūrą Šiaulių miestui, suplanuoti darbai bus atnaujinti.</t>
  </si>
  <si>
    <t>Architektūriniai konkursai organizuojami pagal poreikį.</t>
  </si>
  <si>
    <t xml:space="preserve"> Atlikti darbai: parengtas grafų Zubovų parko tvoros projektas ir šio projekto ekspertizė; viešojo Dainų parko tualeto elektros energijos, vandentiekio, nuotekų prijungimo  techniniai projektai.</t>
  </si>
  <si>
    <t xml:space="preserve">Tęsiami kiti projektavimo darbai, už kuriuos bus atsiskaitytą 2024 m. </t>
  </si>
  <si>
    <t xml:space="preserve">Parengti 4 techniniai projektai: l/d „Ežerėlis, Santarvės progimnazijos, l/d „Salduvė, l/d „Pelėdžiukas, Gytarių stadiono techninis projektas,l/d  „Salduvė“elektrotechnikos, Šiaulių dailės mokyklos stogo atnaujinimo, Dainų muzikos mokyklos stogo atnaujinimo projektai. Pasirašytos sutartys dėl l/d „Ežerėlis" lietaus nuotekų projektavimo, l/d „Salduvė" elektrotechnikos projektavimo.
</t>
  </si>
  <si>
    <t>Projektavimo paslaugos: Talkšos ež. pakrantės dviračių takas; J.Jablonskio takas; Liejyklos g. takas; Žuvininkų g. projekt. ; tarp Purienų ir Spindulio g.; Tauro g. kelių saugumo auditas, Pakapės g. ekspertizė, Pikeliškės g. ekspertizė; Pramonės g., Vilniaus g.; Tilžės g. nuo Dubijos g. iki Vytauto g., Ežero g. proj.; Karaliaučiaus g. projekt., Gardino  - Aido g. projektas.</t>
  </si>
  <si>
    <t>Dainų bulvaro viešojo tualeto įgijimo ir įrengimo darbai nukeliami į 2024 metus, dėl žemės sklypo pertvarkymo poreikio.</t>
  </si>
  <si>
    <t xml:space="preserve">Lieporių parko nusausinimo projektas  baigtas 2023 m. IV ketv. ir bus atliekama projekto ekspertizė. </t>
  </si>
  <si>
    <t>Politinis sprendimas dėl čerpių stogo dangos tipo priimtas 2024-01-11. Gavus ekspertizės išvadas bus perkama stogo sutvarkymo projektavimo paslauga, skaidant į etapus.</t>
  </si>
  <si>
    <t>Kultūros paveldo departamentas iš savo lėšų parengė vertybinį vertinimą</t>
  </si>
  <si>
    <t>Kultūros paveldo departamentas prie KM šiemet iš savo biudžeto lėšų finansavo Šiaulių miesto vertybinį vertinimą, tokiu būdu buvo sutaupytos SB lėšos Plėtoti kultūros paveldo apskaitą priemonėje.</t>
  </si>
  <si>
    <t xml:space="preserve">Nebuvo poreikio </t>
  </si>
  <si>
    <t>2023 m. topografinės nuotraukos yra rengiamos pagal poreikį, kuris priklauso nuo teritorijų planavimo dokumentų rengimo, tokio poreikio nebuvo.</t>
  </si>
  <si>
    <t xml:space="preserve">Pasirašyta sutartis 2024 m. sausio 10 d. su UAB „Archinova“ Nr. SŽ-30. </t>
  </si>
  <si>
    <t xml:space="preserve">Daromas rinkos tyrimas ir vykdoma galimų tiekėjų apklausa </t>
  </si>
  <si>
    <t>Dėl dailės kūrinio tvirtinimo technologinių specifikų neatsirado paslaugos teikėjų. Vykdytos 4 apklausos.</t>
  </si>
  <si>
    <t>Projekto rengimas perkeltas į 2024 m., nes reikėjo papildomai apmokėti už prioritetinio objekto kultūros ir visuomenės veikėjo P. Bugailiškio namo ( Žemaitės g. 83, Šiauliai) išorinių medinių langų ir durų sutvarkymo projektinės dokumentacijos parengimą. Taip pat labai vėlai paaiškėjo kitos paskirties inžinerinių statinių (atraminių sienelių) žemės sklype Šiaulių mieste tvarkomųjų statybos darbų (griovimo) rangos pirkimo konkurso rezultatai (2023-11) ir tiksli rangos darbų kaina.</t>
  </si>
  <si>
    <t xml:space="preserve"> „Kitos paskirties inžinerinių statinių (atraminių sienelių) žemės sklype Šiaulių mieste tvarkomųjų statybos darbų (griovimo)“ 
pirkimas neįvyko. Kvietimus pirmame konkurse buvo priėmę 3 dalyviai. Pasiūlymą pateikė tik 1 - UAB "Kaslita". UAB "Kaslita" pasiūlyta kaina buvo neįprastai maža - 17 787 Eur su PVM, kai projekte pateikta suvestinė statybos skaičiuojamoji kaina - 113 023 Eur. Viešojo pirkimo komisija paprašė pagrįsti neįprastai mažą kainą, tačiau UAB "Kaslita" pagrindimo nepateikė. Šiuo metu vykdomos antrojo konkurso pirkimo procedūros.
III ketv. Įvyko antrasis konkursas, dalyvavo 4 dalyviai, nustatytas laimėtojas, tačiau antrą vietą laimėjęs dalyvis pateikė pretenziją, todėl pirkimo procedūros buvo pratęstos.
IV ketv. Įvyko antrasis rangos darbų konkursas. 2023-11-21 pasirašyta rangos darbų sutartis su UAB „Kaslita“, kuri įsigaliojo 2023-11-30, kai rangovas pateikė sutarties įvykdymo užtikrinimą. Sutartis pasirašyta 2023 m. lapkričio 21 d. Nr. SŽ- 1889</t>
  </si>
  <si>
    <t>Pagal papildomą susitarimą  bus atliekami koncertų salės sienų ir lubų atnaujinimo darbai.</t>
  </si>
  <si>
    <t xml:space="preserve">Parengtas darbo projektas, atlikti scenos rekonstravimo darbai. Pasirašytas papildomas susitarimas dėl atliekamų darbų ir termino pratęsimo 2024 m. </t>
  </si>
  <si>
    <t xml:space="preserve">Sklypų valymas persikelia į 2024 m. </t>
  </si>
  <si>
    <t xml:space="preserve">III ketv. įmonei už skirtas lėšas nepavykus įsigyti technikos, buvo nuspręsta priemonės įgyvendinimą perkelti į 2024 metus. </t>
  </si>
  <si>
    <t>III ketv. nuspręsta priemonės vykdymą perkelti į 2024 metus.</t>
  </si>
  <si>
    <t>III ketv. planuota verslo ir pasiekimų paroda „Šiauliai 2023“ neįvyko.</t>
  </si>
  <si>
    <t>Neįvyko  reprezentacinis sporto renginys Tarptautinės žirgų konkūrų varžybos – Pasaulio taurės etapas.</t>
  </si>
  <si>
    <t>II  ketvirtį vykdytos 80 Neformaliojo vaikų švietimo programos. Užimti 2456 vaikai, iš jų 203 mokiniai turintys vidutinius, didelius ir labai didelius specialiuosius ugdymosi poreikius. 
III ketvirtyje vykdytos 72 Neformaliojo vaikų švietimo programos. Užimti 2164 vaikai, iš jų 209 mokiniai turintys vidutinius, didelius ir labai didelius specialiuosius ugdymosi poreikius. 
IV ketvirtis. Vykdomų programų skaičius nuo 2023 m. sausio mėn. vykdomų 64 programų iki metų pabaigos išaugo iki 113 programų.</t>
  </si>
  <si>
    <t xml:space="preserve">Rangos darbai nepradėti, nes užsitęsė projektavimo darbų pirkimo konkursas.
Dėl užsitęsusių VP procedūrų Gytarių progimnazijos sporto aikštyno atnaujinimo rangos darbai nukelti į 2024 m.  </t>
  </si>
  <si>
    <t>Nenupirkti rangos darbai, nes įvykusiame rangos darbų pirkime rangovai pasiūlė aukštesnę darbų kainą nei planuota. Bus skelbiamas naujas darbų pirkimas.
Ranga pradėta tik 2023 m. lapkričio mėn.</t>
  </si>
  <si>
    <t>Kol nebuvo pristatytos visos prekės, tol nebuvo galima teikti galutinio mokėjimo prašymo. Planuojama, kad GMP dokumentacija ir projekto finansiniai srautai bus baigti tvarkyti 2024 m. I ketv. Planuojama, kad ES ir VB lėšos bus pervestos po GMP patvirtinimo - 2024 m. I ketv.</t>
  </si>
  <si>
    <t>Siekiant panaudoti visą skirtą paramos sumą buvo perkamos papildomos prekės, kol nebuvo pristatytos visos prekės tol nebuvo galima teikti galutinio mokėjimo prašymo. Planuojama, kad GMP dokumentacija ir projekto finansiniai srautai bus baigti tvarkyti 2024 m. I ketv. Planuojama, kad ES ir VB lėšos bus pervestos po GMP patvirtinimo - 2024 m. I ketv.</t>
  </si>
  <si>
    <t>Siekiant panaudoti visą skirtą paramos sumą buvo perkamos papildomos prekės, kol nebuvo pristatytos visos prekės, tol nebuvo galima teikti galutinio mokėjimo prašymo. Planuojama, kad GMP dokumentacija ir projekto finansiniai srautai bus baigti tvarkyti 2024 m. I ketv. Planuojama, kad ES ir VB lėšos bus pervestos po GMP patvirtinimo - 2024 m.</t>
  </si>
  <si>
    <t>Užsitęsė viešieji pirkimai Zoknių progimnazijoje. ,,Romuvos“ ir Šiaulių universitetinėje gimnazijose nuardžius salių grindis, paaiškėjo nenumatyti rangos darbai, reikalaujantys papildomo projektavimo ir rangos darbų.</t>
  </si>
  <si>
    <t>Pasirinktas metodas, kad paramos lėšos būtų pervedamos tiesiai į Apskaitos sk., o ne į iždo sąskaitą, todėl siekiant apskaitoje užfiksuoti gautą avansą reikėjo visą gautą avanso sumą suplanuoti ankstesniame ketvirtyje, t.y. nebuvo galimybių dėliotis lėšų ketvirčiais pagal planuojamų patirti išlaidų momentą. Kitiems projektams neplanuojama rinktis tokio modelio. 2023 m. lapkričio 20 d. pateiktas tarpinis mokėjimo prašymas (TMP). Buvo planuota, kad TMP bus patikrintas ir patvirtintas, paramos lėšos (ES ir VB) bus pervestos iki 2023 m. pabaigos, todėl TMP suma buvo padidintos planuojamos ES lėšos. TMP patvirtintas nebuvo, todėl nei papildomai planuotos ES, nei VB lėšos gautos nebuvo. 
Taip pat lėčiau nei planuota vykdomos projekto veiklos, todėl galima laikyti, kad lėšos nepanaudotos dėl viešųjų konkursų, įrangos pirkimo procedūrų vėlavimo.</t>
  </si>
  <si>
    <t xml:space="preserve">Nuo 2023-07-11 vykdomi darbai, rangos darbų atlikimo terminas 2024-05-21. Įvykdyta 56,95% statybos rangos darbų,  likusi dalis statybos rangos darbų bus atlikta 2024 m. </t>
  </si>
  <si>
    <t>Pasiekus siektinus rodiklius sutaupytos paramos lėšos. Lėšos sutaupytos dėl poreikio nebuvimo (5).</t>
  </si>
  <si>
    <t>I ketv. nepateiktas poreikis. II ketv. gautas 1 prašymas, tačiau netenkintas. Šeimos pajamos viršija tvarkos apraše numatytą pajamų dydį. III ketv. gauti du prašymai: 1 netenkintas. Asmens pajamos viršija tvarkos apraše numatytą pajamų dydį. 2 prašymas anuliuotas (pareiškėjos pageidavimu). IV ketv. poreikis nepateiktas.</t>
  </si>
  <si>
    <t>Instagram - 1710; LinkedIn - 401</t>
  </si>
  <si>
    <t>Administracijos stogo dalies dangos keitimo darbai nepradėti dėl neįvykusių 2 pirkimų.</t>
  </si>
  <si>
    <t>2023 m. spalio mėn. buvo pakeistas Tarnybos 2023 m. veiklos planas, vietoj 6 auditų, palikti 5 auditai. (2023 m. spalio 6 d. Nr. V-7, posėdžio protokolas Nr. TK-5).</t>
  </si>
  <si>
    <t>Nebuvo perimti sklypai.</t>
  </si>
  <si>
    <t xml:space="preserve">Projektas baigtas įgyvendinti 2023 m. lapkričio 14 d. </t>
  </si>
  <si>
    <t xml:space="preserve">Projektas baigtas įgyvendinti 2023 m. gruodžio 7 d. </t>
  </si>
  <si>
    <t>Dėl vėlavusio Aprašo patvirtinimo LR SADM'e, konkursas buvo įgyvendintas ir finansavimo sutartys pasirašytos tik III metų ketvirčio pabaigoje, o dalis lėšų Pareiškėjams pervedama tik IV ketv.</t>
  </si>
  <si>
    <t>Neįgyvendinti 2  reikšmingi projektai, į veiklas buvo planuojama įtraukti 1690 jaunuolių</t>
  </si>
  <si>
    <t>Neįgyvendinti 2  reikšmingi projektai, į veiklas buvo planuojama įtraukti 160 jaunų žmonių</t>
  </si>
  <si>
    <t>Padalomosios medžiagos-lankstinukų nerengėme, nes 2023 m. II ketv. atrinkus projekto „Pabėgėlių iš Ukrainos priėmimas ir ankstyva integracija“, finansuojamo iš Prieglobsčio, migracijos ir integracijos fondo priemonės „Pagalba ekstremaliosios situacijos atveju“ lėšų, atrinkti 2 partneriai (NVO) vykdė įvairias veiklas, informacijos sklaidą projekto lėšomis, todėl lėšų poreikio nebuvo (5).</t>
  </si>
  <si>
    <t>Vykdoma pagal faktą.</t>
  </si>
  <si>
    <t>Pagal poreikį.</t>
  </si>
  <si>
    <r>
      <t xml:space="preserve">2023 m. gydymą baigė </t>
    </r>
    <r>
      <rPr>
        <sz val="10"/>
        <rFont val="Times New Roman"/>
        <family val="1"/>
        <charset val="186"/>
      </rPr>
      <t xml:space="preserve">10 </t>
    </r>
    <r>
      <rPr>
        <sz val="10"/>
        <color rgb="FF000000"/>
        <rFont val="Times New Roman"/>
        <family val="1"/>
        <charset val="186"/>
      </rPr>
      <t xml:space="preserve">asmenų: I ketv. - 1; II ketv. - 4; III ketv.- 2; IV ketv. - 3 asmenys. </t>
    </r>
  </si>
  <si>
    <t>Paslaugos teikiamos pagal poreikį</t>
  </si>
  <si>
    <t>Pagal faktą.</t>
  </si>
  <si>
    <t>Kraiteliai teikiami pagal faktą.</t>
  </si>
  <si>
    <t>Dėl papildomo finansavimo procedūrų galutinio mokėjimo prašymo pateikimo terminas nukeltas į 2024 m., todėl rodiklio pasiekimas persikėlė į 2024 m.</t>
  </si>
  <si>
    <t>MVA apdorojimo pastato statyba ir rengimas (rangos darbai): 2023-05-11 paskelbtas konkurso nugalėtojas. Sutartis pasirašyta 2023-06-08, įsigaliojo 2023-06-14 rangovui pateikus sutarties įvykdymo užtikrinimo dokumentus. Sutarties projekte darbų atlikimo terminas – ne ilgiau kaip 10 mėn. nuo darbų pradžios. Statybos leidimas gautas 2023-07-11. Statybų pradžia paskelbta 2023-07-17, statybvietė perduota rangovui. SK dalies A laida parengta, VN dalies A laida koreguojama pagal Rangovo pateiktas pastabas, E dalies A laida parengta 2024-01-10, ŠVOK dalies A laida parengta, tačiau po pastabų tikslinama.
Projekto vykdytojas paprašė APV‘os pratęsti projekto įgyvendinimo laikotarpį maksimaliam terminui, t. y. iki 2024-07-31. ŠRATC turi žodinį patvirtinimą, kad pratęsimo dokumentai ruošiami.</t>
  </si>
  <si>
    <t xml:space="preserve">Paraiškas 2023 m. Sporto plėtros programos lėšoms gauti pateikė tik trys neįgaliųjų sporto klubai. </t>
  </si>
  <si>
    <t>Iniciatyvos 2023 m. neįgyvendintos. Papriemonės įgyvendinimas nukeltas į 2024 m.</t>
  </si>
  <si>
    <t>Nebuvo poreikio.</t>
  </si>
  <si>
    <t>Tenkinami prašymai pagal poreikį</t>
  </si>
  <si>
    <t>Paslaugos teikiamos pagal poreikį. I-IV ketv. nepateiktas poreikis.</t>
  </si>
  <si>
    <t>Poreikio įsigyti asmens apsaugos priemones nebuvo.</t>
  </si>
  <si>
    <t>Paslaugos teikiamos pagal poreikį.</t>
  </si>
  <si>
    <t xml:space="preserve"> Stebėtos 2 įteisintos maudyklos Rėkyvos ežero ir Prūdelio tvenkinio paplūdymiuose (2023-05-23 mero potvarkis Nr. M-300). Mesvabakterių tyrimas atliekamas tik esant poreikiui. Poreikio nebuvo.</t>
  </si>
  <si>
    <t>Įgyvendinti mažos apimties dalyvaujamo biudžeto projektai: 
1. ,,Medelyno progimnazijos aikštelės "Pabučiuok ir važiuok" įrengimas“
2. ,,Rėkyvos parko tako bei reljefo prie ežero sutvarkymas“</t>
  </si>
  <si>
    <t>Mokinių dalyvaujamojo biudžeto iniciatyvos nebuvo pradėtos, kadangi nebuvo poreikio.</t>
  </si>
  <si>
    <r>
      <t>Apmokėta l/d "Trys nykštukai" sienų apšiltinimo rangos darbai</t>
    </r>
    <r>
      <rPr>
        <sz val="10"/>
        <color rgb="FFFF0000"/>
        <rFont val="Times New Roman"/>
        <family val="1"/>
        <charset val="186"/>
      </rPr>
      <t xml:space="preserve">
</t>
    </r>
  </si>
  <si>
    <t>Sutvarkytas faktiškai susidaręs atliekų kiekis</t>
  </si>
  <si>
    <t>Surinktas faktiškai susidaręs atliekų kiekis</t>
  </si>
  <si>
    <t>Tvarkoma pagal poreikį ir kylančias problemas. Sutvarkyta mažiau, bet ilgesnių atkarpų, nei buvo vertinta planuojant.</t>
  </si>
  <si>
    <t>Pralaidos valomos pagal poreikį ir metų eigoje kilusias problemas.</t>
  </si>
  <si>
    <t>Po paslaugų atliko viešo konkurso ir atliktų darbų, buvo tiksliau įvertinta atliktų darbų apimtis.</t>
  </si>
  <si>
    <t>Vyraujant sausiems gegužės mėn. orams, buvo organizuotas gatvių su žvyro danga apdorojimas kalcio chloridu dulkėtumui sumažinti. Priemonėmis apdorota 9175 m. žvyruotų gatvių.</t>
  </si>
  <si>
    <t>Pavasarį susidarė daugiau gatvių sąšlavų, todėl didesnė dalis lėšų buvo skirta pavasariniam valymui.</t>
  </si>
  <si>
    <t>Gautos 5 paraiškos, tačiau 1 paraiška neatitiko reikalavimų ir buvo atmesta</t>
  </si>
  <si>
    <t>Knygos perkamos pagal poreikį aplinkosauginiams renginiams. Nupirkta mažiau, bet geresnių leidinių</t>
  </si>
  <si>
    <t>1. Siekiant atkreipti visuomenės dėmesį į teisingą atliekų išrūšiavimą ir išmetimą, Talkšos ežero pakrantėje buvo pagaminti skiriamieji ženklai „Šunų ekskrementams“.   2. Skelbiama kiekvieną mėnesį informacija apie Šiaulių miesto oro kokybę www.siauliai.lt (aplinkosaugos naujienų skiltyje), teikiama informacija spaudai.</t>
  </si>
  <si>
    <t xml:space="preserve">Nurodytas faktinis bendras metinis plotas, kuris buvo barstomas (apimtys priklauso nuo oro sąlygų, didesnis poreikis buvo valyti nuo sniego, nuvalyta 34 300 288 kv.m.) </t>
  </si>
  <si>
    <t>Prižiūrimi Šiaulių miesto žalieji plotai - prie gatvių, skveruose, parkuose. Pagrindinę paslaugą atlieka UAB "Ecoservice projektai". Už Centrinio parko, Lieporių parko ir Saulės laikrodžio aikštės priežiūrą atsakingi kiti paslaugų teikėjai. Kai kuriuose plotuose, pvz. Prisikėlimo a., Vilniaus g. bulvaras, Aušros alėja, Kaštonų alėja, Talkšos ežero pakrantėje, Tilžės g. ir kt. nustatytas I (aukšto) priežiūros lygis teritorijose, kurių priežiūrai keliami aukštesni reikalavimai.</t>
  </si>
  <si>
    <t>Įrengta daugiau naujų gėlynų, mažiau sodinta esamuose</t>
  </si>
  <si>
    <t>Kirtimas vykdytas pagal poreikį metų bėgyje.</t>
  </si>
  <si>
    <t xml:space="preserve">Per 2023 m. pagauta 178 bešeimininkių gyvūnų, surinkta 41 vnt. gaišenų, kastruota 81 vnt. kačių/katinų, 73 vnt. gyvūnui įskiepyta mikroschema, karantinuota, maitinta šunų 689 vnt., karantinuota, maitinta kačių 2217 vnt. </t>
  </si>
  <si>
    <t xml:space="preserve">Už skirtą Lietuvos gyvūnų globos draugijos Šiaulių skyriui finansavimą gaudomi ne tik bešeimininkiai gyvūnai, tačiau ir kastruojami, maitinami.  </t>
  </si>
  <si>
    <t>Dalis suoliukų buvo pakeista naujais, daliai visiškai pakeista sėdimoji dalis, todėl perdažyti prireikė mažesnį suoliukų kiekį</t>
  </si>
  <si>
    <t>Dangos remontuotos mažesniam skaičiui daugiabučių namų, tačiau didesne apimtimi.</t>
  </si>
  <si>
    <t xml:space="preserve">Vienas projekto parengimas persikėlė į 2024 m, todėl nepavyko priemonės įgyvendinti 100% </t>
  </si>
  <si>
    <t xml:space="preserve">Prižiūrimas gatvių skaičius planuojamas prieš 1-2 metus, o tų metų bėgyje gatvės yra išasfaltuojamos, todėl ir mažėja jų skaičius. </t>
  </si>
  <si>
    <t> Asfaltuota kelio atkarpa</t>
  </si>
  <si>
    <t>Šalintos avarijos, visi kiti pinigai sunaudoti už paslaugas</t>
  </si>
  <si>
    <t>Kitos suplanuotos 2 priemonės finansuotos  iš kitų priemonių : (3) Architektų g. pėsčiųjų-dviračių tako apšvietimas iš 04.01.01.01.14 papriemonės, (4) Marijampolės g. nuo Birutės g. iki J. Šliūpo g. pėsčiųjų-dviračių tako įrengimas iš 11.02.01.06</t>
  </si>
  <si>
    <t>Sukurta nuoroda savivaldybės puslapyje dėl priėmimo į neformaliojo švietimo įstaigas, todėl sistemos atsisakyta.</t>
  </si>
  <si>
    <t>Sutartys pasirašytos  konkurso būdu atrinktoms programoms vykdyti.</t>
  </si>
  <si>
    <t>Buvo gautos 4 paraiškos tik iš Šiaulių miesto valstybinės kolegijos. Vilniaus universiteto Šiaulių akademija paraiškų nepateikė.</t>
  </si>
  <si>
    <t>Suorganizuota STEAM konferencija ikimokyklinėms įstaigoms, parengta kita viešinimo medžiaga..</t>
  </si>
  <si>
    <t>2023 m. 44 studentams išmokėta studijų parama.</t>
  </si>
  <si>
    <t>Po švietimo įstaigų reorganizacijos Šiaulių mieste liko 54 švietimo įstaigos.</t>
  </si>
  <si>
    <t>Šioje priemonėje finansavimas skiriamas 8 miesto nefoprmaliojo švietimo mokykloms, nors neformalųjį ugdymą mieste vykdo 8 neformaliojo ir 2 bendrojo ugdymo mokyklos.</t>
  </si>
  <si>
    <t>Lankė mažiau vaikų nei planuota.</t>
  </si>
  <si>
    <t>Po ikimokyklinio švietimo įstaigų reorganizacijos Šiaulių mieste liko 24 švietimo įstaigos.</t>
  </si>
  <si>
    <t>Mokama už faktiškai pateiktas paraiškas. Atsižvelgiant į mažesnį nei planuota lėšų gavėjų skaičių, rodiklis neįvykdytas dėl poreikio nebuvimo – sumažėjęs vaikų skaičius</t>
  </si>
  <si>
    <t>Įvykdyti išorės sienų šiltinimo darbai.</t>
  </si>
  <si>
    <t xml:space="preserve">Dėl pabrangusių medžiagų suplanuotų lėšų pakako tik 4 įstaigoms.
</t>
  </si>
  <si>
    <t>Dėl užsitęsusių viešųjų pirkimų procedūrų, Dailės ir Dainų muzikos mokyklų stogų remontai nukelti į 2024 m.</t>
  </si>
  <si>
    <t>Hibridinės klasės įrengtos 2022 m.</t>
  </si>
  <si>
    <t>Nuo 2023 m. ši priemonė skirstoma į papriemones. Pastabos yra žemiau esančiose papriemonėse.</t>
  </si>
  <si>
    <t>Kondicionavimo sistemų diegimas ikimokyklinio ugdymo įstaigose nukeltas į 2024 m. Visos planuotos lėšos panaudotos ,,Romuvos“ progimnazijos lifto statybai ir Salduvės ir Ragainės progimnazijų liftų projektavimui.</t>
  </si>
  <si>
    <t xml:space="preserve">Gavus papildomų lėšų, pagal sutartis išdalinta: Gytarių progimnazijai, Salduvės progimnazijai, ŠUG, Ringuvos m-klai  ir  Zoknių progimnazijai, Gegužių ir Jovaro progimnazijoms.
Nupirkti V. Kudirkos progimnazijos, Dvaro g. 129, Šiauliuose sporto salės statybos rangos su projektavimu rangos darbai.- Statybų sk.            </t>
  </si>
  <si>
    <t xml:space="preserve">L/D ,,Varpelis“ reorganizuotas ir prijungtas prie ,,Rasos“ progimnazijos. Vamzdynų remontas nukeltas į kitus metus. </t>
  </si>
  <si>
    <t>Per 2023 metus buvo finansuota studijų parama visiems studentams, per metus pateikusiems paraiškas. Buvo pateiktos iš viso 44 paraiškos, kurios komisijos sprendimu atitiko finansavimo kriterijus.</t>
  </si>
  <si>
    <t>2023 m. I ketv. buvo tęsiami darbai iš 2022 metų - Vaisių g., Salantų g. , privažiuojamoji gatvė nuo Aitvarų iki Neries. Tiesiamos jungtys su sklypais, kuriuos ketinama parduoti aukcionuose: išasfaltuota nauja atkarpa su apšvietimu tarp Purienų ir Spindulio g. ties laisvu žemės sklypu,  Rėkyvoje  - nutiesta Pakapės g. , pradėti antrojo etapo darbai Nuklono gatvėje. 
Įvykdyta 74 proc. Aerouosto tarp Dubijos ir Lakūnų g. rangos darbų, rangovas S.Pakarklio įmonė. Šiai gatvei rekonstruoti dalį lėšų skyrė Krašto apsaugos ministerija.</t>
  </si>
  <si>
    <t>Įstaigų, kurių pastatams apšiltintos sienos "Trys nykštukai"</t>
  </si>
  <si>
    <t>Įrengti liftai ir pritaikytos aplinkos neįgaliesiems švietimo įstaigose (Salduvės, "Romuvos")</t>
  </si>
  <si>
    <t>Viso 01 programos priemonių</t>
  </si>
  <si>
    <t>Priemonė buvo įvykdyta pagal planą</t>
  </si>
  <si>
    <t>Vykdant priemonę buvo pasiekta vertinimo kriterijų reikšmių mažiau nei 50 %</t>
  </si>
  <si>
    <t>Vykdant priemonę buvo pasiekta vertinimo kriterijų reikšmių 50 % ir daugiau</t>
  </si>
  <si>
    <t>Vykdant priemonę buvo pasiekta daugiau vertinimo kriterijų reikšmių nei planuota</t>
  </si>
  <si>
    <t>Priemonė neįvykdyta, t.y. nepasiekta planuota vertinimo kriterijų reikšmė</t>
  </si>
  <si>
    <t>Viso priemonių:</t>
  </si>
  <si>
    <t>Viso 02 programos priemonių</t>
  </si>
  <si>
    <t>Viso 03 programos priemonių</t>
  </si>
  <si>
    <t>Viso 04 programos priemonių</t>
  </si>
  <si>
    <t>Vanduo apmokamas iš 6 programos</t>
  </si>
  <si>
    <t>Viso 05 programos priemonių</t>
  </si>
  <si>
    <t>Suorganizuotas 1 mokinių ir jaunimo ekonominių žinių švietimo renginys – „Jaunųjų verslo kūrėjų Expo 2023“.
Spalio 10 – lapkričio 9 dienomis suorganizuotas 1 mokinių ir jaunimo ekonominių žinių, verslumo skatinimo, švietimo renginys – Makeathon Šiauli‘AI; Spalio 10 d. Design sprint metodo mokymas, pristatymas; Spalio 17 d. AI įrankiai, jų galimybės; Spalio 17 d. Business pitch mokymai; Lapkričio 9 d. Kūrybinės dirbtuvės; Lapkričio 24 d. Paskaita jaunimui apie Investavimo galimybes su Ilja Laurs; Lapkričio 27 d. Seminaras „Darbas GPAIS aplinkoje – pakuotės, gaminiai, atliekų susidarymas“; Gruodžio 11 d. Dirbtinio intelekto pagrindai ir praktikos; Gruodžio 13 d. Mokymai „Ilgalaikės konkurencingumo strategijos kūrimas“; Gruodžio 12/14 dienomis Pardavimų mokymai: „B2B proaktyvus pardavimas: nuo chaoso prie sistemos“;  Gruodžio 14 d. Mentorystės sesija UAB „Baltic Champs“; Gruodžio 7 d. Mentorystės sesija Energostatyba, UAB; Susitikimas su Startup Lithuania atstovais.                    Viso renginiuose dalyvavo 346 dalyviai.</t>
  </si>
  <si>
    <t>Viso 06 programos priemonių</t>
  </si>
  <si>
    <t>Viso 07 programos priemonių</t>
  </si>
  <si>
    <t>Viso 08 programos priemonių</t>
  </si>
  <si>
    <t>Suremontuotos L/D "Ežerėlis" patalpos išsikėlus sporto mokyklos "Atžalynas" administracijai, atliktas virtuvių remontas ir įsigyta įranga Centro pradinėje mokykloje, Šiaulių universitetinėje gimnazijoje, Rėkyvos progimnazijoje įsigyta ugdymo įranga, inventorius ir baldai.</t>
  </si>
  <si>
    <t>Atliktas elektros instaliacijos remontas L/D „Ąžuoliukas“ I etapas.</t>
  </si>
  <si>
    <t>Vykdomi darbai Centro pradinėje mokykloje.
Baigti lopšelio-darželio „Trys nykštukai" statybos rangos darbai.</t>
  </si>
  <si>
    <t>Baigti Šiaulių J. Janonio gimnazijos ir Šiaulių dainavimo mokyklos „Dagilėlis" stogo remonto rangos darbai.</t>
  </si>
  <si>
    <t>IV ketvirtyje pasirašyta statybos darbų rangos sutartis, bei įvykdyta 3,00% statybos rangos darbų, kiti darbai bus atliekami 2024 m.</t>
  </si>
  <si>
    <t>Viso 09 programos priemonių</t>
  </si>
  <si>
    <t>Viso 10 programos priemonių</t>
  </si>
  <si>
    <t>Viso 11 programos priemonių</t>
  </si>
  <si>
    <t>ŠIAULIŲ MIESTO SAVIVALDYBĖS 2023-2025 M. STRATEGINIO VEIKLOS PLANO PRIEMONIŲ ĮGYVENDINIMO 2023 M. ATASKAITA</t>
  </si>
  <si>
    <t>tūkst. Eur</t>
  </si>
  <si>
    <t>Šiaulių miesto savivaldybės 2023 metų veiklos ataskaitos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</si>
</sst>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rgb="FF000000"/>
      <name val="Calibri"/>
      <family val="2"/>
    </font>
    <font>
      <b/>
      <sz val="11"/>
      <color rgb="FF000000"/>
      <name val="Times New Roman"/>
      <family val="1"/>
      <charset val="186"/>
    </font>
    <font>
      <sz val="11"/>
      <color rgb="FF000000"/>
      <name val="Times New Roman"/>
      <family val="1"/>
      <charset val="186"/>
    </font>
    <font>
      <b/>
      <sz val="9"/>
      <color rgb="FF000000"/>
      <name val="Times New Roman"/>
      <family val="1"/>
      <charset val="186"/>
    </font>
    <font>
      <sz val="10"/>
      <color rgb="FF000000"/>
      <name val="Times New Roman"/>
      <family val="1"/>
      <charset val="186"/>
    </font>
    <font>
      <b/>
      <sz val="10"/>
      <color rgb="FF000000"/>
      <name val="Times New Roman"/>
      <family val="1"/>
      <charset val="186"/>
    </font>
    <font>
      <strike/>
      <sz val="10"/>
      <color rgb="FF000000"/>
      <name val="Times New Roman"/>
      <family val="1"/>
      <charset val="186"/>
    </font>
    <font>
      <sz val="10"/>
      <color rgb="FFFF0000"/>
      <name val="Times New Roman"/>
      <family val="1"/>
      <charset val="186"/>
    </font>
    <font>
      <sz val="10"/>
      <name val="Times New Roman"/>
      <family val="1"/>
      <charset val="186"/>
    </font>
    <font>
      <strike/>
      <sz val="10"/>
      <color rgb="FFFF0000"/>
      <name val="Times New Roman"/>
      <family val="1"/>
      <charset val="186"/>
    </font>
    <font>
      <sz val="12"/>
      <color rgb="FFFF0000"/>
      <name val="Times New Roman"/>
      <family val="1"/>
      <charset val="186"/>
    </font>
    <font>
      <sz val="11"/>
      <color rgb="FF000000"/>
      <name val="Calibri"/>
      <family val="2"/>
    </font>
    <font>
      <sz val="10"/>
      <color rgb="FF7030A0"/>
      <name val="Times New Roman"/>
      <family val="1"/>
      <charset val="186"/>
    </font>
    <font>
      <sz val="12"/>
      <name val="Times New Roman"/>
      <family val="1"/>
      <charset val="186"/>
    </font>
    <font>
      <sz val="12"/>
      <color rgb="FF000000"/>
      <name val="Calibri"/>
      <family val="2"/>
      <charset val="186"/>
    </font>
    <font>
      <b/>
      <sz val="12"/>
      <name val="Times New Roman"/>
      <family val="1"/>
      <charset val="186"/>
    </font>
    <font>
      <b/>
      <sz val="12"/>
      <color rgb="FF000000"/>
      <name val="Times New Roman"/>
      <family val="1"/>
      <charset val="186"/>
    </font>
    <font>
      <sz val="12"/>
      <color rgb="FF000000"/>
      <name val="Times New Roman"/>
      <family val="1"/>
      <charset val="186"/>
    </font>
    <font>
      <b/>
      <sz val="12"/>
      <color rgb="FFFF0000"/>
      <name val="Times New Roman"/>
      <family val="1"/>
      <charset val="186"/>
    </font>
  </fonts>
  <fills count="22">
    <fill>
      <patternFill patternType="none"/>
    </fill>
    <fill>
      <patternFill patternType="gray125"/>
    </fill>
    <fill>
      <patternFill patternType="none">
        <fgColor rgb="FF000000"/>
        <bgColor rgb="FF000000"/>
      </patternFill>
    </fill>
    <fill>
      <patternFill patternType="solid">
        <fgColor rgb="FFD8FAD4"/>
        <bgColor rgb="FFD8FAD4"/>
      </patternFill>
    </fill>
    <fill>
      <patternFill patternType="solid">
        <fgColor rgb="FFC0E4F6"/>
        <bgColor rgb="FFC0E4F6"/>
      </patternFill>
    </fill>
    <fill>
      <patternFill patternType="solid">
        <fgColor rgb="FFFAEE80"/>
        <bgColor rgb="FFFAEE80"/>
      </patternFill>
    </fill>
    <fill>
      <patternFill patternType="solid">
        <fgColor rgb="FFEBEBEB"/>
        <bgColor rgb="FFEBEBEB"/>
      </patternFill>
    </fill>
    <fill>
      <patternFill patternType="solid">
        <fgColor rgb="FFC0E4F6"/>
        <bgColor indexed="64"/>
      </patternFill>
    </fill>
    <fill>
      <patternFill patternType="solid">
        <fgColor theme="0" tint="-4.9989318521683403E-2"/>
        <bgColor indexed="64"/>
      </patternFill>
    </fill>
    <fill>
      <patternFill patternType="solid">
        <fgColor theme="0" tint="-0.14999847407452621"/>
        <bgColor rgb="FFEBEBEB"/>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DE9D9"/>
        <bgColor indexed="64"/>
      </patternFill>
    </fill>
    <fill>
      <patternFill patternType="solid">
        <fgColor rgb="FFFFFFCC"/>
        <bgColor indexed="64"/>
      </patternFill>
    </fill>
    <fill>
      <patternFill patternType="solid">
        <fgColor theme="5" tint="0.79998168889431442"/>
        <bgColor indexed="64"/>
      </patternFill>
    </fill>
    <fill>
      <patternFill patternType="solid">
        <fgColor rgb="FFE2EFDA"/>
        <bgColor indexed="64"/>
      </patternFill>
    </fill>
    <fill>
      <patternFill patternType="solid">
        <fgColor rgb="FFD9E1F2"/>
        <bgColor indexed="64"/>
      </patternFill>
    </fill>
    <fill>
      <patternFill patternType="solid">
        <fgColor rgb="FFFCE4D6"/>
        <bgColor indexed="64"/>
      </patternFill>
    </fill>
    <fill>
      <patternFill patternType="solid">
        <fgColor theme="0"/>
        <bgColor rgb="FF000000"/>
      </patternFill>
    </fill>
  </fills>
  <borders count="5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bottom/>
      <diagonal/>
    </border>
    <border>
      <left style="thin">
        <color rgb="FF000000"/>
      </left>
      <right/>
      <top style="medium">
        <color rgb="FF000000"/>
      </top>
      <bottom/>
      <diagonal/>
    </border>
    <border>
      <left/>
      <right style="medium">
        <color rgb="FF000000"/>
      </right>
      <top style="medium">
        <color rgb="FF000000"/>
      </top>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style="thin">
        <color rgb="FF000000"/>
      </bottom>
      <diagonal/>
    </border>
    <border>
      <left/>
      <right/>
      <top style="medium">
        <color rgb="FF000000"/>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top/>
      <bottom style="medium">
        <color rgb="FF000000"/>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medium">
        <color indexed="64"/>
      </bottom>
      <diagonal/>
    </border>
    <border>
      <left style="thin">
        <color rgb="FF000000"/>
      </left>
      <right style="medium">
        <color rgb="FF000000"/>
      </right>
      <top/>
      <bottom style="medium">
        <color indexed="64"/>
      </bottom>
      <diagonal/>
    </border>
    <border>
      <left style="thin">
        <color rgb="FF000000"/>
      </left>
      <right style="medium">
        <color rgb="FF000000"/>
      </right>
      <top style="medium">
        <color indexed="64"/>
      </top>
      <bottom style="medium">
        <color indexed="64"/>
      </bottom>
      <diagonal/>
    </border>
    <border>
      <left style="thin">
        <color rgb="FF000000"/>
      </left>
      <right style="thin">
        <color indexed="64"/>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medium">
        <color rgb="FF000000"/>
      </left>
      <right/>
      <top/>
      <bottom style="thin">
        <color indexed="64"/>
      </bottom>
      <diagonal/>
    </border>
  </borders>
  <cellStyleXfs count="3">
    <xf numFmtId="0" fontId="0" fillId="0" borderId="0" applyBorder="0"/>
    <xf numFmtId="0" fontId="11" fillId="2" borderId="0" applyBorder="0"/>
    <xf numFmtId="0" fontId="11" fillId="2" borderId="0" applyBorder="0"/>
  </cellStyleXfs>
  <cellXfs count="313">
    <xf numFmtId="0" fontId="0" fillId="0" borderId="0" xfId="0"/>
    <xf numFmtId="0" fontId="1" fillId="2" borderId="0" xfId="0" applyFont="1" applyFill="1" applyAlignment="1">
      <alignment horizontal="center" wrapText="1"/>
    </xf>
    <xf numFmtId="0" fontId="2" fillId="0" borderId="0" xfId="0" applyFont="1" applyAlignment="1">
      <alignment wrapText="1"/>
    </xf>
    <xf numFmtId="0" fontId="3" fillId="0" borderId="1" xfId="0" applyFont="1" applyBorder="1" applyAlignment="1">
      <alignment horizontal="center" wrapText="1" readingOrder="1"/>
    </xf>
    <xf numFmtId="0" fontId="4" fillId="5" borderId="7" xfId="0" applyFont="1" applyFill="1" applyBorder="1" applyAlignment="1" applyProtection="1">
      <alignment vertical="top" wrapText="1" readingOrder="1"/>
      <protection locked="0"/>
    </xf>
    <xf numFmtId="0" fontId="4" fillId="5" borderId="8" xfId="0" applyFont="1" applyFill="1" applyBorder="1" applyAlignment="1" applyProtection="1">
      <alignment vertical="top" wrapText="1" readingOrder="1"/>
      <protection locked="0"/>
    </xf>
    <xf numFmtId="0" fontId="4" fillId="5" borderId="8" xfId="0" applyFont="1" applyFill="1" applyBorder="1" applyAlignment="1" applyProtection="1">
      <alignment horizontal="left" vertical="top" wrapText="1" readingOrder="1"/>
      <protection locked="0"/>
    </xf>
    <xf numFmtId="0" fontId="4" fillId="4" borderId="7" xfId="0" applyFont="1" applyFill="1" applyBorder="1" applyAlignment="1" applyProtection="1">
      <alignment vertical="top" wrapText="1" readingOrder="1"/>
      <protection locked="0"/>
    </xf>
    <xf numFmtId="0" fontId="4" fillId="4" borderId="8" xfId="0" applyFont="1" applyFill="1" applyBorder="1" applyAlignment="1" applyProtection="1">
      <alignment vertical="top" wrapText="1" readingOrder="1"/>
      <protection locked="0"/>
    </xf>
    <xf numFmtId="0" fontId="4" fillId="4" borderId="8" xfId="0" applyFont="1" applyFill="1" applyBorder="1" applyAlignment="1" applyProtection="1">
      <alignment horizontal="left" vertical="top" wrapText="1" readingOrder="1"/>
      <protection locked="0"/>
    </xf>
    <xf numFmtId="0" fontId="4" fillId="4" borderId="8" xfId="0" applyFont="1" applyFill="1" applyBorder="1" applyAlignment="1" applyProtection="1">
      <alignment horizontal="center" vertical="top" wrapText="1" readingOrder="1"/>
      <protection locked="0"/>
    </xf>
    <xf numFmtId="0" fontId="4" fillId="4" borderId="9" xfId="0" applyFont="1" applyFill="1" applyBorder="1" applyAlignment="1" applyProtection="1">
      <alignment horizontal="left" vertical="top" wrapText="1" readingOrder="1"/>
      <protection locked="0"/>
    </xf>
    <xf numFmtId="0" fontId="4" fillId="3" borderId="7" xfId="0" applyFont="1" applyFill="1" applyBorder="1" applyAlignment="1" applyProtection="1">
      <alignment vertical="top" wrapText="1" readingOrder="1"/>
      <protection locked="0"/>
    </xf>
    <xf numFmtId="0" fontId="4" fillId="3" borderId="8" xfId="0" applyFont="1" applyFill="1" applyBorder="1" applyAlignment="1" applyProtection="1">
      <alignment vertical="top" wrapText="1" readingOrder="1"/>
      <protection locked="0"/>
    </xf>
    <xf numFmtId="0" fontId="4" fillId="3" borderId="8" xfId="0" applyFont="1" applyFill="1" applyBorder="1" applyAlignment="1" applyProtection="1">
      <alignment horizontal="left" vertical="top" wrapText="1" readingOrder="1"/>
      <protection locked="0"/>
    </xf>
    <xf numFmtId="0" fontId="4" fillId="0" borderId="7" xfId="0" applyFont="1" applyBorder="1" applyAlignment="1" applyProtection="1">
      <alignment vertical="top" wrapText="1" readingOrder="1"/>
      <protection locked="0"/>
    </xf>
    <xf numFmtId="0" fontId="4" fillId="0" borderId="8" xfId="0" applyFont="1" applyBorder="1" applyAlignment="1" applyProtection="1">
      <alignment vertical="top" wrapText="1" readingOrder="1"/>
      <protection locked="0"/>
    </xf>
    <xf numFmtId="0" fontId="4" fillId="0" borderId="8" xfId="0" applyFont="1" applyBorder="1" applyAlignment="1" applyProtection="1">
      <alignment horizontal="left" vertical="top" wrapText="1" readingOrder="1"/>
      <protection locked="0"/>
    </xf>
    <xf numFmtId="0" fontId="4" fillId="0" borderId="8" xfId="0" applyFont="1" applyBorder="1" applyAlignment="1" applyProtection="1">
      <alignment horizontal="center" vertical="top" wrapText="1" readingOrder="1"/>
      <protection locked="0"/>
    </xf>
    <xf numFmtId="0" fontId="4" fillId="0" borderId="9" xfId="0" applyFont="1" applyBorder="1" applyAlignment="1" applyProtection="1">
      <alignment horizontal="left" vertical="top" wrapText="1" readingOrder="1"/>
      <protection locked="0"/>
    </xf>
    <xf numFmtId="0" fontId="4" fillId="0" borderId="5" xfId="0" applyFont="1" applyBorder="1" applyAlignment="1" applyProtection="1">
      <alignment vertical="top" wrapText="1" readingOrder="1"/>
      <protection locked="0"/>
    </xf>
    <xf numFmtId="0" fontId="4" fillId="0" borderId="1" xfId="0" applyFont="1" applyBorder="1" applyAlignment="1" applyProtection="1">
      <alignment vertical="top" wrapText="1" readingOrder="1"/>
      <protection locked="0"/>
    </xf>
    <xf numFmtId="0" fontId="4" fillId="0" borderId="1" xfId="0" applyFont="1" applyBorder="1" applyAlignment="1" applyProtection="1">
      <alignment horizontal="left" vertical="top" wrapText="1" readingOrder="1"/>
      <protection locked="0"/>
    </xf>
    <xf numFmtId="164" fontId="4" fillId="0" borderId="1" xfId="0" applyNumberFormat="1" applyFont="1" applyBorder="1" applyAlignment="1" applyProtection="1">
      <alignment horizontal="right" vertical="top" wrapText="1" readingOrder="1"/>
      <protection locked="0"/>
    </xf>
    <xf numFmtId="0" fontId="4" fillId="0" borderId="1" xfId="0" applyFont="1" applyBorder="1" applyAlignment="1" applyProtection="1">
      <alignment horizontal="center" vertical="top" wrapText="1" readingOrder="1"/>
      <protection locked="0"/>
    </xf>
    <xf numFmtId="0" fontId="4" fillId="0" borderId="6" xfId="0" applyFont="1" applyBorder="1" applyAlignment="1" applyProtection="1">
      <alignment horizontal="left" vertical="top" wrapText="1" readingOrder="1"/>
      <protection locked="0"/>
    </xf>
    <xf numFmtId="0" fontId="4" fillId="0" borderId="3" xfId="0" applyFont="1" applyBorder="1" applyAlignment="1" applyProtection="1">
      <alignment horizontal="left" vertical="top" wrapText="1" readingOrder="1"/>
      <protection locked="0"/>
    </xf>
    <xf numFmtId="0" fontId="4" fillId="0" borderId="3" xfId="0" applyFont="1" applyBorder="1" applyAlignment="1" applyProtection="1">
      <alignment horizontal="center" vertical="top" wrapText="1" readingOrder="1"/>
      <protection locked="0"/>
    </xf>
    <xf numFmtId="0" fontId="4" fillId="0" borderId="4" xfId="0" applyFont="1" applyBorder="1" applyAlignment="1" applyProtection="1">
      <alignment horizontal="left" vertical="top" wrapText="1" readingOrder="1"/>
      <protection locked="0"/>
    </xf>
    <xf numFmtId="0" fontId="4" fillId="2" borderId="0" xfId="0" applyFont="1" applyFill="1" applyAlignment="1" applyProtection="1">
      <alignment vertical="top" wrapText="1" readingOrder="1"/>
      <protection locked="0"/>
    </xf>
    <xf numFmtId="0" fontId="4" fillId="2" borderId="0" xfId="0" applyFont="1" applyFill="1" applyAlignment="1" applyProtection="1">
      <alignment horizontal="left" vertical="top" wrapText="1" readingOrder="1"/>
      <protection locked="0"/>
    </xf>
    <xf numFmtId="0" fontId="4" fillId="2" borderId="0" xfId="0" applyFont="1" applyFill="1" applyAlignment="1" applyProtection="1">
      <alignment horizontal="center" vertical="top" wrapText="1" readingOrder="1"/>
      <protection locked="0"/>
    </xf>
    <xf numFmtId="0" fontId="2" fillId="2" borderId="0" xfId="0" applyFont="1" applyFill="1" applyAlignment="1">
      <alignment wrapText="1"/>
    </xf>
    <xf numFmtId="0" fontId="5" fillId="6" borderId="1" xfId="0" applyFont="1" applyFill="1" applyBorder="1" applyAlignment="1" applyProtection="1">
      <alignment vertical="top" wrapText="1" readingOrder="1"/>
      <protection locked="0"/>
    </xf>
    <xf numFmtId="0" fontId="4" fillId="0" borderId="0" xfId="0" applyFont="1" applyBorder="1" applyAlignment="1">
      <alignment wrapText="1"/>
    </xf>
    <xf numFmtId="0" fontId="4" fillId="7" borderId="1" xfId="0" applyFont="1" applyFill="1" applyBorder="1" applyAlignment="1" applyProtection="1">
      <alignment horizontal="left" vertical="top" wrapText="1" readingOrder="1"/>
      <protection locked="0"/>
    </xf>
    <xf numFmtId="0" fontId="4" fillId="7" borderId="1" xfId="0" applyFont="1" applyFill="1" applyBorder="1" applyAlignment="1" applyProtection="1">
      <alignment horizontal="center" vertical="top" wrapText="1" readingOrder="1"/>
      <protection locked="0"/>
    </xf>
    <xf numFmtId="0" fontId="4" fillId="0" borderId="7" xfId="0" applyFont="1" applyBorder="1" applyAlignment="1" applyProtection="1">
      <alignment horizontal="left" vertical="top" wrapText="1" readingOrder="1"/>
      <protection locked="0"/>
    </xf>
    <xf numFmtId="0" fontId="4" fillId="7" borderId="6" xfId="0" applyFont="1" applyFill="1" applyBorder="1" applyAlignment="1" applyProtection="1">
      <alignment horizontal="left" vertical="top" wrapText="1" readingOrder="1"/>
      <protection locked="0"/>
    </xf>
    <xf numFmtId="0" fontId="4" fillId="4" borderId="27" xfId="0" applyFont="1" applyFill="1" applyBorder="1" applyAlignment="1" applyProtection="1">
      <alignment horizontal="center" vertical="top" wrapText="1" readingOrder="1"/>
      <protection locked="0"/>
    </xf>
    <xf numFmtId="0" fontId="4" fillId="7" borderId="33" xfId="0" applyFont="1" applyFill="1" applyBorder="1" applyAlignment="1" applyProtection="1">
      <alignment horizontal="center" vertical="top" wrapText="1" readingOrder="1"/>
      <protection locked="0"/>
    </xf>
    <xf numFmtId="0" fontId="4" fillId="4" borderId="14" xfId="0" applyFont="1" applyFill="1" applyBorder="1" applyAlignment="1" applyProtection="1">
      <alignment horizontal="left" vertical="top" wrapText="1" readingOrder="1"/>
      <protection locked="0"/>
    </xf>
    <xf numFmtId="0" fontId="4" fillId="4" borderId="14" xfId="0" applyFont="1" applyFill="1" applyBorder="1" applyAlignment="1" applyProtection="1">
      <alignment horizontal="center" vertical="top" wrapText="1" readingOrder="1"/>
      <protection locked="0"/>
    </xf>
    <xf numFmtId="0" fontId="2" fillId="0" borderId="0" xfId="0" applyFont="1" applyAlignment="1">
      <alignment horizontal="center" wrapText="1"/>
    </xf>
    <xf numFmtId="9" fontId="2" fillId="0" borderId="0" xfId="0" applyNumberFormat="1" applyFont="1" applyAlignment="1">
      <alignment horizontal="center" wrapText="1"/>
    </xf>
    <xf numFmtId="164" fontId="4" fillId="5" borderId="8" xfId="0" applyNumberFormat="1" applyFont="1" applyFill="1" applyBorder="1" applyAlignment="1">
      <alignment horizontal="center" vertical="top" wrapText="1" readingOrder="1"/>
    </xf>
    <xf numFmtId="9" fontId="4" fillId="5" borderId="8" xfId="0" applyNumberFormat="1" applyFont="1" applyFill="1" applyBorder="1" applyAlignment="1">
      <alignment horizontal="center" vertical="top" wrapText="1" readingOrder="1"/>
    </xf>
    <xf numFmtId="164" fontId="4" fillId="4" borderId="8" xfId="0" applyNumberFormat="1" applyFont="1" applyFill="1" applyBorder="1" applyAlignment="1">
      <alignment horizontal="center" vertical="top" wrapText="1" readingOrder="1"/>
    </xf>
    <xf numFmtId="9" fontId="4" fillId="4" borderId="8" xfId="0" applyNumberFormat="1" applyFont="1" applyFill="1" applyBorder="1" applyAlignment="1">
      <alignment horizontal="center" vertical="top" wrapText="1" readingOrder="1"/>
    </xf>
    <xf numFmtId="164" fontId="4" fillId="3" borderId="8" xfId="0" applyNumberFormat="1" applyFont="1" applyFill="1" applyBorder="1" applyAlignment="1">
      <alignment horizontal="center" vertical="top" wrapText="1" readingOrder="1"/>
    </xf>
    <xf numFmtId="9" fontId="4" fillId="3" borderId="8" xfId="0" applyNumberFormat="1" applyFont="1" applyFill="1" applyBorder="1" applyAlignment="1">
      <alignment horizontal="center" vertical="top" wrapText="1" readingOrder="1"/>
    </xf>
    <xf numFmtId="164" fontId="4" fillId="0" borderId="8" xfId="0" applyNumberFormat="1" applyFont="1" applyBorder="1" applyAlignment="1">
      <alignment horizontal="center" vertical="top" wrapText="1" readingOrder="1"/>
    </xf>
    <xf numFmtId="9" fontId="4" fillId="0" borderId="13" xfId="0" applyNumberFormat="1" applyFont="1" applyBorder="1" applyAlignment="1">
      <alignment horizontal="center" vertical="top" wrapText="1" readingOrder="1"/>
    </xf>
    <xf numFmtId="164" fontId="4" fillId="0" borderId="1" xfId="0" applyNumberFormat="1" applyFont="1" applyBorder="1" applyAlignment="1" applyProtection="1">
      <alignment horizontal="center" vertical="top" wrapText="1" readingOrder="1"/>
      <protection locked="0"/>
    </xf>
    <xf numFmtId="9" fontId="4" fillId="0" borderId="14" xfId="0" applyNumberFormat="1" applyFont="1" applyBorder="1" applyAlignment="1">
      <alignment horizontal="center" vertical="top" wrapText="1" readingOrder="1"/>
    </xf>
    <xf numFmtId="9" fontId="4" fillId="0" borderId="1" xfId="0" applyNumberFormat="1" applyFont="1" applyBorder="1" applyAlignment="1" applyProtection="1">
      <alignment horizontal="center" vertical="top" wrapText="1" readingOrder="1"/>
      <protection locked="0"/>
    </xf>
    <xf numFmtId="9" fontId="4" fillId="0" borderId="16" xfId="0" applyNumberFormat="1" applyFont="1" applyBorder="1" applyAlignment="1" applyProtection="1">
      <alignment horizontal="center" vertical="top" wrapText="1" readingOrder="1"/>
      <protection locked="0"/>
    </xf>
    <xf numFmtId="9" fontId="4" fillId="0" borderId="15" xfId="0" applyNumberFormat="1" applyFont="1" applyBorder="1" applyAlignment="1" applyProtection="1">
      <alignment horizontal="center" vertical="top" wrapText="1" readingOrder="1"/>
      <protection locked="0"/>
    </xf>
    <xf numFmtId="9" fontId="4" fillId="0" borderId="11" xfId="0" applyNumberFormat="1" applyFont="1" applyBorder="1" applyAlignment="1">
      <alignment horizontal="center" vertical="top" wrapText="1" readingOrder="1"/>
    </xf>
    <xf numFmtId="9" fontId="4" fillId="0" borderId="15" xfId="0" applyNumberFormat="1" applyFont="1" applyBorder="1" applyAlignment="1">
      <alignment horizontal="center" vertical="top" wrapText="1" readingOrder="1"/>
    </xf>
    <xf numFmtId="9" fontId="4" fillId="3" borderId="17" xfId="0" applyNumberFormat="1" applyFont="1" applyFill="1" applyBorder="1" applyAlignment="1">
      <alignment horizontal="center" vertical="top" wrapText="1" readingOrder="1"/>
    </xf>
    <xf numFmtId="164" fontId="4" fillId="0" borderId="8" xfId="0" applyNumberFormat="1" applyFont="1" applyBorder="1" applyAlignment="1" applyProtection="1">
      <alignment horizontal="center" vertical="top" wrapText="1" readingOrder="1"/>
      <protection locked="0"/>
    </xf>
    <xf numFmtId="9" fontId="4" fillId="0" borderId="17" xfId="0" applyNumberFormat="1" applyFont="1" applyBorder="1" applyAlignment="1">
      <alignment horizontal="center" vertical="top" wrapText="1" readingOrder="1"/>
    </xf>
    <xf numFmtId="9" fontId="4" fillId="0" borderId="18" xfId="0" applyNumberFormat="1" applyFont="1" applyBorder="1" applyAlignment="1">
      <alignment horizontal="center" vertical="top" wrapText="1" readingOrder="1"/>
    </xf>
    <xf numFmtId="164" fontId="4" fillId="7" borderId="1" xfId="0" applyNumberFormat="1" applyFont="1" applyFill="1" applyBorder="1" applyAlignment="1" applyProtection="1">
      <alignment horizontal="center" vertical="top" wrapText="1" readingOrder="1"/>
      <protection locked="0"/>
    </xf>
    <xf numFmtId="9" fontId="4" fillId="7" borderId="1" xfId="0" applyNumberFormat="1" applyFont="1" applyFill="1" applyBorder="1" applyAlignment="1" applyProtection="1">
      <alignment horizontal="center" vertical="top" wrapText="1" readingOrder="1"/>
      <protection locked="0"/>
    </xf>
    <xf numFmtId="9" fontId="4" fillId="3" borderId="19" xfId="0" applyNumberFormat="1" applyFont="1" applyFill="1" applyBorder="1" applyAlignment="1">
      <alignment horizontal="center" vertical="top" wrapText="1" readingOrder="1"/>
    </xf>
    <xf numFmtId="9" fontId="4" fillId="0" borderId="20" xfId="0" applyNumberFormat="1" applyFont="1" applyBorder="1" applyAlignment="1" applyProtection="1">
      <alignment horizontal="center" vertical="top" wrapText="1" readingOrder="1"/>
      <protection locked="0"/>
    </xf>
    <xf numFmtId="9" fontId="4" fillId="0" borderId="20" xfId="0" applyNumberFormat="1" applyFont="1" applyBorder="1" applyAlignment="1">
      <alignment horizontal="center" vertical="top" wrapText="1" readingOrder="1"/>
    </xf>
    <xf numFmtId="9" fontId="4" fillId="0" borderId="19" xfId="0" applyNumberFormat="1" applyFont="1" applyBorder="1" applyAlignment="1" applyProtection="1">
      <alignment horizontal="center" vertical="top" wrapText="1" readingOrder="1"/>
      <protection locked="0"/>
    </xf>
    <xf numFmtId="9" fontId="4" fillId="0" borderId="8" xfId="0" applyNumberFormat="1" applyFont="1" applyBorder="1" applyAlignment="1" applyProtection="1">
      <alignment horizontal="center" vertical="top" wrapText="1" readingOrder="1"/>
      <protection locked="0"/>
    </xf>
    <xf numFmtId="9" fontId="4" fillId="0" borderId="8" xfId="0" applyNumberFormat="1" applyFont="1" applyBorder="1" applyAlignment="1">
      <alignment horizontal="center" vertical="top" wrapText="1" readingOrder="1"/>
    </xf>
    <xf numFmtId="164" fontId="4" fillId="0" borderId="3" xfId="0" applyNumberFormat="1" applyFont="1" applyBorder="1" applyAlignment="1" applyProtection="1">
      <alignment horizontal="center" vertical="top" wrapText="1" readingOrder="1"/>
      <protection locked="0"/>
    </xf>
    <xf numFmtId="164" fontId="4" fillId="2" borderId="0" xfId="0" applyNumberFormat="1" applyFont="1" applyFill="1" applyAlignment="1" applyProtection="1">
      <alignment horizontal="center" vertical="top" wrapText="1" readingOrder="1"/>
      <protection locked="0"/>
    </xf>
    <xf numFmtId="9" fontId="4" fillId="2" borderId="0" xfId="0" applyNumberFormat="1" applyFont="1" applyFill="1" applyAlignment="1" applyProtection="1">
      <alignment horizontal="center" vertical="top" wrapText="1" readingOrder="1"/>
      <protection locked="0"/>
    </xf>
    <xf numFmtId="3" fontId="2" fillId="0" borderId="0" xfId="0" applyNumberFormat="1" applyFont="1" applyAlignment="1">
      <alignment horizontal="center" wrapText="1"/>
    </xf>
    <xf numFmtId="1" fontId="2" fillId="0" borderId="0" xfId="0" applyNumberFormat="1" applyFont="1" applyAlignment="1">
      <alignment horizontal="center" wrapText="1"/>
    </xf>
    <xf numFmtId="3" fontId="4" fillId="4" borderId="8" xfId="0" applyNumberFormat="1" applyFont="1" applyFill="1" applyBorder="1" applyAlignment="1" applyProtection="1">
      <alignment horizontal="center" vertical="top" wrapText="1" readingOrder="1"/>
      <protection locked="0"/>
    </xf>
    <xf numFmtId="1" fontId="4" fillId="4" borderId="8" xfId="0" applyNumberFormat="1" applyFont="1" applyFill="1" applyBorder="1" applyAlignment="1" applyProtection="1">
      <alignment horizontal="center" vertical="top" wrapText="1" readingOrder="1"/>
      <protection locked="0"/>
    </xf>
    <xf numFmtId="3" fontId="4" fillId="0" borderId="8" xfId="0" applyNumberFormat="1" applyFont="1" applyBorder="1" applyAlignment="1" applyProtection="1">
      <alignment horizontal="center" vertical="top" wrapText="1" readingOrder="1"/>
      <protection locked="0"/>
    </xf>
    <xf numFmtId="1" fontId="4" fillId="0" borderId="8" xfId="0" applyNumberFormat="1" applyFont="1" applyBorder="1" applyAlignment="1" applyProtection="1">
      <alignment horizontal="center" vertical="top" wrapText="1" readingOrder="1"/>
      <protection locked="0"/>
    </xf>
    <xf numFmtId="3" fontId="4" fillId="0" borderId="1" xfId="0" applyNumberFormat="1" applyFont="1" applyBorder="1" applyAlignment="1" applyProtection="1">
      <alignment horizontal="center" vertical="top" wrapText="1" readingOrder="1"/>
      <protection locked="0"/>
    </xf>
    <xf numFmtId="1" fontId="4" fillId="0" borderId="1" xfId="0" applyNumberFormat="1" applyFont="1" applyBorder="1" applyAlignment="1" applyProtection="1">
      <alignment horizontal="center" vertical="top" wrapText="1" readingOrder="1"/>
      <protection locked="0"/>
    </xf>
    <xf numFmtId="0" fontId="4" fillId="4" borderId="10" xfId="0" applyFont="1" applyFill="1" applyBorder="1" applyAlignment="1" applyProtection="1">
      <alignment horizontal="center" vertical="top" wrapText="1" readingOrder="1"/>
      <protection locked="0"/>
    </xf>
    <xf numFmtId="1" fontId="4" fillId="4" borderId="27" xfId="0" applyNumberFormat="1" applyFont="1" applyFill="1" applyBorder="1" applyAlignment="1" applyProtection="1">
      <alignment horizontal="center" vertical="top" wrapText="1" readingOrder="1"/>
      <protection locked="0"/>
    </xf>
    <xf numFmtId="0" fontId="4" fillId="7" borderId="35" xfId="0" applyFont="1" applyFill="1" applyBorder="1" applyAlignment="1" applyProtection="1">
      <alignment horizontal="center" vertical="top" wrapText="1" readingOrder="1"/>
      <protection locked="0"/>
    </xf>
    <xf numFmtId="1" fontId="4" fillId="7" borderId="35" xfId="0" applyNumberFormat="1" applyFont="1" applyFill="1" applyBorder="1" applyAlignment="1" applyProtection="1">
      <alignment horizontal="center" vertical="top" wrapText="1" readingOrder="1"/>
      <protection locked="0"/>
    </xf>
    <xf numFmtId="0" fontId="4" fillId="7" borderId="14" xfId="0" applyFont="1" applyFill="1" applyBorder="1" applyAlignment="1" applyProtection="1">
      <alignment horizontal="center" vertical="top" wrapText="1" readingOrder="1"/>
      <protection locked="0"/>
    </xf>
    <xf numFmtId="1" fontId="4" fillId="7" borderId="31" xfId="0" applyNumberFormat="1" applyFont="1" applyFill="1" applyBorder="1" applyAlignment="1" applyProtection="1">
      <alignment horizontal="center" vertical="top" wrapText="1" readingOrder="1"/>
      <protection locked="0"/>
    </xf>
    <xf numFmtId="0" fontId="4" fillId="4" borderId="36" xfId="0" applyFont="1" applyFill="1" applyBorder="1" applyAlignment="1" applyProtection="1">
      <alignment horizontal="center" vertical="top" wrapText="1" readingOrder="1"/>
      <protection locked="0"/>
    </xf>
    <xf numFmtId="1" fontId="4" fillId="4" borderId="38" xfId="0" applyNumberFormat="1" applyFont="1" applyFill="1" applyBorder="1" applyAlignment="1" applyProtection="1">
      <alignment horizontal="center" vertical="top" wrapText="1" readingOrder="1"/>
      <protection locked="0"/>
    </xf>
    <xf numFmtId="1" fontId="4" fillId="4" borderId="35" xfId="0" applyNumberFormat="1" applyFont="1" applyFill="1" applyBorder="1" applyAlignment="1" applyProtection="1">
      <alignment horizontal="center" vertical="top" wrapText="1" readingOrder="1"/>
      <protection locked="0"/>
    </xf>
    <xf numFmtId="0" fontId="4" fillId="4" borderId="39" xfId="0" applyFont="1" applyFill="1" applyBorder="1" applyAlignment="1" applyProtection="1">
      <alignment horizontal="center" vertical="top" wrapText="1" readingOrder="1"/>
      <protection locked="0"/>
    </xf>
    <xf numFmtId="3" fontId="4" fillId="7" borderId="1" xfId="0" applyNumberFormat="1" applyFont="1" applyFill="1" applyBorder="1" applyAlignment="1" applyProtection="1">
      <alignment horizontal="center" vertical="top" wrapText="1" readingOrder="1"/>
      <protection locked="0"/>
    </xf>
    <xf numFmtId="3" fontId="4" fillId="7" borderId="31" xfId="0" applyNumberFormat="1" applyFont="1" applyFill="1" applyBorder="1" applyAlignment="1" applyProtection="1">
      <alignment horizontal="center" vertical="top" wrapText="1" readingOrder="1"/>
      <protection locked="0"/>
    </xf>
    <xf numFmtId="1" fontId="4" fillId="7" borderId="1" xfId="0" applyNumberFormat="1" applyFont="1" applyFill="1" applyBorder="1" applyAlignment="1" applyProtection="1">
      <alignment horizontal="center" vertical="top" wrapText="1" readingOrder="1"/>
      <protection locked="0"/>
    </xf>
    <xf numFmtId="0" fontId="4" fillId="7" borderId="44" xfId="0" applyFont="1" applyFill="1" applyBorder="1" applyAlignment="1" applyProtection="1">
      <alignment horizontal="center" vertical="top" wrapText="1" readingOrder="1"/>
      <protection locked="0"/>
    </xf>
    <xf numFmtId="3" fontId="4" fillId="0" borderId="3" xfId="0" applyNumberFormat="1" applyFont="1" applyBorder="1" applyAlignment="1" applyProtection="1">
      <alignment horizontal="center" vertical="top" wrapText="1" readingOrder="1"/>
      <protection locked="0"/>
    </xf>
    <xf numFmtId="1" fontId="4" fillId="0" borderId="3" xfId="0" applyNumberFormat="1" applyFont="1" applyBorder="1" applyAlignment="1" applyProtection="1">
      <alignment horizontal="center" vertical="top" wrapText="1" readingOrder="1"/>
      <protection locked="0"/>
    </xf>
    <xf numFmtId="3" fontId="4" fillId="2" borderId="0" xfId="0" applyNumberFormat="1" applyFont="1" applyFill="1" applyAlignment="1" applyProtection="1">
      <alignment horizontal="center" vertical="top" wrapText="1" readingOrder="1"/>
      <protection locked="0"/>
    </xf>
    <xf numFmtId="1" fontId="4" fillId="2" borderId="0" xfId="0" applyNumberFormat="1" applyFont="1" applyFill="1" applyAlignment="1" applyProtection="1">
      <alignment horizontal="center" vertical="top" wrapText="1" readingOrder="1"/>
      <protection locked="0"/>
    </xf>
    <xf numFmtId="0" fontId="4" fillId="8" borderId="1" xfId="0" applyFont="1" applyFill="1" applyBorder="1" applyAlignment="1" applyProtection="1">
      <alignment vertical="top" wrapText="1" readingOrder="1"/>
      <protection locked="0"/>
    </xf>
    <xf numFmtId="164" fontId="4" fillId="8" borderId="1" xfId="0" applyNumberFormat="1" applyFont="1" applyFill="1" applyBorder="1" applyAlignment="1">
      <alignment horizontal="right" vertical="top" wrapText="1" readingOrder="1"/>
    </xf>
    <xf numFmtId="164" fontId="4" fillId="8" borderId="1" xfId="0" applyNumberFormat="1" applyFont="1" applyFill="1" applyBorder="1" applyAlignment="1">
      <alignment horizontal="center" vertical="top" wrapText="1" readingOrder="1"/>
    </xf>
    <xf numFmtId="0" fontId="5" fillId="9" borderId="1" xfId="0" applyFont="1" applyFill="1" applyBorder="1" applyAlignment="1" applyProtection="1">
      <alignment horizontal="right" vertical="top" wrapText="1" readingOrder="1"/>
      <protection locked="0"/>
    </xf>
    <xf numFmtId="164" fontId="5" fillId="9" borderId="1" xfId="0" applyNumberFormat="1" applyFont="1" applyFill="1" applyBorder="1" applyAlignment="1">
      <alignment horizontal="right" vertical="top" wrapText="1" readingOrder="1"/>
    </xf>
    <xf numFmtId="164" fontId="5" fillId="9" borderId="1" xfId="0" applyNumberFormat="1" applyFont="1" applyFill="1" applyBorder="1" applyAlignment="1">
      <alignment horizontal="center" vertical="top" wrapText="1" readingOrder="1"/>
    </xf>
    <xf numFmtId="1" fontId="4" fillId="11" borderId="8" xfId="0" applyNumberFormat="1" applyFont="1" applyFill="1" applyBorder="1" applyAlignment="1" applyProtection="1">
      <alignment horizontal="center" vertical="top" wrapText="1" readingOrder="1"/>
      <protection locked="0"/>
    </xf>
    <xf numFmtId="1" fontId="4" fillId="11" borderId="1" xfId="0" applyNumberFormat="1" applyFont="1" applyFill="1" applyBorder="1" applyAlignment="1" applyProtection="1">
      <alignment horizontal="center" vertical="top" wrapText="1" readingOrder="1"/>
      <protection locked="0"/>
    </xf>
    <xf numFmtId="0" fontId="2" fillId="0" borderId="0" xfId="0" applyFont="1" applyAlignment="1">
      <alignment vertical="center" wrapText="1"/>
    </xf>
    <xf numFmtId="3" fontId="3" fillId="0" borderId="3" xfId="0" applyNumberFormat="1" applyFont="1" applyBorder="1" applyAlignment="1">
      <alignment horizontal="center" vertical="center" wrapText="1" readingOrder="1"/>
    </xf>
    <xf numFmtId="1" fontId="3" fillId="0" borderId="3" xfId="0" applyNumberFormat="1" applyFont="1" applyBorder="1" applyAlignment="1">
      <alignment horizontal="center" vertical="center" wrapText="1" readingOrder="1"/>
    </xf>
    <xf numFmtId="1" fontId="4" fillId="12" borderId="1" xfId="0" applyNumberFormat="1" applyFont="1" applyFill="1" applyBorder="1" applyAlignment="1" applyProtection="1">
      <alignment horizontal="center" vertical="top" wrapText="1" readingOrder="1"/>
      <protection locked="0"/>
    </xf>
    <xf numFmtId="1" fontId="4" fillId="13" borderId="8" xfId="0" applyNumberFormat="1" applyFont="1" applyFill="1" applyBorder="1" applyAlignment="1" applyProtection="1">
      <alignment horizontal="center" vertical="top" wrapText="1" readingOrder="1"/>
      <protection locked="0"/>
    </xf>
    <xf numFmtId="0" fontId="4" fillId="10" borderId="1" xfId="0" applyFont="1" applyFill="1" applyBorder="1" applyAlignment="1" applyProtection="1">
      <alignment horizontal="left" vertical="top" wrapText="1" readingOrder="1"/>
      <protection locked="0"/>
    </xf>
    <xf numFmtId="1" fontId="4" fillId="12" borderId="8" xfId="0" applyNumberFormat="1" applyFont="1" applyFill="1" applyBorder="1" applyAlignment="1" applyProtection="1">
      <alignment horizontal="center" vertical="top" wrapText="1" readingOrder="1"/>
      <protection locked="0"/>
    </xf>
    <xf numFmtId="0" fontId="7" fillId="0" borderId="9" xfId="0" applyFont="1" applyBorder="1" applyAlignment="1" applyProtection="1">
      <alignment horizontal="left" vertical="top" wrapText="1" readingOrder="1"/>
      <protection locked="0"/>
    </xf>
    <xf numFmtId="0" fontId="7" fillId="0" borderId="8" xfId="0" applyFont="1" applyBorder="1" applyAlignment="1" applyProtection="1">
      <alignment horizontal="left" vertical="top" wrapText="1" readingOrder="1"/>
      <protection locked="0"/>
    </xf>
    <xf numFmtId="1" fontId="4" fillId="14" borderId="1" xfId="0" applyNumberFormat="1" applyFont="1" applyFill="1" applyBorder="1" applyAlignment="1" applyProtection="1">
      <alignment horizontal="center" vertical="top" wrapText="1" readingOrder="1"/>
      <protection locked="0"/>
    </xf>
    <xf numFmtId="1" fontId="4" fillId="14" borderId="8" xfId="0" applyNumberFormat="1" applyFont="1" applyFill="1" applyBorder="1" applyAlignment="1" applyProtection="1">
      <alignment horizontal="center" vertical="top" wrapText="1" readingOrder="1"/>
      <protection locked="0"/>
    </xf>
    <xf numFmtId="3" fontId="4" fillId="14" borderId="1" xfId="0" applyNumberFormat="1" applyFont="1" applyFill="1" applyBorder="1" applyAlignment="1" applyProtection="1">
      <alignment horizontal="center" vertical="top" wrapText="1" readingOrder="1"/>
      <protection locked="0"/>
    </xf>
    <xf numFmtId="3" fontId="4" fillId="15" borderId="1" xfId="0" applyNumberFormat="1" applyFont="1" applyFill="1" applyBorder="1" applyAlignment="1" applyProtection="1">
      <alignment horizontal="center" vertical="top" wrapText="1" readingOrder="1"/>
      <protection locked="0"/>
    </xf>
    <xf numFmtId="1" fontId="4" fillId="15" borderId="1" xfId="0" applyNumberFormat="1" applyFont="1" applyFill="1" applyBorder="1" applyAlignment="1" applyProtection="1">
      <alignment horizontal="center" vertical="top" wrapText="1" readingOrder="1"/>
      <protection locked="0"/>
    </xf>
    <xf numFmtId="1" fontId="4" fillId="12" borderId="19" xfId="0" applyNumberFormat="1" applyFont="1" applyFill="1" applyBorder="1" applyAlignment="1" applyProtection="1">
      <alignment horizontal="center" vertical="top" wrapText="1" readingOrder="1"/>
      <protection locked="0"/>
    </xf>
    <xf numFmtId="1" fontId="4" fillId="12" borderId="17" xfId="0" applyNumberFormat="1" applyFont="1" applyFill="1" applyBorder="1" applyAlignment="1" applyProtection="1">
      <alignment horizontal="center" vertical="top" wrapText="1" readingOrder="1"/>
      <protection locked="0"/>
    </xf>
    <xf numFmtId="0" fontId="4" fillId="12" borderId="8" xfId="0" applyFont="1" applyFill="1" applyBorder="1" applyAlignment="1" applyProtection="1">
      <alignment horizontal="center" vertical="top" wrapText="1" readingOrder="1"/>
      <protection locked="0"/>
    </xf>
    <xf numFmtId="3" fontId="4" fillId="13" borderId="8" xfId="0" applyNumberFormat="1" applyFont="1" applyFill="1" applyBorder="1" applyAlignment="1" applyProtection="1">
      <alignment horizontal="center" vertical="top" wrapText="1" readingOrder="1"/>
      <protection locked="0"/>
    </xf>
    <xf numFmtId="3" fontId="4" fillId="12" borderId="8" xfId="0" applyNumberFormat="1" applyFont="1" applyFill="1" applyBorder="1" applyAlignment="1" applyProtection="1">
      <alignment horizontal="center" vertical="top" wrapText="1" readingOrder="1"/>
      <protection locked="0"/>
    </xf>
    <xf numFmtId="3" fontId="4" fillId="12" borderId="1" xfId="0" applyNumberFormat="1" applyFont="1" applyFill="1" applyBorder="1" applyAlignment="1" applyProtection="1">
      <alignment horizontal="center" vertical="top" wrapText="1" readingOrder="1"/>
      <protection locked="0"/>
    </xf>
    <xf numFmtId="0" fontId="7" fillId="0" borderId="1" xfId="0" applyFont="1" applyBorder="1" applyAlignment="1" applyProtection="1">
      <alignment horizontal="left" vertical="top" wrapText="1" readingOrder="1"/>
      <protection locked="0"/>
    </xf>
    <xf numFmtId="0" fontId="4" fillId="12" borderId="1" xfId="0" applyFont="1" applyFill="1" applyBorder="1" applyAlignment="1" applyProtection="1">
      <alignment horizontal="center" vertical="top" wrapText="1" readingOrder="1"/>
      <protection locked="0"/>
    </xf>
    <xf numFmtId="0" fontId="4" fillId="14" borderId="1" xfId="0" applyFont="1" applyFill="1" applyBorder="1" applyAlignment="1" applyProtection="1">
      <alignment horizontal="center" vertical="top" wrapText="1" readingOrder="1"/>
      <protection locked="0"/>
    </xf>
    <xf numFmtId="3" fontId="4" fillId="13" borderId="1" xfId="0" applyNumberFormat="1" applyFont="1" applyFill="1" applyBorder="1" applyAlignment="1" applyProtection="1">
      <alignment horizontal="center" vertical="top" wrapText="1" readingOrder="1"/>
      <protection locked="0"/>
    </xf>
    <xf numFmtId="0" fontId="7" fillId="0" borderId="6" xfId="0" applyFont="1" applyBorder="1" applyAlignment="1" applyProtection="1">
      <alignment horizontal="left" vertical="top" wrapText="1" readingOrder="1"/>
      <protection locked="0"/>
    </xf>
    <xf numFmtId="1" fontId="4" fillId="16" borderId="1" xfId="0" applyNumberFormat="1" applyFont="1" applyFill="1" applyBorder="1" applyAlignment="1" applyProtection="1">
      <alignment horizontal="center" vertical="top" wrapText="1" readingOrder="1"/>
      <protection locked="0"/>
    </xf>
    <xf numFmtId="0" fontId="4" fillId="13" borderId="8" xfId="0" applyFont="1" applyFill="1" applyBorder="1" applyAlignment="1" applyProtection="1">
      <alignment horizontal="center" vertical="top" wrapText="1" readingOrder="1"/>
      <protection locked="0"/>
    </xf>
    <xf numFmtId="0" fontId="4" fillId="16" borderId="8" xfId="0" applyFont="1" applyFill="1" applyBorder="1" applyAlignment="1" applyProtection="1">
      <alignment horizontal="center" vertical="top" wrapText="1" readingOrder="1"/>
      <protection locked="0"/>
    </xf>
    <xf numFmtId="0" fontId="4" fillId="13" borderId="1" xfId="0" applyFont="1" applyFill="1" applyBorder="1" applyAlignment="1" applyProtection="1">
      <alignment horizontal="center" vertical="top" wrapText="1" readingOrder="1"/>
      <protection locked="0"/>
    </xf>
    <xf numFmtId="3" fontId="4" fillId="14" borderId="8" xfId="0" applyNumberFormat="1" applyFont="1" applyFill="1" applyBorder="1" applyAlignment="1" applyProtection="1">
      <alignment horizontal="center" vertical="top" wrapText="1" readingOrder="1"/>
      <protection locked="0"/>
    </xf>
    <xf numFmtId="0" fontId="4" fillId="14" borderId="8" xfId="0" applyFont="1" applyFill="1" applyBorder="1" applyAlignment="1" applyProtection="1">
      <alignment horizontal="center" vertical="top" wrapText="1" readingOrder="1"/>
      <protection locked="0"/>
    </xf>
    <xf numFmtId="0" fontId="4" fillId="17" borderId="1" xfId="0" applyFont="1" applyFill="1" applyBorder="1" applyAlignment="1" applyProtection="1">
      <alignment horizontal="center" vertical="top" wrapText="1" readingOrder="1"/>
      <protection locked="0"/>
    </xf>
    <xf numFmtId="0" fontId="4" fillId="0" borderId="17" xfId="0" applyFont="1" applyBorder="1" applyAlignment="1" applyProtection="1">
      <alignment horizontal="left" vertical="top" wrapText="1" readingOrder="1"/>
      <protection locked="0"/>
    </xf>
    <xf numFmtId="0" fontId="4" fillId="0" borderId="19" xfId="0" applyFont="1" applyBorder="1" applyAlignment="1" applyProtection="1">
      <alignment horizontal="left" vertical="top" wrapText="1" readingOrder="1"/>
      <protection locked="0"/>
    </xf>
    <xf numFmtId="0" fontId="8" fillId="0" borderId="8" xfId="0" applyFont="1" applyBorder="1" applyAlignment="1" applyProtection="1">
      <alignment horizontal="left" vertical="top" wrapText="1" readingOrder="1"/>
      <protection locked="0"/>
    </xf>
    <xf numFmtId="0" fontId="8" fillId="0" borderId="1" xfId="0" applyFont="1" applyBorder="1" applyAlignment="1" applyProtection="1">
      <alignment horizontal="left" vertical="top" wrapText="1" readingOrder="1"/>
      <protection locked="0"/>
    </xf>
    <xf numFmtId="0" fontId="9" fillId="0" borderId="8" xfId="0" applyFont="1" applyBorder="1" applyAlignment="1" applyProtection="1">
      <alignment horizontal="left" vertical="top" wrapText="1" readingOrder="1"/>
      <protection locked="0"/>
    </xf>
    <xf numFmtId="0" fontId="8" fillId="0" borderId="6" xfId="0" applyFont="1" applyBorder="1" applyAlignment="1" applyProtection="1">
      <alignment horizontal="left" vertical="top" wrapText="1" readingOrder="1"/>
      <protection locked="0"/>
    </xf>
    <xf numFmtId="0" fontId="2" fillId="0" borderId="45" xfId="0" applyFont="1" applyBorder="1" applyAlignment="1">
      <alignment wrapText="1"/>
    </xf>
    <xf numFmtId="3" fontId="8" fillId="14" borderId="1" xfId="0" applyNumberFormat="1" applyFont="1" applyFill="1" applyBorder="1" applyAlignment="1" applyProtection="1">
      <alignment horizontal="center" vertical="top" wrapText="1" readingOrder="1"/>
      <protection locked="0"/>
    </xf>
    <xf numFmtId="0" fontId="4" fillId="0" borderId="46" xfId="0" applyFont="1" applyBorder="1" applyAlignment="1" applyProtection="1">
      <alignment horizontal="left" vertical="top" wrapText="1" readingOrder="1"/>
      <protection locked="0"/>
    </xf>
    <xf numFmtId="0" fontId="4" fillId="0" borderId="48" xfId="0" applyFont="1" applyBorder="1" applyAlignment="1" applyProtection="1">
      <alignment horizontal="left" vertical="top" wrapText="1" readingOrder="1"/>
      <protection locked="0"/>
    </xf>
    <xf numFmtId="0" fontId="4" fillId="0" borderId="47" xfId="0" applyFont="1" applyBorder="1" applyAlignment="1" applyProtection="1">
      <alignment horizontal="left" vertical="top" wrapText="1" readingOrder="1"/>
      <protection locked="0"/>
    </xf>
    <xf numFmtId="0" fontId="4" fillId="0" borderId="20" xfId="0" applyFont="1" applyBorder="1" applyAlignment="1" applyProtection="1">
      <alignment horizontal="left" vertical="top" wrapText="1" readingOrder="1"/>
      <protection locked="0"/>
    </xf>
    <xf numFmtId="0" fontId="7" fillId="0" borderId="51" xfId="0" applyFont="1" applyBorder="1" applyAlignment="1" applyProtection="1">
      <alignment horizontal="left" vertical="top" wrapText="1" readingOrder="1"/>
      <protection locked="0"/>
    </xf>
    <xf numFmtId="0" fontId="8" fillId="0" borderId="50" xfId="0" applyFont="1" applyBorder="1" applyAlignment="1" applyProtection="1">
      <alignment horizontal="left" vertical="top" wrapText="1" readingOrder="1"/>
      <protection locked="0"/>
    </xf>
    <xf numFmtId="0" fontId="4" fillId="16" borderId="1" xfId="0" applyFont="1" applyFill="1" applyBorder="1" applyAlignment="1" applyProtection="1">
      <alignment horizontal="center" vertical="top" wrapText="1" readingOrder="1"/>
      <protection locked="0"/>
    </xf>
    <xf numFmtId="1" fontId="4" fillId="13" borderId="1" xfId="0" applyNumberFormat="1" applyFont="1" applyFill="1" applyBorder="1" applyAlignment="1" applyProtection="1">
      <alignment horizontal="center" vertical="top" wrapText="1" readingOrder="1"/>
      <protection locked="0"/>
    </xf>
    <xf numFmtId="0" fontId="10" fillId="0" borderId="9" xfId="0" applyFont="1" applyBorder="1" applyAlignment="1" applyProtection="1">
      <alignment horizontal="left" vertical="top" wrapText="1" readingOrder="1"/>
      <protection locked="0"/>
    </xf>
    <xf numFmtId="0" fontId="10" fillId="0" borderId="46" xfId="0" applyFont="1" applyBorder="1" applyAlignment="1" applyProtection="1">
      <alignment horizontal="left" vertical="top" wrapText="1" readingOrder="1"/>
      <protection locked="0"/>
    </xf>
    <xf numFmtId="0" fontId="4" fillId="0" borderId="52" xfId="0" applyFont="1" applyBorder="1" applyAlignment="1" applyProtection="1">
      <alignment horizontal="left" vertical="top" wrapText="1" readingOrder="1"/>
      <protection locked="0"/>
    </xf>
    <xf numFmtId="3" fontId="8" fillId="14" borderId="8" xfId="0" applyNumberFormat="1" applyFont="1" applyFill="1" applyBorder="1" applyAlignment="1" applyProtection="1">
      <alignment horizontal="center" vertical="top" wrapText="1" readingOrder="1"/>
      <protection locked="0"/>
    </xf>
    <xf numFmtId="0" fontId="4" fillId="11" borderId="8" xfId="0" applyFont="1" applyFill="1" applyBorder="1" applyAlignment="1" applyProtection="1">
      <alignment horizontal="center" vertical="top" wrapText="1" readingOrder="1"/>
      <protection locked="0"/>
    </xf>
    <xf numFmtId="0" fontId="4" fillId="11" borderId="1" xfId="0" applyFont="1" applyFill="1" applyBorder="1" applyAlignment="1" applyProtection="1">
      <alignment horizontal="center" vertical="top" wrapText="1" readingOrder="1"/>
      <protection locked="0"/>
    </xf>
    <xf numFmtId="1" fontId="8" fillId="11" borderId="1" xfId="0" applyNumberFormat="1" applyFont="1" applyFill="1" applyBorder="1" applyAlignment="1" applyProtection="1">
      <alignment horizontal="center" vertical="top" wrapText="1" readingOrder="1"/>
      <protection locked="0"/>
    </xf>
    <xf numFmtId="1" fontId="8" fillId="12" borderId="1" xfId="0" applyNumberFormat="1" applyFont="1" applyFill="1" applyBorder="1" applyAlignment="1" applyProtection="1">
      <alignment horizontal="center" vertical="top" wrapText="1" readingOrder="1"/>
      <protection locked="0"/>
    </xf>
    <xf numFmtId="0" fontId="8" fillId="0" borderId="9" xfId="0" applyFont="1" applyBorder="1" applyAlignment="1" applyProtection="1">
      <alignment horizontal="left" vertical="top" wrapText="1" readingOrder="1"/>
      <protection locked="0"/>
    </xf>
    <xf numFmtId="0" fontId="4" fillId="10" borderId="9" xfId="0" applyFont="1" applyFill="1" applyBorder="1" applyAlignment="1" applyProtection="1">
      <alignment horizontal="left" vertical="top" wrapText="1" readingOrder="1"/>
      <protection locked="0"/>
    </xf>
    <xf numFmtId="0" fontId="4" fillId="10" borderId="6" xfId="0" applyFont="1" applyFill="1" applyBorder="1" applyAlignment="1" applyProtection="1">
      <alignment horizontal="left" vertical="top" wrapText="1" readingOrder="1"/>
      <protection locked="0"/>
    </xf>
    <xf numFmtId="0" fontId="4" fillId="10" borderId="8" xfId="0" applyFont="1" applyFill="1" applyBorder="1" applyAlignment="1" applyProtection="1">
      <alignment horizontal="left" vertical="top" wrapText="1" readingOrder="1"/>
      <protection locked="0"/>
    </xf>
    <xf numFmtId="0" fontId="4" fillId="10" borderId="8" xfId="0" applyFont="1" applyFill="1" applyBorder="1" applyAlignment="1" applyProtection="1">
      <alignment horizontal="center" vertical="top" wrapText="1" readingOrder="1"/>
      <protection locked="0"/>
    </xf>
    <xf numFmtId="0" fontId="4" fillId="10" borderId="1" xfId="0" applyFont="1" applyFill="1" applyBorder="1" applyAlignment="1" applyProtection="1">
      <alignment horizontal="center" vertical="top" wrapText="1" readingOrder="1"/>
      <protection locked="0"/>
    </xf>
    <xf numFmtId="0" fontId="8" fillId="13" borderId="8" xfId="0" applyFont="1" applyFill="1" applyBorder="1" applyAlignment="1" applyProtection="1">
      <alignment horizontal="center" vertical="top" wrapText="1" readingOrder="1"/>
      <protection locked="0"/>
    </xf>
    <xf numFmtId="0" fontId="10" fillId="10" borderId="9" xfId="0" applyFont="1" applyFill="1" applyBorder="1" applyAlignment="1" applyProtection="1">
      <alignment horizontal="left" vertical="top" wrapText="1" readingOrder="1"/>
      <protection locked="0"/>
    </xf>
    <xf numFmtId="3" fontId="8" fillId="12" borderId="8" xfId="0" applyNumberFormat="1" applyFont="1" applyFill="1" applyBorder="1" applyAlignment="1" applyProtection="1">
      <alignment horizontal="center" vertical="top" wrapText="1" readingOrder="1"/>
      <protection locked="0"/>
    </xf>
    <xf numFmtId="3" fontId="8" fillId="12" borderId="1" xfId="0" applyNumberFormat="1" applyFont="1" applyFill="1" applyBorder="1" applyAlignment="1" applyProtection="1">
      <alignment horizontal="center" vertical="top" wrapText="1" readingOrder="1"/>
      <protection locked="0"/>
    </xf>
    <xf numFmtId="0" fontId="4" fillId="0" borderId="0" xfId="0" applyFont="1" applyAlignment="1">
      <alignment wrapText="1"/>
    </xf>
    <xf numFmtId="0" fontId="8" fillId="12" borderId="8" xfId="0" applyFont="1" applyFill="1" applyBorder="1" applyAlignment="1" applyProtection="1">
      <alignment horizontal="center" vertical="top" wrapText="1" readingOrder="1"/>
      <protection locked="0"/>
    </xf>
    <xf numFmtId="0" fontId="8" fillId="4" borderId="9" xfId="0" applyFont="1" applyFill="1" applyBorder="1" applyAlignment="1" applyProtection="1">
      <alignment horizontal="left" vertical="top" wrapText="1" readingOrder="1"/>
      <protection locked="0"/>
    </xf>
    <xf numFmtId="0" fontId="7" fillId="0" borderId="8" xfId="1" applyFont="1" applyFill="1" applyBorder="1" applyAlignment="1" applyProtection="1">
      <alignment horizontal="left" vertical="top" wrapText="1" readingOrder="1"/>
      <protection locked="0"/>
    </xf>
    <xf numFmtId="1" fontId="8" fillId="13" borderId="8" xfId="0" applyNumberFormat="1" applyFont="1" applyFill="1" applyBorder="1" applyAlignment="1" applyProtection="1">
      <alignment horizontal="center" vertical="top" wrapText="1" readingOrder="1"/>
      <protection locked="0"/>
    </xf>
    <xf numFmtId="0" fontId="8" fillId="11" borderId="8" xfId="0" applyFont="1" applyFill="1" applyBorder="1" applyAlignment="1" applyProtection="1">
      <alignment horizontal="center" vertical="top" wrapText="1" readingOrder="1"/>
      <protection locked="0"/>
    </xf>
    <xf numFmtId="0" fontId="8" fillId="14" borderId="8" xfId="0" applyFont="1" applyFill="1" applyBorder="1" applyAlignment="1" applyProtection="1">
      <alignment horizontal="center" vertical="top" wrapText="1" readingOrder="1"/>
      <protection locked="0"/>
    </xf>
    <xf numFmtId="0" fontId="8" fillId="11" borderId="1" xfId="0" applyFont="1" applyFill="1" applyBorder="1" applyAlignment="1" applyProtection="1">
      <alignment horizontal="center" vertical="top" wrapText="1" readingOrder="1"/>
      <protection locked="0"/>
    </xf>
    <xf numFmtId="0" fontId="8" fillId="0" borderId="1" xfId="0" applyFont="1" applyBorder="1" applyAlignment="1" applyProtection="1">
      <alignment horizontal="center" vertical="top" wrapText="1" readingOrder="1"/>
      <protection locked="0"/>
    </xf>
    <xf numFmtId="0" fontId="8" fillId="12" borderId="1" xfId="0" applyFont="1" applyFill="1" applyBorder="1" applyAlignment="1" applyProtection="1">
      <alignment horizontal="center" vertical="top" wrapText="1" readingOrder="1"/>
      <protection locked="0"/>
    </xf>
    <xf numFmtId="0" fontId="8" fillId="2" borderId="1" xfId="2" applyFont="1" applyBorder="1" applyAlignment="1" applyProtection="1">
      <alignment horizontal="left" vertical="top" wrapText="1" readingOrder="1"/>
      <protection locked="0"/>
    </xf>
    <xf numFmtId="0" fontId="6" fillId="0" borderId="1" xfId="0" applyFont="1" applyBorder="1" applyAlignment="1" applyProtection="1">
      <alignment horizontal="left" vertical="top" wrapText="1" readingOrder="1"/>
      <protection locked="0"/>
    </xf>
    <xf numFmtId="0" fontId="6" fillId="0" borderId="1" xfId="0" applyFont="1" applyBorder="1" applyAlignment="1" applyProtection="1">
      <alignment horizontal="center" vertical="top" wrapText="1" readingOrder="1"/>
      <protection locked="0"/>
    </xf>
    <xf numFmtId="0" fontId="6" fillId="11" borderId="1" xfId="0" applyFont="1" applyFill="1" applyBorder="1" applyAlignment="1" applyProtection="1">
      <alignment horizontal="center" vertical="top" wrapText="1" readingOrder="1"/>
      <protection locked="0"/>
    </xf>
    <xf numFmtId="0" fontId="12" fillId="14" borderId="8" xfId="0" applyFont="1" applyFill="1" applyBorder="1" applyAlignment="1" applyProtection="1">
      <alignment horizontal="center" vertical="top" wrapText="1" readingOrder="1"/>
      <protection locked="0"/>
    </xf>
    <xf numFmtId="1" fontId="8" fillId="13" borderId="1" xfId="0" applyNumberFormat="1" applyFont="1" applyFill="1" applyBorder="1" applyAlignment="1" applyProtection="1">
      <alignment horizontal="center" vertical="top" wrapText="1" readingOrder="1"/>
      <protection locked="0"/>
    </xf>
    <xf numFmtId="0" fontId="7" fillId="0" borderId="36" xfId="0" applyFont="1" applyBorder="1" applyAlignment="1" applyProtection="1">
      <alignment horizontal="left" vertical="top" wrapText="1" readingOrder="1"/>
      <protection locked="0"/>
    </xf>
    <xf numFmtId="0" fontId="8" fillId="0" borderId="0" xfId="0" applyFont="1" applyBorder="1" applyAlignment="1" applyProtection="1">
      <alignment horizontal="left" vertical="top" wrapText="1" readingOrder="1"/>
      <protection locked="0"/>
    </xf>
    <xf numFmtId="0" fontId="8" fillId="0" borderId="46" xfId="0" applyFont="1" applyBorder="1" applyAlignment="1" applyProtection="1">
      <alignment horizontal="left" vertical="top" wrapText="1" readingOrder="1"/>
      <protection locked="0"/>
    </xf>
    <xf numFmtId="0" fontId="14" fillId="0" borderId="35" xfId="0" applyFont="1" applyBorder="1"/>
    <xf numFmtId="0" fontId="15" fillId="2" borderId="35" xfId="1" applyFont="1" applyBorder="1" applyAlignment="1">
      <alignment horizontal="center" vertical="center"/>
    </xf>
    <xf numFmtId="0" fontId="14" fillId="18" borderId="35" xfId="0" applyFont="1" applyFill="1" applyBorder="1"/>
    <xf numFmtId="0" fontId="13" fillId="0" borderId="35" xfId="0" applyFont="1" applyBorder="1" applyAlignment="1">
      <alignment vertical="center" wrapText="1"/>
    </xf>
    <xf numFmtId="0" fontId="15" fillId="0" borderId="35" xfId="0" applyFont="1" applyBorder="1" applyAlignment="1">
      <alignment horizontal="center" vertical="center"/>
    </xf>
    <xf numFmtId="0" fontId="14" fillId="16" borderId="35" xfId="0" applyFont="1" applyFill="1" applyBorder="1"/>
    <xf numFmtId="0" fontId="14" fillId="13" borderId="35" xfId="0" applyFont="1" applyFill="1" applyBorder="1"/>
    <xf numFmtId="0" fontId="16" fillId="0" borderId="35" xfId="0" applyFont="1" applyBorder="1" applyAlignment="1">
      <alignment horizontal="center" vertical="center"/>
    </xf>
    <xf numFmtId="0" fontId="14" fillId="19" borderId="35" xfId="0" applyFont="1" applyFill="1" applyBorder="1"/>
    <xf numFmtId="0" fontId="17" fillId="0" borderId="35" xfId="0" applyFont="1" applyBorder="1" applyAlignment="1">
      <alignment horizontal="center" vertical="center"/>
    </xf>
    <xf numFmtId="0" fontId="14" fillId="20" borderId="35" xfId="0" applyFont="1" applyFill="1" applyBorder="1"/>
    <xf numFmtId="0" fontId="16" fillId="0" borderId="35" xfId="0" applyFont="1" applyBorder="1" applyAlignment="1">
      <alignment vertical="center"/>
    </xf>
    <xf numFmtId="1" fontId="8" fillId="13" borderId="8" xfId="1" applyNumberFormat="1" applyFont="1" applyFill="1" applyBorder="1" applyAlignment="1" applyProtection="1">
      <alignment horizontal="center" vertical="top" wrapText="1" readingOrder="1"/>
      <protection locked="0"/>
    </xf>
    <xf numFmtId="0" fontId="8" fillId="0" borderId="49" xfId="0" applyFont="1" applyBorder="1" applyAlignment="1" applyProtection="1">
      <alignment horizontal="left" vertical="top" wrapText="1" readingOrder="1"/>
      <protection locked="0"/>
    </xf>
    <xf numFmtId="0" fontId="18" fillId="0" borderId="35" xfId="0" applyFont="1" applyBorder="1" applyAlignment="1">
      <alignment horizontal="center" vertical="center"/>
    </xf>
    <xf numFmtId="0" fontId="1" fillId="21" borderId="0" xfId="0" applyFont="1" applyFill="1" applyAlignment="1">
      <alignment horizontal="center" wrapText="1"/>
    </xf>
    <xf numFmtId="0" fontId="2" fillId="10" borderId="0" xfId="0" applyFont="1" applyFill="1" applyAlignment="1">
      <alignment wrapText="1"/>
    </xf>
    <xf numFmtId="0" fontId="2" fillId="10" borderId="0" xfId="0" applyFont="1" applyFill="1" applyAlignment="1">
      <alignment vertical="center" wrapText="1"/>
    </xf>
    <xf numFmtId="0" fontId="2" fillId="10" borderId="56" xfId="0" applyFont="1" applyFill="1" applyBorder="1" applyAlignment="1">
      <alignment wrapText="1"/>
    </xf>
    <xf numFmtId="0" fontId="2" fillId="10" borderId="0" xfId="0" applyFont="1" applyFill="1" applyBorder="1" applyAlignment="1">
      <alignment wrapText="1"/>
    </xf>
    <xf numFmtId="0" fontId="2" fillId="21" borderId="0" xfId="0" applyFont="1" applyFill="1" applyAlignment="1">
      <alignment wrapText="1"/>
    </xf>
    <xf numFmtId="0" fontId="15" fillId="10" borderId="35" xfId="0" applyFont="1" applyFill="1" applyBorder="1" applyAlignment="1">
      <alignment horizontal="center" vertical="center"/>
    </xf>
    <xf numFmtId="0" fontId="2" fillId="0" borderId="0" xfId="0" applyFont="1" applyAlignment="1">
      <alignment horizontal="right" wrapText="1"/>
    </xf>
    <xf numFmtId="0" fontId="4" fillId="0" borderId="10" xfId="0" applyFont="1" applyBorder="1" applyAlignment="1" applyProtection="1">
      <alignment horizontal="left" vertical="top" wrapText="1" readingOrder="1"/>
      <protection locked="0"/>
    </xf>
    <xf numFmtId="0" fontId="4" fillId="0" borderId="11" xfId="0" applyFont="1" applyBorder="1" applyAlignment="1" applyProtection="1">
      <alignment horizontal="left" vertical="top" wrapText="1" readingOrder="1"/>
      <protection locked="0"/>
    </xf>
    <xf numFmtId="0" fontId="4" fillId="0" borderId="12" xfId="0" applyFont="1" applyBorder="1" applyAlignment="1" applyProtection="1">
      <alignment horizontal="left" vertical="top" wrapText="1" readingOrder="1"/>
      <protection locked="0"/>
    </xf>
    <xf numFmtId="0" fontId="4" fillId="0" borderId="10" xfId="0" applyFont="1" applyBorder="1" applyAlignment="1" applyProtection="1">
      <alignment horizontal="center" vertical="top" wrapText="1" readingOrder="1"/>
      <protection locked="0"/>
    </xf>
    <xf numFmtId="0" fontId="4" fillId="0" borderId="11" xfId="0" applyFont="1" applyBorder="1" applyAlignment="1" applyProtection="1">
      <alignment horizontal="center" vertical="top" wrapText="1" readingOrder="1"/>
      <protection locked="0"/>
    </xf>
    <xf numFmtId="0" fontId="4" fillId="0" borderId="12" xfId="0" applyFont="1" applyBorder="1" applyAlignment="1" applyProtection="1">
      <alignment horizontal="center" vertical="top" wrapText="1" readingOrder="1"/>
      <protection locked="0"/>
    </xf>
    <xf numFmtId="0" fontId="4" fillId="12" borderId="10" xfId="0" applyFont="1" applyFill="1" applyBorder="1" applyAlignment="1" applyProtection="1">
      <alignment horizontal="center" vertical="top" wrapText="1" readingOrder="1"/>
      <protection locked="0"/>
    </xf>
    <xf numFmtId="0" fontId="4" fillId="12" borderId="11" xfId="0" applyFont="1" applyFill="1" applyBorder="1" applyAlignment="1" applyProtection="1">
      <alignment horizontal="center" vertical="top" wrapText="1" readingOrder="1"/>
      <protection locked="0"/>
    </xf>
    <xf numFmtId="0" fontId="4" fillId="12" borderId="12" xfId="0" applyFont="1" applyFill="1" applyBorder="1" applyAlignment="1" applyProtection="1">
      <alignment horizontal="center" vertical="top" wrapText="1" readingOrder="1"/>
      <protection locked="0"/>
    </xf>
    <xf numFmtId="0" fontId="4" fillId="0" borderId="53" xfId="0" applyFont="1" applyBorder="1" applyAlignment="1" applyProtection="1">
      <alignment horizontal="center" vertical="top" wrapText="1" readingOrder="1"/>
      <protection locked="0"/>
    </xf>
    <xf numFmtId="0" fontId="4" fillId="0" borderId="54" xfId="0" applyFont="1" applyBorder="1" applyAlignment="1" applyProtection="1">
      <alignment horizontal="center" vertical="top" wrapText="1" readingOrder="1"/>
      <protection locked="0"/>
    </xf>
    <xf numFmtId="0" fontId="4" fillId="0" borderId="55" xfId="0" applyFont="1" applyBorder="1" applyAlignment="1" applyProtection="1">
      <alignment horizontal="center" vertical="top" wrapText="1" readingOrder="1"/>
      <protection locked="0"/>
    </xf>
    <xf numFmtId="1" fontId="4" fillId="12" borderId="10" xfId="0" applyNumberFormat="1" applyFont="1" applyFill="1" applyBorder="1" applyAlignment="1" applyProtection="1">
      <alignment horizontal="center" vertical="top" wrapText="1" readingOrder="1"/>
      <protection locked="0"/>
    </xf>
    <xf numFmtId="1" fontId="4" fillId="12" borderId="11" xfId="0" applyNumberFormat="1" applyFont="1" applyFill="1" applyBorder="1" applyAlignment="1" applyProtection="1">
      <alignment horizontal="center" vertical="top" wrapText="1" readingOrder="1"/>
      <protection locked="0"/>
    </xf>
    <xf numFmtId="1" fontId="4" fillId="12" borderId="12" xfId="0" applyNumberFormat="1" applyFont="1" applyFill="1" applyBorder="1" applyAlignment="1" applyProtection="1">
      <alignment horizontal="center" vertical="top" wrapText="1" readingOrder="1"/>
      <protection locked="0"/>
    </xf>
    <xf numFmtId="1" fontId="4" fillId="13" borderId="10" xfId="0" applyNumberFormat="1" applyFont="1" applyFill="1" applyBorder="1" applyAlignment="1" applyProtection="1">
      <alignment horizontal="center" vertical="top" wrapText="1" readingOrder="1"/>
      <protection locked="0"/>
    </xf>
    <xf numFmtId="1" fontId="4" fillId="13" borderId="11" xfId="0" applyNumberFormat="1" applyFont="1" applyFill="1" applyBorder="1" applyAlignment="1" applyProtection="1">
      <alignment horizontal="center" vertical="top" wrapText="1" readingOrder="1"/>
      <protection locked="0"/>
    </xf>
    <xf numFmtId="1" fontId="4" fillId="13" borderId="12" xfId="0" applyNumberFormat="1" applyFont="1" applyFill="1" applyBorder="1" applyAlignment="1" applyProtection="1">
      <alignment horizontal="center" vertical="top" wrapText="1" readingOrder="1"/>
      <protection locked="0"/>
    </xf>
    <xf numFmtId="0" fontId="4" fillId="0" borderId="53" xfId="0" applyFont="1" applyBorder="1" applyAlignment="1" applyProtection="1">
      <alignment horizontal="left" vertical="top" wrapText="1" readingOrder="1"/>
      <protection locked="0"/>
    </xf>
    <xf numFmtId="0" fontId="4" fillId="0" borderId="54" xfId="0" applyFont="1" applyBorder="1" applyAlignment="1" applyProtection="1">
      <alignment horizontal="left" vertical="top" wrapText="1" readingOrder="1"/>
      <protection locked="0"/>
    </xf>
    <xf numFmtId="0" fontId="4" fillId="0" borderId="55" xfId="0" applyFont="1" applyBorder="1" applyAlignment="1" applyProtection="1">
      <alignment horizontal="left" vertical="top" wrapText="1" readingOrder="1"/>
      <protection locked="0"/>
    </xf>
    <xf numFmtId="0" fontId="4" fillId="0" borderId="14" xfId="0" applyFont="1" applyBorder="1" applyAlignment="1" applyProtection="1">
      <alignment horizontal="left" vertical="top" wrapText="1" readingOrder="1"/>
      <protection locked="0"/>
    </xf>
    <xf numFmtId="0" fontId="4" fillId="0" borderId="14" xfId="0" applyFont="1" applyBorder="1" applyAlignment="1" applyProtection="1">
      <alignment horizontal="center" vertical="top" wrapText="1" readingOrder="1"/>
      <protection locked="0"/>
    </xf>
    <xf numFmtId="1" fontId="4" fillId="13" borderId="14" xfId="0" applyNumberFormat="1" applyFont="1" applyFill="1" applyBorder="1" applyAlignment="1" applyProtection="1">
      <alignment horizontal="center" vertical="top" wrapText="1" readingOrder="1"/>
      <protection locked="0"/>
    </xf>
    <xf numFmtId="0" fontId="4" fillId="0" borderId="46" xfId="0" applyFont="1" applyBorder="1" applyAlignment="1" applyProtection="1">
      <alignment horizontal="left" vertical="top" wrapText="1" readingOrder="1"/>
      <protection locked="0"/>
    </xf>
    <xf numFmtId="1" fontId="4" fillId="11" borderId="10" xfId="0" applyNumberFormat="1" applyFont="1" applyFill="1" applyBorder="1" applyAlignment="1" applyProtection="1">
      <alignment horizontal="center" vertical="top" wrapText="1" readingOrder="1"/>
      <protection locked="0"/>
    </xf>
    <xf numFmtId="1" fontId="4" fillId="11" borderId="14" xfId="0" applyNumberFormat="1" applyFont="1" applyFill="1" applyBorder="1" applyAlignment="1" applyProtection="1">
      <alignment horizontal="center" vertical="top" wrapText="1" readingOrder="1"/>
      <protection locked="0"/>
    </xf>
    <xf numFmtId="0" fontId="1" fillId="2" borderId="0" xfId="0" applyFont="1" applyFill="1" applyAlignment="1">
      <alignment horizontal="center" wrapText="1"/>
    </xf>
    <xf numFmtId="0" fontId="3" fillId="0" borderId="7"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6" xfId="0" applyFont="1" applyBorder="1" applyAlignment="1">
      <alignment horizontal="center" vertical="center" wrapText="1" readingOrder="1"/>
    </xf>
    <xf numFmtId="0" fontId="3" fillId="0" borderId="4" xfId="0" applyFont="1" applyBorder="1" applyAlignment="1">
      <alignment horizontal="center" vertical="center" wrapText="1" readingOrder="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9" fontId="5" fillId="0" borderId="10" xfId="0" applyNumberFormat="1" applyFont="1" applyBorder="1" applyAlignment="1">
      <alignment horizontal="center" vertical="center" wrapText="1"/>
    </xf>
    <xf numFmtId="9" fontId="5" fillId="0" borderId="11" xfId="0" applyNumberFormat="1" applyFont="1" applyBorder="1" applyAlignment="1">
      <alignment horizontal="center" vertical="center" wrapText="1"/>
    </xf>
    <xf numFmtId="9" fontId="5" fillId="0" borderId="12" xfId="0" applyNumberFormat="1" applyFont="1" applyBorder="1" applyAlignment="1">
      <alignment horizontal="center" vertical="center" wrapText="1"/>
    </xf>
    <xf numFmtId="0" fontId="3" fillId="0" borderId="33" xfId="0" applyFont="1" applyBorder="1" applyAlignment="1">
      <alignment horizontal="center" vertical="center" wrapText="1" readingOrder="1"/>
    </xf>
    <xf numFmtId="3" fontId="3" fillId="0" borderId="34" xfId="0" applyNumberFormat="1" applyFont="1" applyBorder="1" applyAlignment="1">
      <alignment horizontal="center" vertical="center" wrapText="1" readingOrder="1"/>
    </xf>
    <xf numFmtId="0" fontId="3" fillId="0" borderId="1" xfId="0" applyFont="1" applyBorder="1" applyAlignment="1">
      <alignment horizontal="center" wrapText="1" readingOrder="1"/>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4" fillId="3" borderId="21" xfId="0" applyFont="1" applyFill="1" applyBorder="1" applyAlignment="1" applyProtection="1">
      <alignment horizontal="center" vertical="top" wrapText="1" readingOrder="1"/>
      <protection locked="0"/>
    </xf>
    <xf numFmtId="0" fontId="4" fillId="3" borderId="22" xfId="0" applyFont="1" applyFill="1" applyBorder="1" applyAlignment="1" applyProtection="1">
      <alignment horizontal="center" vertical="top" wrapText="1" readingOrder="1"/>
      <protection locked="0"/>
    </xf>
    <xf numFmtId="0" fontId="4" fillId="3" borderId="23" xfId="0" applyFont="1" applyFill="1" applyBorder="1" applyAlignment="1" applyProtection="1">
      <alignment horizontal="center" vertical="top" wrapText="1" readingOrder="1"/>
      <protection locked="0"/>
    </xf>
    <xf numFmtId="0" fontId="4" fillId="5" borderId="21" xfId="0" applyFont="1" applyFill="1" applyBorder="1" applyAlignment="1" applyProtection="1">
      <alignment horizontal="center" vertical="top" wrapText="1" readingOrder="1"/>
      <protection locked="0"/>
    </xf>
    <xf numFmtId="0" fontId="4" fillId="5" borderId="22" xfId="0" applyFont="1" applyFill="1" applyBorder="1" applyAlignment="1" applyProtection="1">
      <alignment horizontal="center" vertical="top" wrapText="1" readingOrder="1"/>
      <protection locked="0"/>
    </xf>
    <xf numFmtId="0" fontId="4" fillId="5" borderId="23" xfId="0" applyFont="1" applyFill="1" applyBorder="1" applyAlignment="1" applyProtection="1">
      <alignment horizontal="center" vertical="top" wrapText="1" readingOrder="1"/>
      <protection locked="0"/>
    </xf>
    <xf numFmtId="0" fontId="4" fillId="5" borderId="40" xfId="0" applyFont="1" applyFill="1" applyBorder="1" applyAlignment="1" applyProtection="1">
      <alignment horizontal="center" vertical="top" wrapText="1" readingOrder="1"/>
      <protection locked="0"/>
    </xf>
    <xf numFmtId="0" fontId="4" fillId="5" borderId="41" xfId="0" applyFont="1" applyFill="1" applyBorder="1" applyAlignment="1" applyProtection="1">
      <alignment horizontal="center" vertical="top" wrapText="1" readingOrder="1"/>
      <protection locked="0"/>
    </xf>
    <xf numFmtId="0" fontId="4" fillId="5" borderId="42" xfId="0" applyFont="1" applyFill="1" applyBorder="1" applyAlignment="1" applyProtection="1">
      <alignment horizontal="center" vertical="top" wrapText="1" readingOrder="1"/>
      <protection locked="0"/>
    </xf>
    <xf numFmtId="0" fontId="4" fillId="5" borderId="37" xfId="0" applyFont="1" applyFill="1" applyBorder="1" applyAlignment="1" applyProtection="1">
      <alignment horizontal="center" vertical="top" wrapText="1" readingOrder="1"/>
      <protection locked="0"/>
    </xf>
    <xf numFmtId="0" fontId="4" fillId="4" borderId="21" xfId="0" applyFont="1" applyFill="1" applyBorder="1" applyAlignment="1" applyProtection="1">
      <alignment horizontal="center" vertical="top" wrapText="1" readingOrder="1"/>
      <protection locked="0"/>
    </xf>
    <xf numFmtId="0" fontId="4" fillId="4" borderId="23" xfId="0" applyFont="1" applyFill="1" applyBorder="1" applyAlignment="1" applyProtection="1">
      <alignment horizontal="center" vertical="top" wrapText="1" readingOrder="1"/>
      <protection locked="0"/>
    </xf>
    <xf numFmtId="0" fontId="4" fillId="4" borderId="27" xfId="0" applyFont="1" applyFill="1" applyBorder="1" applyAlignment="1" applyProtection="1">
      <alignment horizontal="center" vertical="top" wrapText="1" readingOrder="1"/>
      <protection locked="0"/>
    </xf>
    <xf numFmtId="0" fontId="4" fillId="4" borderId="28" xfId="0" applyFont="1" applyFill="1" applyBorder="1" applyAlignment="1" applyProtection="1">
      <alignment horizontal="center" vertical="top" wrapText="1" readingOrder="1"/>
      <protection locked="0"/>
    </xf>
    <xf numFmtId="0" fontId="4" fillId="4" borderId="0" xfId="0" applyFont="1" applyFill="1" applyBorder="1" applyAlignment="1" applyProtection="1">
      <alignment horizontal="center" vertical="top" wrapText="1" readingOrder="1"/>
      <protection locked="0"/>
    </xf>
    <xf numFmtId="0" fontId="4" fillId="4" borderId="32" xfId="0" applyFont="1" applyFill="1" applyBorder="1" applyAlignment="1" applyProtection="1">
      <alignment horizontal="center" vertical="top" wrapText="1" readingOrder="1"/>
      <protection locked="0"/>
    </xf>
    <xf numFmtId="0" fontId="4" fillId="4" borderId="29" xfId="0" applyFont="1" applyFill="1" applyBorder="1" applyAlignment="1" applyProtection="1">
      <alignment horizontal="center" vertical="top" wrapText="1" readingOrder="1"/>
      <protection locked="0"/>
    </xf>
    <xf numFmtId="0" fontId="4" fillId="4" borderId="30" xfId="0" applyFont="1" applyFill="1" applyBorder="1" applyAlignment="1" applyProtection="1">
      <alignment horizontal="center" vertical="top" wrapText="1" readingOrder="1"/>
      <protection locked="0"/>
    </xf>
    <xf numFmtId="3" fontId="4" fillId="0" borderId="10" xfId="0" applyNumberFormat="1" applyFont="1" applyBorder="1" applyAlignment="1" applyProtection="1">
      <alignment horizontal="center" vertical="top" wrapText="1" readingOrder="1"/>
      <protection locked="0"/>
    </xf>
    <xf numFmtId="3" fontId="4" fillId="0" borderId="14" xfId="0" applyNumberFormat="1" applyFont="1" applyBorder="1" applyAlignment="1" applyProtection="1">
      <alignment horizontal="center" vertical="top" wrapText="1" readingOrder="1"/>
      <protection locked="0"/>
    </xf>
    <xf numFmtId="1" fontId="4" fillId="12" borderId="14" xfId="0" applyNumberFormat="1" applyFont="1" applyFill="1" applyBorder="1" applyAlignment="1" applyProtection="1">
      <alignment horizontal="center" vertical="top" wrapText="1" readingOrder="1"/>
      <protection locked="0"/>
    </xf>
    <xf numFmtId="0" fontId="4" fillId="0" borderId="46" xfId="0" applyFont="1" applyBorder="1" applyAlignment="1" applyProtection="1">
      <alignment horizontal="center" vertical="top" wrapText="1" readingOrder="1"/>
      <protection locked="0"/>
    </xf>
    <xf numFmtId="0" fontId="4" fillId="0" borderId="24" xfId="0" applyFont="1" applyBorder="1" applyAlignment="1" applyProtection="1">
      <alignment horizontal="left" vertical="top" wrapText="1" readingOrder="1"/>
      <protection locked="0"/>
    </xf>
    <xf numFmtId="0" fontId="4" fillId="0" borderId="26" xfId="0" applyFont="1" applyBorder="1" applyAlignment="1" applyProtection="1">
      <alignment horizontal="left" vertical="top" wrapText="1" readingOrder="1"/>
      <protection locked="0"/>
    </xf>
    <xf numFmtId="0" fontId="4" fillId="0" borderId="25" xfId="0" applyFont="1" applyBorder="1" applyAlignment="1" applyProtection="1">
      <alignment horizontal="left" vertical="top" wrapText="1" readingOrder="1"/>
      <protection locked="0"/>
    </xf>
    <xf numFmtId="0" fontId="4" fillId="0" borderId="10" xfId="0" applyFont="1" applyBorder="1" applyAlignment="1" applyProtection="1">
      <alignment vertical="top" wrapText="1" readingOrder="1"/>
      <protection locked="0"/>
    </xf>
    <xf numFmtId="0" fontId="0" fillId="0" borderId="11" xfId="0" applyBorder="1" applyAlignment="1">
      <alignment vertical="top" wrapText="1" readingOrder="1"/>
    </xf>
    <xf numFmtId="0" fontId="0" fillId="0" borderId="12" xfId="0" applyBorder="1" applyAlignment="1">
      <alignment vertical="top" wrapText="1" readingOrder="1"/>
    </xf>
    <xf numFmtId="0" fontId="4" fillId="0" borderId="24" xfId="0" applyFont="1" applyBorder="1" applyAlignment="1" applyProtection="1">
      <alignment vertical="top" wrapText="1" readingOrder="1"/>
      <protection locked="0"/>
    </xf>
    <xf numFmtId="0" fontId="0" fillId="0" borderId="25" xfId="0" applyBorder="1" applyAlignment="1">
      <alignment vertical="top" wrapText="1" readingOrder="1"/>
    </xf>
    <xf numFmtId="0" fontId="4" fillId="4" borderId="24" xfId="0" applyFont="1" applyFill="1" applyBorder="1" applyAlignment="1" applyProtection="1">
      <alignment horizontal="left" vertical="top" wrapText="1" readingOrder="1"/>
      <protection locked="0"/>
    </xf>
    <xf numFmtId="0" fontId="4" fillId="4" borderId="26" xfId="0" applyFont="1" applyFill="1" applyBorder="1" applyAlignment="1" applyProtection="1">
      <alignment horizontal="left" vertical="top" wrapText="1" readingOrder="1"/>
      <protection locked="0"/>
    </xf>
    <xf numFmtId="0" fontId="4" fillId="4" borderId="25" xfId="0" applyFont="1" applyFill="1" applyBorder="1" applyAlignment="1" applyProtection="1">
      <alignment horizontal="left" vertical="top" wrapText="1" readingOrder="1"/>
      <protection locked="0"/>
    </xf>
    <xf numFmtId="0" fontId="4" fillId="4" borderId="10" xfId="0" applyFont="1" applyFill="1" applyBorder="1" applyAlignment="1" applyProtection="1">
      <alignment horizontal="left" vertical="top" wrapText="1" readingOrder="1"/>
      <protection locked="0"/>
    </xf>
    <xf numFmtId="0" fontId="4" fillId="4" borderId="11" xfId="0" applyFont="1" applyFill="1" applyBorder="1" applyAlignment="1" applyProtection="1">
      <alignment horizontal="left" vertical="top" wrapText="1" readingOrder="1"/>
      <protection locked="0"/>
    </xf>
    <xf numFmtId="0" fontId="4" fillId="4" borderId="12" xfId="0" applyFont="1" applyFill="1" applyBorder="1" applyAlignment="1" applyProtection="1">
      <alignment horizontal="left" vertical="top" wrapText="1" readingOrder="1"/>
      <protection locked="0"/>
    </xf>
    <xf numFmtId="0" fontId="4" fillId="4" borderId="37" xfId="0" applyFont="1" applyFill="1" applyBorder="1" applyAlignment="1" applyProtection="1">
      <alignment horizontal="center" vertical="top" wrapText="1" readingOrder="1"/>
      <protection locked="0"/>
    </xf>
    <xf numFmtId="0" fontId="7" fillId="0" borderId="10" xfId="0" applyFont="1" applyBorder="1" applyAlignment="1" applyProtection="1">
      <alignment horizontal="left" vertical="top" wrapText="1" readingOrder="1"/>
      <protection locked="0"/>
    </xf>
    <xf numFmtId="0" fontId="7" fillId="0" borderId="12" xfId="0" applyFont="1" applyBorder="1" applyAlignment="1" applyProtection="1">
      <alignment horizontal="left" vertical="top" wrapText="1" readingOrder="1"/>
      <protection locked="0"/>
    </xf>
    <xf numFmtId="1" fontId="4" fillId="15" borderId="10" xfId="0" applyNumberFormat="1" applyFont="1" applyFill="1" applyBorder="1" applyAlignment="1" applyProtection="1">
      <alignment horizontal="center" vertical="top" wrapText="1" readingOrder="1"/>
      <protection locked="0"/>
    </xf>
    <xf numFmtId="1" fontId="4" fillId="15" borderId="12" xfId="0" applyNumberFormat="1" applyFont="1" applyFill="1" applyBorder="1" applyAlignment="1" applyProtection="1">
      <alignment horizontal="center" vertical="top" wrapText="1" readingOrder="1"/>
      <protection locked="0"/>
    </xf>
    <xf numFmtId="0" fontId="4" fillId="0" borderId="24" xfId="0" applyFont="1" applyBorder="1" applyAlignment="1" applyProtection="1">
      <alignment horizontal="center" vertical="top" wrapText="1" readingOrder="1"/>
      <protection locked="0"/>
    </xf>
    <xf numFmtId="0" fontId="4" fillId="0" borderId="26" xfId="0" applyFont="1" applyBorder="1" applyAlignment="1" applyProtection="1">
      <alignment horizontal="center" vertical="top" wrapText="1" readingOrder="1"/>
      <protection locked="0"/>
    </xf>
    <xf numFmtId="0" fontId="4" fillId="0" borderId="25" xfId="0" applyFont="1" applyBorder="1" applyAlignment="1" applyProtection="1">
      <alignment horizontal="center" vertical="top" wrapText="1" readingOrder="1"/>
      <protection locked="0"/>
    </xf>
    <xf numFmtId="0" fontId="4" fillId="4" borderId="43" xfId="0" applyFont="1" applyFill="1" applyBorder="1" applyAlignment="1" applyProtection="1">
      <alignment horizontal="center" vertical="top" wrapText="1" readingOrder="1"/>
      <protection locked="0"/>
    </xf>
    <xf numFmtId="0" fontId="4" fillId="3" borderId="43" xfId="0" applyFont="1" applyFill="1" applyBorder="1" applyAlignment="1" applyProtection="1">
      <alignment horizontal="center" vertical="top" wrapText="1" readingOrder="1"/>
      <protection locked="0"/>
    </xf>
    <xf numFmtId="0" fontId="4" fillId="14" borderId="10" xfId="0" applyFont="1" applyFill="1" applyBorder="1" applyAlignment="1" applyProtection="1">
      <alignment horizontal="center" vertical="top" wrapText="1" readingOrder="1"/>
      <protection locked="0"/>
    </xf>
    <xf numFmtId="0" fontId="4" fillId="14" borderId="12" xfId="0" applyFont="1" applyFill="1" applyBorder="1" applyAlignment="1" applyProtection="1">
      <alignment horizontal="center" vertical="top" wrapText="1" readingOrder="1"/>
      <protection locked="0"/>
    </xf>
    <xf numFmtId="0" fontId="7" fillId="0" borderId="53" xfId="0" applyFont="1" applyBorder="1" applyAlignment="1" applyProtection="1">
      <alignment horizontal="center" vertical="top" wrapText="1" readingOrder="1"/>
      <protection locked="0"/>
    </xf>
    <xf numFmtId="0" fontId="7" fillId="0" borderId="55" xfId="0" applyFont="1" applyBorder="1" applyAlignment="1" applyProtection="1">
      <alignment horizontal="center" vertical="top" wrapText="1" readingOrder="1"/>
      <protection locked="0"/>
    </xf>
  </cellXfs>
  <cellStyles count="3">
    <cellStyle name="Įprastas" xfId="0" builtinId="0"/>
    <cellStyle name="Įprastas 2" xfId="1" xr:uid="{291E662C-C622-4935-891F-9B0C9BD65EB2}"/>
    <cellStyle name="Įprastas 3" xfId="2" xr:uid="{4577E65D-7998-4BAF-A9F1-340118FF5CC4}"/>
  </cellStyles>
  <dxfs count="0"/>
  <tableStyles count="0" defaultTableStyle="TableStyleMedium2" defaultPivotStyle="PivotStyleLight16"/>
  <colors>
    <mruColors>
      <color rgb="FFFFFFCC"/>
      <color rgb="FFC0E4F6"/>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11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B25A-41FF-B516-A421D40B2E50}"/>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B25A-41FF-B516-A421D40B2E50}"/>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B25A-41FF-B516-A421D40B2E50}"/>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B25A-41FF-B516-A421D40B2E50}"/>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B25A-41FF-B516-A421D40B2E50}"/>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Planas!$S$819:$S$823</c:f>
              <c:numCache>
                <c:formatCode>General</c:formatCode>
                <c:ptCount val="5"/>
                <c:pt idx="0">
                  <c:v>36</c:v>
                </c:pt>
                <c:pt idx="2">
                  <c:v>5</c:v>
                </c:pt>
                <c:pt idx="3">
                  <c:v>2</c:v>
                </c:pt>
                <c:pt idx="4">
                  <c:v>1</c:v>
                </c:pt>
              </c:numCache>
            </c:numRef>
          </c:val>
          <c:extLst>
            <c:ext xmlns:c16="http://schemas.microsoft.com/office/drawing/2014/chart" uri="{C3380CC4-5D6E-409C-BE32-E72D297353CC}">
              <c16:uniqueId val="{0000000A-B25A-41FF-B516-A421D40B2E50}"/>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02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A6B9-47A5-8D62-F5111B62E198}"/>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A6B9-47A5-8D62-F5111B62E198}"/>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A6B9-47A5-8D62-F5111B62E198}"/>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A6B9-47A5-8D62-F5111B62E198}"/>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A6B9-47A5-8D62-F5111B62E198}"/>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Planas!$S$60:$S$64</c:f>
              <c:numCache>
                <c:formatCode>General</c:formatCode>
                <c:ptCount val="5"/>
                <c:pt idx="0">
                  <c:v>10</c:v>
                </c:pt>
                <c:pt idx="2">
                  <c:v>3</c:v>
                </c:pt>
                <c:pt idx="3">
                  <c:v>3</c:v>
                </c:pt>
                <c:pt idx="4">
                  <c:v>1</c:v>
                </c:pt>
              </c:numCache>
            </c:numRef>
          </c:val>
          <c:extLst>
            <c:ext xmlns:c16="http://schemas.microsoft.com/office/drawing/2014/chart" uri="{C3380CC4-5D6E-409C-BE32-E72D297353CC}">
              <c16:uniqueId val="{0000000A-A6B9-47A5-8D62-F5111B62E198}"/>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01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C990-4D5F-9E2B-E69DBAC73422}"/>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C990-4D5F-9E2B-E69DBAC73422}"/>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C990-4D5F-9E2B-E69DBAC73422}"/>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C990-4D5F-9E2B-E69DBAC73422}"/>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C990-4D5F-9E2B-E69DBAC73422}"/>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Planas!$S$11:$S$15</c:f>
              <c:numCache>
                <c:formatCode>General</c:formatCode>
                <c:ptCount val="5"/>
                <c:pt idx="1">
                  <c:v>2</c:v>
                </c:pt>
                <c:pt idx="2">
                  <c:v>4</c:v>
                </c:pt>
                <c:pt idx="4">
                  <c:v>5</c:v>
                </c:pt>
              </c:numCache>
            </c:numRef>
          </c:val>
          <c:extLst>
            <c:ext xmlns:c16="http://schemas.microsoft.com/office/drawing/2014/chart" uri="{C3380CC4-5D6E-409C-BE32-E72D297353CC}">
              <c16:uniqueId val="{0000000A-C990-4D5F-9E2B-E69DBAC73422}"/>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01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0.1097531033569604"/>
          <c:y val="0.12340245435726027"/>
          <c:w val="0.81829984567901248"/>
          <c:h val="0.48786805555555546"/>
        </c:manualLayout>
      </c:layout>
      <c:barChart>
        <c:barDir val="col"/>
        <c:grouping val="clustered"/>
        <c:varyColors val="0"/>
        <c:ser>
          <c:idx val="0"/>
          <c:order val="0"/>
          <c:tx>
            <c:strRef>
              <c:f>'[2]2023 m'!$B$3</c:f>
              <c:strCache>
                <c:ptCount val="1"/>
                <c:pt idx="0">
                  <c:v>Priemonė buvo įvykdyta pagal planą</c:v>
                </c:pt>
              </c:strCache>
            </c:strRef>
          </c:tx>
          <c:spPr>
            <a:solidFill>
              <a:srgbClr val="E2EFDA"/>
            </a:solidFill>
            <a:ln>
              <a:solidFill>
                <a:schemeClr val="tx1"/>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m'!$C$2:$D$2</c:f>
              <c:numCache>
                <c:formatCode>General</c:formatCode>
                <c:ptCount val="2"/>
                <c:pt idx="0">
                  <c:v>2022</c:v>
                </c:pt>
                <c:pt idx="1">
                  <c:v>2023</c:v>
                </c:pt>
              </c:numCache>
            </c:numRef>
          </c:cat>
          <c:val>
            <c:numRef>
              <c:f>'[2]2023 m'!$C$3:$D$3</c:f>
              <c:numCache>
                <c:formatCode>General</c:formatCode>
                <c:ptCount val="2"/>
                <c:pt idx="0">
                  <c:v>4</c:v>
                </c:pt>
              </c:numCache>
            </c:numRef>
          </c:val>
          <c:extLst>
            <c:ext xmlns:c16="http://schemas.microsoft.com/office/drawing/2014/chart" uri="{C3380CC4-5D6E-409C-BE32-E72D297353CC}">
              <c16:uniqueId val="{00000000-594E-42BF-AF8A-889ED306F0DF}"/>
            </c:ext>
          </c:extLst>
        </c:ser>
        <c:ser>
          <c:idx val="1"/>
          <c:order val="1"/>
          <c:tx>
            <c:strRef>
              <c:f>'[2]2023 m'!$B$4</c:f>
              <c:strCache>
                <c:ptCount val="1"/>
                <c:pt idx="0">
                  <c:v>Vykdant priemonę buvo pasiekta vertinimo kriterijų reikšmių mažiau nei 50 %</c:v>
                </c:pt>
              </c:strCache>
            </c:strRef>
          </c:tx>
          <c:spPr>
            <a:solidFill>
              <a:srgbClr val="FFFFCC"/>
            </a:solidFill>
            <a:ln>
              <a:solidFill>
                <a:schemeClr val="tx1"/>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m'!$C$2:$D$2</c:f>
              <c:numCache>
                <c:formatCode>General</c:formatCode>
                <c:ptCount val="2"/>
                <c:pt idx="0">
                  <c:v>2022</c:v>
                </c:pt>
                <c:pt idx="1">
                  <c:v>2023</c:v>
                </c:pt>
              </c:numCache>
            </c:numRef>
          </c:cat>
          <c:val>
            <c:numRef>
              <c:f>'[2]2023 m'!$C$4:$D$4</c:f>
              <c:numCache>
                <c:formatCode>General</c:formatCode>
                <c:ptCount val="2"/>
                <c:pt idx="0">
                  <c:v>1</c:v>
                </c:pt>
                <c:pt idx="1">
                  <c:v>2</c:v>
                </c:pt>
              </c:numCache>
            </c:numRef>
          </c:val>
          <c:extLst>
            <c:ext xmlns:c16="http://schemas.microsoft.com/office/drawing/2014/chart" uri="{C3380CC4-5D6E-409C-BE32-E72D297353CC}">
              <c16:uniqueId val="{00000001-594E-42BF-AF8A-889ED306F0DF}"/>
            </c:ext>
          </c:extLst>
        </c:ser>
        <c:ser>
          <c:idx val="2"/>
          <c:order val="2"/>
          <c:tx>
            <c:strRef>
              <c:f>'[2]2023 m'!$B$5</c:f>
              <c:strCache>
                <c:ptCount val="1"/>
                <c:pt idx="0">
                  <c:v>Vykdant priemonę buvo pasiekta vertinimo kriterijų reikšmių 50 % ir daugiau</c:v>
                </c:pt>
              </c:strCache>
            </c:strRef>
          </c:tx>
          <c:spPr>
            <a:solidFill>
              <a:srgbClr val="FFC000"/>
            </a:solidFill>
            <a:ln>
              <a:solidFill>
                <a:schemeClr val="tx1"/>
              </a:solidFill>
            </a:ln>
            <a:effectLst/>
            <a:scene3d>
              <a:camera prst="orthographicFront"/>
              <a:lightRig rig="threePt" dir="t"/>
            </a:scene3d>
            <a:sp3d>
              <a:bevelT/>
            </a:sp3d>
          </c:spPr>
          <c:invertIfNegative val="0"/>
          <c:dLbls>
            <c:dLbl>
              <c:idx val="1"/>
              <c:layout>
                <c:manualLayout>
                  <c:x val="6.4202480710759549E-3"/>
                  <c:y val="2.80831677813257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4E-42BF-AF8A-889ED306F0D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m'!$C$2:$D$2</c:f>
              <c:numCache>
                <c:formatCode>General</c:formatCode>
                <c:ptCount val="2"/>
                <c:pt idx="0">
                  <c:v>2022</c:v>
                </c:pt>
                <c:pt idx="1">
                  <c:v>2023</c:v>
                </c:pt>
              </c:numCache>
            </c:numRef>
          </c:cat>
          <c:val>
            <c:numRef>
              <c:f>'[2]2023 m'!$C$5:$D$5</c:f>
              <c:numCache>
                <c:formatCode>General</c:formatCode>
                <c:ptCount val="2"/>
                <c:pt idx="0">
                  <c:v>2</c:v>
                </c:pt>
                <c:pt idx="1">
                  <c:v>4</c:v>
                </c:pt>
              </c:numCache>
            </c:numRef>
          </c:val>
          <c:extLst>
            <c:ext xmlns:c16="http://schemas.microsoft.com/office/drawing/2014/chart" uri="{C3380CC4-5D6E-409C-BE32-E72D297353CC}">
              <c16:uniqueId val="{00000003-594E-42BF-AF8A-889ED306F0DF}"/>
            </c:ext>
          </c:extLst>
        </c:ser>
        <c:ser>
          <c:idx val="3"/>
          <c:order val="3"/>
          <c:tx>
            <c:strRef>
              <c:f>'[2]2023 m'!$B$6</c:f>
              <c:strCache>
                <c:ptCount val="1"/>
                <c:pt idx="0">
                  <c:v>Vykdant priemonę buvo pasiekta daugiau vertinimo kriterijų reikšmių nei planuota</c:v>
                </c:pt>
              </c:strCache>
            </c:strRef>
          </c:tx>
          <c:spPr>
            <a:solidFill>
              <a:srgbClr val="C0E4F6"/>
            </a:solidFill>
            <a:ln>
              <a:solidFill>
                <a:schemeClr val="tx1"/>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m'!$C$2:$D$2</c:f>
              <c:numCache>
                <c:formatCode>General</c:formatCode>
                <c:ptCount val="2"/>
                <c:pt idx="0">
                  <c:v>2022</c:v>
                </c:pt>
                <c:pt idx="1">
                  <c:v>2023</c:v>
                </c:pt>
              </c:numCache>
            </c:numRef>
          </c:cat>
          <c:val>
            <c:numRef>
              <c:f>'[2]2023 m'!$C$6:$D$6</c:f>
              <c:numCache>
                <c:formatCode>General</c:formatCode>
                <c:ptCount val="2"/>
                <c:pt idx="0">
                  <c:v>1</c:v>
                </c:pt>
                <c:pt idx="1">
                  <c:v>0</c:v>
                </c:pt>
              </c:numCache>
            </c:numRef>
          </c:val>
          <c:extLst>
            <c:ext xmlns:c16="http://schemas.microsoft.com/office/drawing/2014/chart" uri="{C3380CC4-5D6E-409C-BE32-E72D297353CC}">
              <c16:uniqueId val="{00000004-594E-42BF-AF8A-889ED306F0DF}"/>
            </c:ext>
          </c:extLst>
        </c:ser>
        <c:ser>
          <c:idx val="4"/>
          <c:order val="4"/>
          <c:tx>
            <c:strRef>
              <c:f>'[2]2023 m'!$B$7</c:f>
              <c:strCache>
                <c:ptCount val="1"/>
                <c:pt idx="0">
                  <c:v>Priemonė neįvykdyta, t.y. nepasiekta planuota vertinimo kriterijų reikšmė</c:v>
                </c:pt>
              </c:strCache>
            </c:strRef>
          </c:tx>
          <c:spPr>
            <a:solidFill>
              <a:srgbClr val="FCE4D6"/>
            </a:solidFill>
            <a:ln>
              <a:solidFill>
                <a:schemeClr val="tx1"/>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m'!$C$2:$D$2</c:f>
              <c:numCache>
                <c:formatCode>General</c:formatCode>
                <c:ptCount val="2"/>
                <c:pt idx="0">
                  <c:v>2022</c:v>
                </c:pt>
                <c:pt idx="1">
                  <c:v>2023</c:v>
                </c:pt>
              </c:numCache>
            </c:numRef>
          </c:cat>
          <c:val>
            <c:numRef>
              <c:f>'[2]2023 m'!$C$7:$D$7</c:f>
              <c:numCache>
                <c:formatCode>General</c:formatCode>
                <c:ptCount val="2"/>
                <c:pt idx="0">
                  <c:v>0</c:v>
                </c:pt>
                <c:pt idx="1">
                  <c:v>5</c:v>
                </c:pt>
              </c:numCache>
            </c:numRef>
          </c:val>
          <c:extLst>
            <c:ext xmlns:c16="http://schemas.microsoft.com/office/drawing/2014/chart" uri="{C3380CC4-5D6E-409C-BE32-E72D297353CC}">
              <c16:uniqueId val="{00000005-594E-42BF-AF8A-889ED306F0DF}"/>
            </c:ext>
          </c:extLst>
        </c:ser>
        <c:dLbls>
          <c:showLegendKey val="0"/>
          <c:showVal val="0"/>
          <c:showCatName val="0"/>
          <c:showSerName val="0"/>
          <c:showPercent val="0"/>
          <c:showBubbleSize val="0"/>
        </c:dLbls>
        <c:gapWidth val="150"/>
        <c:axId val="1495728303"/>
        <c:axId val="1495744527"/>
      </c:barChart>
      <c:lineChart>
        <c:grouping val="standard"/>
        <c:varyColors val="0"/>
        <c:ser>
          <c:idx val="5"/>
          <c:order val="5"/>
          <c:tx>
            <c:strRef>
              <c:f>'[2]2023 m'!$B$8</c:f>
              <c:strCache>
                <c:ptCount val="1"/>
                <c:pt idx="0">
                  <c:v>Iš viso programų priemonių</c:v>
                </c:pt>
              </c:strCache>
            </c:strRef>
          </c:tx>
          <c:spPr>
            <a:ln w="28575" cap="rnd">
              <a:solidFill>
                <a:schemeClr val="accent4"/>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m'!$C$2:$D$2</c:f>
              <c:numCache>
                <c:formatCode>General</c:formatCode>
                <c:ptCount val="2"/>
                <c:pt idx="0">
                  <c:v>2022</c:v>
                </c:pt>
                <c:pt idx="1">
                  <c:v>2023</c:v>
                </c:pt>
              </c:numCache>
            </c:numRef>
          </c:cat>
          <c:val>
            <c:numRef>
              <c:f>'[2]2023 m'!$C$8:$D$8</c:f>
              <c:numCache>
                <c:formatCode>General</c:formatCode>
                <c:ptCount val="2"/>
                <c:pt idx="0">
                  <c:v>8</c:v>
                </c:pt>
                <c:pt idx="1">
                  <c:v>11</c:v>
                </c:pt>
              </c:numCache>
            </c:numRef>
          </c:val>
          <c:smooth val="0"/>
          <c:extLst>
            <c:ext xmlns:c16="http://schemas.microsoft.com/office/drawing/2014/chart" uri="{C3380CC4-5D6E-409C-BE32-E72D297353CC}">
              <c16:uniqueId val="{00000006-594E-42BF-AF8A-889ED306F0DF}"/>
            </c:ext>
          </c:extLst>
        </c:ser>
        <c:dLbls>
          <c:showLegendKey val="0"/>
          <c:showVal val="0"/>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solidFill>
            <a:schemeClr val="tx1"/>
          </a:solidFill>
        </a:ln>
        <a:effectLst/>
      </c:spPr>
    </c:plotArea>
    <c:legend>
      <c:legendPos val="b"/>
      <c:layout>
        <c:manualLayout>
          <c:xMode val="edge"/>
          <c:yMode val="edge"/>
          <c:x val="4.7813278983530709E-2"/>
          <c:y val="0.69035862768623613"/>
          <c:w val="0.92355570987654323"/>
          <c:h val="0.29560017388973925"/>
        </c:manualLayout>
      </c:layout>
      <c:overlay val="0"/>
      <c:spPr>
        <a:solidFill>
          <a:sysClr val="window" lastClr="FFFFFF">
            <a:lumMod val="95000"/>
          </a:sys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02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m'!$B$13</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m'!$C$12:$D$12</c:f>
              <c:numCache>
                <c:formatCode>General</c:formatCode>
                <c:ptCount val="2"/>
                <c:pt idx="0">
                  <c:v>2022</c:v>
                </c:pt>
                <c:pt idx="1">
                  <c:v>2023</c:v>
                </c:pt>
              </c:numCache>
            </c:numRef>
          </c:cat>
          <c:val>
            <c:numRef>
              <c:f>'[2]2023 m'!$C$13:$D$13</c:f>
              <c:numCache>
                <c:formatCode>General</c:formatCode>
                <c:ptCount val="2"/>
                <c:pt idx="0">
                  <c:v>7</c:v>
                </c:pt>
                <c:pt idx="1">
                  <c:v>10</c:v>
                </c:pt>
              </c:numCache>
            </c:numRef>
          </c:val>
          <c:extLst>
            <c:ext xmlns:c16="http://schemas.microsoft.com/office/drawing/2014/chart" uri="{C3380CC4-5D6E-409C-BE32-E72D297353CC}">
              <c16:uniqueId val="{00000000-BB48-419F-8DBC-5B5826000CD0}"/>
            </c:ext>
          </c:extLst>
        </c:ser>
        <c:ser>
          <c:idx val="1"/>
          <c:order val="1"/>
          <c:tx>
            <c:strRef>
              <c:f>'[2]2023 m'!$B$14</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m'!$C$12:$D$12</c:f>
              <c:numCache>
                <c:formatCode>General</c:formatCode>
                <c:ptCount val="2"/>
                <c:pt idx="0">
                  <c:v>2022</c:v>
                </c:pt>
                <c:pt idx="1">
                  <c:v>2023</c:v>
                </c:pt>
              </c:numCache>
            </c:numRef>
          </c:cat>
          <c:val>
            <c:numRef>
              <c:f>'[2]2023 m'!$C$14:$D$14</c:f>
              <c:numCache>
                <c:formatCode>General</c:formatCode>
                <c:ptCount val="2"/>
                <c:pt idx="0">
                  <c:v>1</c:v>
                </c:pt>
                <c:pt idx="1">
                  <c:v>0</c:v>
                </c:pt>
              </c:numCache>
            </c:numRef>
          </c:val>
          <c:extLst>
            <c:ext xmlns:c16="http://schemas.microsoft.com/office/drawing/2014/chart" uri="{C3380CC4-5D6E-409C-BE32-E72D297353CC}">
              <c16:uniqueId val="{00000001-BB48-419F-8DBC-5B5826000CD0}"/>
            </c:ext>
          </c:extLst>
        </c:ser>
        <c:ser>
          <c:idx val="2"/>
          <c:order val="2"/>
          <c:tx>
            <c:strRef>
              <c:f>'[2]2023 m'!$B$15</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m'!$C$12:$D$12</c:f>
              <c:numCache>
                <c:formatCode>General</c:formatCode>
                <c:ptCount val="2"/>
                <c:pt idx="0">
                  <c:v>2022</c:v>
                </c:pt>
                <c:pt idx="1">
                  <c:v>2023</c:v>
                </c:pt>
              </c:numCache>
            </c:numRef>
          </c:cat>
          <c:val>
            <c:numRef>
              <c:f>'[2]2023 m'!$C$15:$D$15</c:f>
              <c:numCache>
                <c:formatCode>General</c:formatCode>
                <c:ptCount val="2"/>
                <c:pt idx="0">
                  <c:v>3</c:v>
                </c:pt>
                <c:pt idx="1">
                  <c:v>3</c:v>
                </c:pt>
              </c:numCache>
            </c:numRef>
          </c:val>
          <c:extLst>
            <c:ext xmlns:c16="http://schemas.microsoft.com/office/drawing/2014/chart" uri="{C3380CC4-5D6E-409C-BE32-E72D297353CC}">
              <c16:uniqueId val="{00000002-BB48-419F-8DBC-5B5826000CD0}"/>
            </c:ext>
          </c:extLst>
        </c:ser>
        <c:ser>
          <c:idx val="3"/>
          <c:order val="3"/>
          <c:tx>
            <c:strRef>
              <c:f>'[2]2023 m'!$B$16</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m'!$C$12:$D$12</c:f>
              <c:numCache>
                <c:formatCode>General</c:formatCode>
                <c:ptCount val="2"/>
                <c:pt idx="0">
                  <c:v>2022</c:v>
                </c:pt>
                <c:pt idx="1">
                  <c:v>2023</c:v>
                </c:pt>
              </c:numCache>
            </c:numRef>
          </c:cat>
          <c:val>
            <c:numRef>
              <c:f>'[2]2023 m'!$C$16:$D$16</c:f>
              <c:numCache>
                <c:formatCode>General</c:formatCode>
                <c:ptCount val="2"/>
                <c:pt idx="0">
                  <c:v>3</c:v>
                </c:pt>
                <c:pt idx="1">
                  <c:v>3</c:v>
                </c:pt>
              </c:numCache>
            </c:numRef>
          </c:val>
          <c:extLst>
            <c:ext xmlns:c16="http://schemas.microsoft.com/office/drawing/2014/chart" uri="{C3380CC4-5D6E-409C-BE32-E72D297353CC}">
              <c16:uniqueId val="{00000003-BB48-419F-8DBC-5B5826000CD0}"/>
            </c:ext>
          </c:extLst>
        </c:ser>
        <c:ser>
          <c:idx val="4"/>
          <c:order val="4"/>
          <c:tx>
            <c:strRef>
              <c:f>'[2]2023 m'!$B$17</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m'!$C$12:$D$12</c:f>
              <c:numCache>
                <c:formatCode>General</c:formatCode>
                <c:ptCount val="2"/>
                <c:pt idx="0">
                  <c:v>2022</c:v>
                </c:pt>
                <c:pt idx="1">
                  <c:v>2023</c:v>
                </c:pt>
              </c:numCache>
            </c:numRef>
          </c:cat>
          <c:val>
            <c:numRef>
              <c:f>'[2]2023 m'!$C$17:$D$17</c:f>
              <c:numCache>
                <c:formatCode>General</c:formatCode>
                <c:ptCount val="2"/>
                <c:pt idx="0">
                  <c:v>3</c:v>
                </c:pt>
                <c:pt idx="1">
                  <c:v>1</c:v>
                </c:pt>
              </c:numCache>
            </c:numRef>
          </c:val>
          <c:extLst>
            <c:ext xmlns:c16="http://schemas.microsoft.com/office/drawing/2014/chart" uri="{C3380CC4-5D6E-409C-BE32-E72D297353CC}">
              <c16:uniqueId val="{00000004-BB48-419F-8DBC-5B5826000CD0}"/>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m'!$B$18</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c:spPr>
          </c:marker>
          <c:dLbls>
            <c:dLbl>
              <c:idx val="0"/>
              <c:layout>
                <c:manualLayout>
                  <c:x val="-5.8796305369800246E-2"/>
                  <c:y val="-8.42471905441483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48-419F-8DBC-5B5826000CD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m'!$C$12:$D$12</c:f>
              <c:numCache>
                <c:formatCode>General</c:formatCode>
                <c:ptCount val="2"/>
                <c:pt idx="0">
                  <c:v>2022</c:v>
                </c:pt>
                <c:pt idx="1">
                  <c:v>2023</c:v>
                </c:pt>
              </c:numCache>
            </c:numRef>
          </c:cat>
          <c:val>
            <c:numRef>
              <c:f>'[2]2023 m'!$C$18:$D$18</c:f>
              <c:numCache>
                <c:formatCode>General</c:formatCode>
                <c:ptCount val="2"/>
                <c:pt idx="0">
                  <c:v>17</c:v>
                </c:pt>
                <c:pt idx="1">
                  <c:v>17</c:v>
                </c:pt>
              </c:numCache>
            </c:numRef>
          </c:val>
          <c:smooth val="0"/>
          <c:extLst>
            <c:ext xmlns:c16="http://schemas.microsoft.com/office/drawing/2014/chart" uri="{C3380CC4-5D6E-409C-BE32-E72D297353CC}">
              <c16:uniqueId val="{00000006-BB48-419F-8DBC-5B5826000CD0}"/>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ysClr val="window" lastClr="FFFFFF">
            <a:lumMod val="95000"/>
          </a:sysClr>
        </a:solidFill>
        <a:ln>
          <a:noFill/>
        </a:ln>
        <a:effectLst/>
      </c:spPr>
    </c:plotArea>
    <c:legend>
      <c:legendPos val="b"/>
      <c:layout>
        <c:manualLayout>
          <c:xMode val="edge"/>
          <c:yMode val="edge"/>
          <c:x val="4.5853402137870689E-2"/>
          <c:y val="0.68474214831662616"/>
          <c:w val="0.92355570987654323"/>
          <c:h val="0.29560017388973925"/>
        </c:manualLayout>
      </c:layout>
      <c:overlay val="0"/>
      <c:spPr>
        <a:solidFill>
          <a:sysClr val="window" lastClr="FFFFFF">
            <a:lumMod val="95000"/>
          </a:sys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03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m'!$B$25</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m'!$C$24:$D$24</c:f>
              <c:numCache>
                <c:formatCode>General</c:formatCode>
                <c:ptCount val="2"/>
                <c:pt idx="0">
                  <c:v>2022</c:v>
                </c:pt>
                <c:pt idx="1">
                  <c:v>2023</c:v>
                </c:pt>
              </c:numCache>
            </c:numRef>
          </c:cat>
          <c:val>
            <c:numRef>
              <c:f>'[2]2023 m'!$C$25:$D$25</c:f>
              <c:numCache>
                <c:formatCode>General</c:formatCode>
                <c:ptCount val="2"/>
                <c:pt idx="0">
                  <c:v>4</c:v>
                </c:pt>
                <c:pt idx="1">
                  <c:v>7</c:v>
                </c:pt>
              </c:numCache>
            </c:numRef>
          </c:val>
          <c:extLst>
            <c:ext xmlns:c16="http://schemas.microsoft.com/office/drawing/2014/chart" uri="{C3380CC4-5D6E-409C-BE32-E72D297353CC}">
              <c16:uniqueId val="{00000000-E4E9-40F8-89E9-14C5F0F53CEC}"/>
            </c:ext>
          </c:extLst>
        </c:ser>
        <c:ser>
          <c:idx val="1"/>
          <c:order val="1"/>
          <c:tx>
            <c:strRef>
              <c:f>'[2]2023 m'!$B$26</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m'!$C$24:$D$24</c:f>
              <c:numCache>
                <c:formatCode>General</c:formatCode>
                <c:ptCount val="2"/>
                <c:pt idx="0">
                  <c:v>2022</c:v>
                </c:pt>
                <c:pt idx="1">
                  <c:v>2023</c:v>
                </c:pt>
              </c:numCache>
            </c:numRef>
          </c:cat>
          <c:val>
            <c:numRef>
              <c:f>'[2]2023 m'!$C$26:$D$26</c:f>
              <c:numCache>
                <c:formatCode>General</c:formatCode>
                <c:ptCount val="2"/>
                <c:pt idx="0">
                  <c:v>0</c:v>
                </c:pt>
                <c:pt idx="1">
                  <c:v>1</c:v>
                </c:pt>
              </c:numCache>
            </c:numRef>
          </c:val>
          <c:extLst>
            <c:ext xmlns:c16="http://schemas.microsoft.com/office/drawing/2014/chart" uri="{C3380CC4-5D6E-409C-BE32-E72D297353CC}">
              <c16:uniqueId val="{00000001-E4E9-40F8-89E9-14C5F0F53CEC}"/>
            </c:ext>
          </c:extLst>
        </c:ser>
        <c:ser>
          <c:idx val="2"/>
          <c:order val="2"/>
          <c:tx>
            <c:strRef>
              <c:f>'[2]2023 m'!$B$27</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m'!$C$24:$D$24</c:f>
              <c:numCache>
                <c:formatCode>General</c:formatCode>
                <c:ptCount val="2"/>
                <c:pt idx="0">
                  <c:v>2022</c:v>
                </c:pt>
                <c:pt idx="1">
                  <c:v>2023</c:v>
                </c:pt>
              </c:numCache>
            </c:numRef>
          </c:cat>
          <c:val>
            <c:numRef>
              <c:f>'[2]2023 m'!$C$27:$D$27</c:f>
              <c:numCache>
                <c:formatCode>General</c:formatCode>
                <c:ptCount val="2"/>
                <c:pt idx="0">
                  <c:v>5</c:v>
                </c:pt>
                <c:pt idx="1">
                  <c:v>5</c:v>
                </c:pt>
              </c:numCache>
            </c:numRef>
          </c:val>
          <c:extLst>
            <c:ext xmlns:c16="http://schemas.microsoft.com/office/drawing/2014/chart" uri="{C3380CC4-5D6E-409C-BE32-E72D297353CC}">
              <c16:uniqueId val="{00000002-E4E9-40F8-89E9-14C5F0F53CEC}"/>
            </c:ext>
          </c:extLst>
        </c:ser>
        <c:ser>
          <c:idx val="3"/>
          <c:order val="3"/>
          <c:tx>
            <c:strRef>
              <c:f>'[2]2023 m'!$B$28</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m'!$C$24:$D$24</c:f>
              <c:numCache>
                <c:formatCode>General</c:formatCode>
                <c:ptCount val="2"/>
                <c:pt idx="0">
                  <c:v>2022</c:v>
                </c:pt>
                <c:pt idx="1">
                  <c:v>2023</c:v>
                </c:pt>
              </c:numCache>
            </c:numRef>
          </c:cat>
          <c:val>
            <c:numRef>
              <c:f>'[2]2023 m'!$C$28:$D$28</c:f>
              <c:numCache>
                <c:formatCode>General</c:formatCode>
                <c:ptCount val="2"/>
                <c:pt idx="0">
                  <c:v>4</c:v>
                </c:pt>
                <c:pt idx="1">
                  <c:v>3</c:v>
                </c:pt>
              </c:numCache>
            </c:numRef>
          </c:val>
          <c:extLst>
            <c:ext xmlns:c16="http://schemas.microsoft.com/office/drawing/2014/chart" uri="{C3380CC4-5D6E-409C-BE32-E72D297353CC}">
              <c16:uniqueId val="{00000003-E4E9-40F8-89E9-14C5F0F53CEC}"/>
            </c:ext>
          </c:extLst>
        </c:ser>
        <c:ser>
          <c:idx val="4"/>
          <c:order val="4"/>
          <c:tx>
            <c:strRef>
              <c:f>'[2]2023 m'!$B$29</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m'!$C$24:$D$24</c:f>
              <c:numCache>
                <c:formatCode>General</c:formatCode>
                <c:ptCount val="2"/>
                <c:pt idx="0">
                  <c:v>2022</c:v>
                </c:pt>
                <c:pt idx="1">
                  <c:v>2023</c:v>
                </c:pt>
              </c:numCache>
            </c:numRef>
          </c:cat>
          <c:val>
            <c:numRef>
              <c:f>'[2]2023 m'!$C$29:$D$29</c:f>
              <c:numCache>
                <c:formatCode>General</c:formatCode>
                <c:ptCount val="2"/>
                <c:pt idx="0">
                  <c:v>5</c:v>
                </c:pt>
                <c:pt idx="1">
                  <c:v>0</c:v>
                </c:pt>
              </c:numCache>
            </c:numRef>
          </c:val>
          <c:extLst>
            <c:ext xmlns:c16="http://schemas.microsoft.com/office/drawing/2014/chart" uri="{C3380CC4-5D6E-409C-BE32-E72D297353CC}">
              <c16:uniqueId val="{00000004-E4E9-40F8-89E9-14C5F0F53CEC}"/>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m'!$B$30</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4.50771674501802E-2"/>
                  <c:y val="-3.6507115902464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4E9-40F8-89E9-14C5F0F53CEC}"/>
                </c:ext>
              </c:extLst>
            </c:dLbl>
            <c:dLbl>
              <c:idx val="1"/>
              <c:layout>
                <c:manualLayout>
                  <c:x val="-2.5478398993580093E-2"/>
                  <c:y val="-4.77400746416840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E9-40F8-89E9-14C5F0F53CE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m'!$C$24:$D$24</c:f>
              <c:numCache>
                <c:formatCode>General</c:formatCode>
                <c:ptCount val="2"/>
                <c:pt idx="0">
                  <c:v>2022</c:v>
                </c:pt>
                <c:pt idx="1">
                  <c:v>2023</c:v>
                </c:pt>
              </c:numCache>
            </c:numRef>
          </c:cat>
          <c:val>
            <c:numRef>
              <c:f>'[2]2023 m'!$C$30:$D$30</c:f>
              <c:numCache>
                <c:formatCode>General</c:formatCode>
                <c:ptCount val="2"/>
                <c:pt idx="0">
                  <c:v>18</c:v>
                </c:pt>
                <c:pt idx="1">
                  <c:v>16</c:v>
                </c:pt>
              </c:numCache>
            </c:numRef>
          </c:val>
          <c:smooth val="0"/>
          <c:extLst>
            <c:ext xmlns:c16="http://schemas.microsoft.com/office/drawing/2014/chart" uri="{C3380CC4-5D6E-409C-BE32-E72D297353CC}">
              <c16:uniqueId val="{00000007-E4E9-40F8-89E9-14C5F0F53CEC}"/>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5853402137870689E-2"/>
          <c:y val="0.69035862768623613"/>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04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m'!$B$36</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m'!$C$35:$D$35</c:f>
              <c:numCache>
                <c:formatCode>General</c:formatCode>
                <c:ptCount val="2"/>
                <c:pt idx="0">
                  <c:v>2022</c:v>
                </c:pt>
                <c:pt idx="1">
                  <c:v>2023</c:v>
                </c:pt>
              </c:numCache>
            </c:numRef>
          </c:cat>
          <c:val>
            <c:numRef>
              <c:f>'[2]2023 m'!$C$36:$D$36</c:f>
              <c:numCache>
                <c:formatCode>General</c:formatCode>
                <c:ptCount val="2"/>
                <c:pt idx="0">
                  <c:v>6</c:v>
                </c:pt>
                <c:pt idx="1">
                  <c:v>5</c:v>
                </c:pt>
              </c:numCache>
            </c:numRef>
          </c:val>
          <c:extLst>
            <c:ext xmlns:c16="http://schemas.microsoft.com/office/drawing/2014/chart" uri="{C3380CC4-5D6E-409C-BE32-E72D297353CC}">
              <c16:uniqueId val="{00000000-D7AB-49FA-9734-E88C6A9500BE}"/>
            </c:ext>
          </c:extLst>
        </c:ser>
        <c:ser>
          <c:idx val="1"/>
          <c:order val="1"/>
          <c:tx>
            <c:strRef>
              <c:f>'[2]2023 m'!$B$37</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m'!$C$35:$D$35</c:f>
              <c:numCache>
                <c:formatCode>General</c:formatCode>
                <c:ptCount val="2"/>
                <c:pt idx="0">
                  <c:v>2022</c:v>
                </c:pt>
                <c:pt idx="1">
                  <c:v>2023</c:v>
                </c:pt>
              </c:numCache>
            </c:numRef>
          </c:cat>
          <c:val>
            <c:numRef>
              <c:f>'[2]2023 m'!$C$37:$D$37</c:f>
              <c:numCache>
                <c:formatCode>General</c:formatCode>
                <c:ptCount val="2"/>
                <c:pt idx="0">
                  <c:v>1</c:v>
                </c:pt>
                <c:pt idx="1">
                  <c:v>0</c:v>
                </c:pt>
              </c:numCache>
            </c:numRef>
          </c:val>
          <c:extLst>
            <c:ext xmlns:c16="http://schemas.microsoft.com/office/drawing/2014/chart" uri="{C3380CC4-5D6E-409C-BE32-E72D297353CC}">
              <c16:uniqueId val="{00000001-D7AB-49FA-9734-E88C6A9500BE}"/>
            </c:ext>
          </c:extLst>
        </c:ser>
        <c:ser>
          <c:idx val="2"/>
          <c:order val="2"/>
          <c:tx>
            <c:strRef>
              <c:f>'[2]2023 m'!$B$38</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m'!$C$35:$D$35</c:f>
              <c:numCache>
                <c:formatCode>General</c:formatCode>
                <c:ptCount val="2"/>
                <c:pt idx="0">
                  <c:v>2022</c:v>
                </c:pt>
                <c:pt idx="1">
                  <c:v>2023</c:v>
                </c:pt>
              </c:numCache>
            </c:numRef>
          </c:cat>
          <c:val>
            <c:numRef>
              <c:f>'[2]2023 m'!$C$38:$D$38</c:f>
              <c:numCache>
                <c:formatCode>General</c:formatCode>
                <c:ptCount val="2"/>
                <c:pt idx="0">
                  <c:v>7</c:v>
                </c:pt>
                <c:pt idx="1">
                  <c:v>6</c:v>
                </c:pt>
              </c:numCache>
            </c:numRef>
          </c:val>
          <c:extLst>
            <c:ext xmlns:c16="http://schemas.microsoft.com/office/drawing/2014/chart" uri="{C3380CC4-5D6E-409C-BE32-E72D297353CC}">
              <c16:uniqueId val="{00000002-D7AB-49FA-9734-E88C6A9500BE}"/>
            </c:ext>
          </c:extLst>
        </c:ser>
        <c:ser>
          <c:idx val="3"/>
          <c:order val="3"/>
          <c:tx>
            <c:strRef>
              <c:f>'[2]2023 m'!$B$39</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m'!$C$35:$D$35</c:f>
              <c:numCache>
                <c:formatCode>General</c:formatCode>
                <c:ptCount val="2"/>
                <c:pt idx="0">
                  <c:v>2022</c:v>
                </c:pt>
                <c:pt idx="1">
                  <c:v>2023</c:v>
                </c:pt>
              </c:numCache>
            </c:numRef>
          </c:cat>
          <c:val>
            <c:numRef>
              <c:f>'[2]2023 m'!$C$39:$D$39</c:f>
              <c:numCache>
                <c:formatCode>General</c:formatCode>
                <c:ptCount val="2"/>
                <c:pt idx="0">
                  <c:v>3</c:v>
                </c:pt>
                <c:pt idx="1">
                  <c:v>2</c:v>
                </c:pt>
              </c:numCache>
            </c:numRef>
          </c:val>
          <c:extLst>
            <c:ext xmlns:c16="http://schemas.microsoft.com/office/drawing/2014/chart" uri="{C3380CC4-5D6E-409C-BE32-E72D297353CC}">
              <c16:uniqueId val="{00000003-D7AB-49FA-9734-E88C6A9500BE}"/>
            </c:ext>
          </c:extLst>
        </c:ser>
        <c:ser>
          <c:idx val="4"/>
          <c:order val="4"/>
          <c:tx>
            <c:strRef>
              <c:f>'[2]2023 m'!$B$40</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m'!$C$35:$D$35</c:f>
              <c:numCache>
                <c:formatCode>General</c:formatCode>
                <c:ptCount val="2"/>
                <c:pt idx="0">
                  <c:v>2022</c:v>
                </c:pt>
                <c:pt idx="1">
                  <c:v>2023</c:v>
                </c:pt>
              </c:numCache>
            </c:numRef>
          </c:cat>
          <c:val>
            <c:numRef>
              <c:f>'[2]2023 m'!$C$40:$D$40</c:f>
              <c:numCache>
                <c:formatCode>General</c:formatCode>
                <c:ptCount val="2"/>
                <c:pt idx="0">
                  <c:v>4</c:v>
                </c:pt>
                <c:pt idx="1">
                  <c:v>7</c:v>
                </c:pt>
              </c:numCache>
            </c:numRef>
          </c:val>
          <c:extLst>
            <c:ext xmlns:c16="http://schemas.microsoft.com/office/drawing/2014/chart" uri="{C3380CC4-5D6E-409C-BE32-E72D297353CC}">
              <c16:uniqueId val="{00000004-D7AB-49FA-9734-E88C6A9500BE}"/>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m'!$B$41</c:f>
              <c:strCache>
                <c:ptCount val="1"/>
                <c:pt idx="0">
                  <c:v>Iš viso programų priemonių</c:v>
                </c:pt>
              </c:strCache>
            </c:strRef>
          </c:tx>
          <c:spPr>
            <a:ln w="28575" cap="rnd">
              <a:solidFill>
                <a:srgbClr val="FFC000"/>
              </a:solidFill>
              <a:round/>
            </a:ln>
            <a:effectLst/>
          </c:spPr>
          <c:marker>
            <c:symbol val="circle"/>
            <c:size val="7"/>
            <c:spPr>
              <a:solidFill>
                <a:srgbClr val="FFC000"/>
              </a:solidFill>
              <a:ln w="9525">
                <a:solidFill>
                  <a:schemeClr val="accent4"/>
                </a:solidFill>
              </a:ln>
              <a:effectLst/>
              <a:scene3d>
                <a:camera prst="orthographicFront"/>
                <a:lightRig rig="threePt" dir="t"/>
              </a:scene3d>
              <a:sp3d>
                <a:bevelT/>
              </a:sp3d>
            </c:spPr>
          </c:marker>
          <c:dLbls>
            <c:dLbl>
              <c:idx val="0"/>
              <c:layout>
                <c:manualLayout>
                  <c:x val="-2.939815268490014E-2"/>
                  <c:y val="3.0890636532854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7AB-49FA-9734-E88C6A9500BE}"/>
                </c:ext>
              </c:extLst>
            </c:dLbl>
            <c:dLbl>
              <c:idx val="1"/>
              <c:layout>
                <c:manualLayout>
                  <c:x val="-2.9398145635949918E-2"/>
                  <c:y val="-3.931233333960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7AB-49FA-9734-E88C6A9500B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m'!$C$35:$D$35</c:f>
              <c:numCache>
                <c:formatCode>General</c:formatCode>
                <c:ptCount val="2"/>
                <c:pt idx="0">
                  <c:v>2022</c:v>
                </c:pt>
                <c:pt idx="1">
                  <c:v>2023</c:v>
                </c:pt>
              </c:numCache>
            </c:numRef>
          </c:cat>
          <c:val>
            <c:numRef>
              <c:f>'[2]2023 m'!$C$41:$D$41</c:f>
              <c:numCache>
                <c:formatCode>General</c:formatCode>
                <c:ptCount val="2"/>
                <c:pt idx="0">
                  <c:v>21</c:v>
                </c:pt>
                <c:pt idx="1">
                  <c:v>20</c:v>
                </c:pt>
              </c:numCache>
            </c:numRef>
          </c:val>
          <c:smooth val="0"/>
          <c:extLst>
            <c:ext xmlns:c16="http://schemas.microsoft.com/office/drawing/2014/chart" uri="{C3380CC4-5D6E-409C-BE32-E72D297353CC}">
              <c16:uniqueId val="{00000007-D7AB-49FA-9734-E88C6A9500BE}"/>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7813278983530709E-2"/>
          <c:y val="0.69316686737104105"/>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05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m'!$B$47</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m'!$C$46:$D$46</c:f>
              <c:numCache>
                <c:formatCode>General</c:formatCode>
                <c:ptCount val="2"/>
                <c:pt idx="0">
                  <c:v>2022</c:v>
                </c:pt>
                <c:pt idx="1">
                  <c:v>2023</c:v>
                </c:pt>
              </c:numCache>
            </c:numRef>
          </c:cat>
          <c:val>
            <c:numRef>
              <c:f>'[2]2023 m'!$C$47:$D$47</c:f>
              <c:numCache>
                <c:formatCode>General</c:formatCode>
                <c:ptCount val="2"/>
                <c:pt idx="0">
                  <c:v>6</c:v>
                </c:pt>
                <c:pt idx="1">
                  <c:v>3</c:v>
                </c:pt>
              </c:numCache>
            </c:numRef>
          </c:val>
          <c:extLst>
            <c:ext xmlns:c16="http://schemas.microsoft.com/office/drawing/2014/chart" uri="{C3380CC4-5D6E-409C-BE32-E72D297353CC}">
              <c16:uniqueId val="{00000000-7C85-4D99-976A-E11E6789C4D5}"/>
            </c:ext>
          </c:extLst>
        </c:ser>
        <c:ser>
          <c:idx val="1"/>
          <c:order val="1"/>
          <c:tx>
            <c:strRef>
              <c:f>'[2]2023 m'!$B$48</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m'!$C$46:$D$46</c:f>
              <c:numCache>
                <c:formatCode>General</c:formatCode>
                <c:ptCount val="2"/>
                <c:pt idx="0">
                  <c:v>2022</c:v>
                </c:pt>
                <c:pt idx="1">
                  <c:v>2023</c:v>
                </c:pt>
              </c:numCache>
            </c:numRef>
          </c:cat>
          <c:val>
            <c:numRef>
              <c:f>'[2]2023 m'!$C$48:$D$48</c:f>
              <c:numCache>
                <c:formatCode>General</c:formatCode>
                <c:ptCount val="2"/>
                <c:pt idx="0">
                  <c:v>0</c:v>
                </c:pt>
                <c:pt idx="1">
                  <c:v>1</c:v>
                </c:pt>
              </c:numCache>
            </c:numRef>
          </c:val>
          <c:extLst>
            <c:ext xmlns:c16="http://schemas.microsoft.com/office/drawing/2014/chart" uri="{C3380CC4-5D6E-409C-BE32-E72D297353CC}">
              <c16:uniqueId val="{00000001-7C85-4D99-976A-E11E6789C4D5}"/>
            </c:ext>
          </c:extLst>
        </c:ser>
        <c:ser>
          <c:idx val="2"/>
          <c:order val="2"/>
          <c:tx>
            <c:strRef>
              <c:f>'[2]2023 m'!$B$49</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m'!$C$46:$D$46</c:f>
              <c:numCache>
                <c:formatCode>General</c:formatCode>
                <c:ptCount val="2"/>
                <c:pt idx="0">
                  <c:v>2022</c:v>
                </c:pt>
                <c:pt idx="1">
                  <c:v>2023</c:v>
                </c:pt>
              </c:numCache>
            </c:numRef>
          </c:cat>
          <c:val>
            <c:numRef>
              <c:f>'[2]2023 m'!$C$49:$D$49</c:f>
              <c:numCache>
                <c:formatCode>General</c:formatCode>
                <c:ptCount val="2"/>
                <c:pt idx="0">
                  <c:v>1</c:v>
                </c:pt>
                <c:pt idx="1">
                  <c:v>3</c:v>
                </c:pt>
              </c:numCache>
            </c:numRef>
          </c:val>
          <c:extLst>
            <c:ext xmlns:c16="http://schemas.microsoft.com/office/drawing/2014/chart" uri="{C3380CC4-5D6E-409C-BE32-E72D297353CC}">
              <c16:uniqueId val="{00000002-7C85-4D99-976A-E11E6789C4D5}"/>
            </c:ext>
          </c:extLst>
        </c:ser>
        <c:ser>
          <c:idx val="3"/>
          <c:order val="3"/>
          <c:tx>
            <c:strRef>
              <c:f>'[2]2023 m'!$B$50</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m'!$C$46:$D$46</c:f>
              <c:numCache>
                <c:formatCode>General</c:formatCode>
                <c:ptCount val="2"/>
                <c:pt idx="0">
                  <c:v>2022</c:v>
                </c:pt>
                <c:pt idx="1">
                  <c:v>2023</c:v>
                </c:pt>
              </c:numCache>
            </c:numRef>
          </c:cat>
          <c:val>
            <c:numRef>
              <c:f>'[2]2023 m'!$C$50:$D$50</c:f>
              <c:numCache>
                <c:formatCode>General</c:formatCode>
                <c:ptCount val="2"/>
                <c:pt idx="0">
                  <c:v>1</c:v>
                </c:pt>
                <c:pt idx="1">
                  <c:v>2</c:v>
                </c:pt>
              </c:numCache>
            </c:numRef>
          </c:val>
          <c:extLst>
            <c:ext xmlns:c16="http://schemas.microsoft.com/office/drawing/2014/chart" uri="{C3380CC4-5D6E-409C-BE32-E72D297353CC}">
              <c16:uniqueId val="{00000003-7C85-4D99-976A-E11E6789C4D5}"/>
            </c:ext>
          </c:extLst>
        </c:ser>
        <c:ser>
          <c:idx val="4"/>
          <c:order val="4"/>
          <c:tx>
            <c:strRef>
              <c:f>'[2]2023 m'!$B$51</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m'!$C$46:$D$46</c:f>
              <c:numCache>
                <c:formatCode>General</c:formatCode>
                <c:ptCount val="2"/>
                <c:pt idx="0">
                  <c:v>2022</c:v>
                </c:pt>
                <c:pt idx="1">
                  <c:v>2023</c:v>
                </c:pt>
              </c:numCache>
            </c:numRef>
          </c:cat>
          <c:val>
            <c:numRef>
              <c:f>'[2]2023 m'!$C$51:$D$51</c:f>
              <c:numCache>
                <c:formatCode>General</c:formatCode>
                <c:ptCount val="2"/>
                <c:pt idx="0">
                  <c:v>1</c:v>
                </c:pt>
                <c:pt idx="1">
                  <c:v>0</c:v>
                </c:pt>
              </c:numCache>
            </c:numRef>
          </c:val>
          <c:extLst>
            <c:ext xmlns:c16="http://schemas.microsoft.com/office/drawing/2014/chart" uri="{C3380CC4-5D6E-409C-BE32-E72D297353CC}">
              <c16:uniqueId val="{00000004-7C85-4D99-976A-E11E6789C4D5}"/>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m'!$B$52</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4.7037044295840207E-2"/>
                  <c:y val="-2.80823968480494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85-4D99-976A-E11E6789C4D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m'!$C$46:$D$46</c:f>
              <c:numCache>
                <c:formatCode>General</c:formatCode>
                <c:ptCount val="2"/>
                <c:pt idx="0">
                  <c:v>2022</c:v>
                </c:pt>
                <c:pt idx="1">
                  <c:v>2023</c:v>
                </c:pt>
              </c:numCache>
            </c:numRef>
          </c:cat>
          <c:val>
            <c:numRef>
              <c:f>'[2]2023 m'!$C$52:$D$52</c:f>
              <c:numCache>
                <c:formatCode>General</c:formatCode>
                <c:ptCount val="2"/>
                <c:pt idx="0">
                  <c:v>9</c:v>
                </c:pt>
                <c:pt idx="1">
                  <c:v>9</c:v>
                </c:pt>
              </c:numCache>
            </c:numRef>
          </c:val>
          <c:smooth val="0"/>
          <c:extLst>
            <c:ext xmlns:c16="http://schemas.microsoft.com/office/drawing/2014/chart" uri="{C3380CC4-5D6E-409C-BE32-E72D297353CC}">
              <c16:uniqueId val="{00000006-7C85-4D99-976A-E11E6789C4D5}"/>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7813278983530709E-2"/>
          <c:y val="0.69035862768623613"/>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06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m'!$B$58</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m'!$C$57:$D$57</c:f>
              <c:numCache>
                <c:formatCode>General</c:formatCode>
                <c:ptCount val="2"/>
                <c:pt idx="0">
                  <c:v>2022</c:v>
                </c:pt>
                <c:pt idx="1">
                  <c:v>2023</c:v>
                </c:pt>
              </c:numCache>
            </c:numRef>
          </c:cat>
          <c:val>
            <c:numRef>
              <c:f>'[2]2023 m'!$C$58:$D$58</c:f>
              <c:numCache>
                <c:formatCode>General</c:formatCode>
                <c:ptCount val="2"/>
                <c:pt idx="0">
                  <c:v>10</c:v>
                </c:pt>
                <c:pt idx="1">
                  <c:v>6</c:v>
                </c:pt>
              </c:numCache>
            </c:numRef>
          </c:val>
          <c:extLst>
            <c:ext xmlns:c16="http://schemas.microsoft.com/office/drawing/2014/chart" uri="{C3380CC4-5D6E-409C-BE32-E72D297353CC}">
              <c16:uniqueId val="{00000000-1E35-4BF4-A236-528627FAEA22}"/>
            </c:ext>
          </c:extLst>
        </c:ser>
        <c:ser>
          <c:idx val="1"/>
          <c:order val="1"/>
          <c:tx>
            <c:strRef>
              <c:f>'[2]2023 m'!$B$59</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m'!$C$57:$D$57</c:f>
              <c:numCache>
                <c:formatCode>General</c:formatCode>
                <c:ptCount val="2"/>
                <c:pt idx="0">
                  <c:v>2022</c:v>
                </c:pt>
                <c:pt idx="1">
                  <c:v>2023</c:v>
                </c:pt>
              </c:numCache>
            </c:numRef>
          </c:cat>
          <c:val>
            <c:numRef>
              <c:f>'[2]2023 m'!$C$59:$D$59</c:f>
              <c:numCache>
                <c:formatCode>General</c:formatCode>
                <c:ptCount val="2"/>
                <c:pt idx="0">
                  <c:v>0</c:v>
                </c:pt>
                <c:pt idx="1">
                  <c:v>0</c:v>
                </c:pt>
              </c:numCache>
            </c:numRef>
          </c:val>
          <c:extLst>
            <c:ext xmlns:c16="http://schemas.microsoft.com/office/drawing/2014/chart" uri="{C3380CC4-5D6E-409C-BE32-E72D297353CC}">
              <c16:uniqueId val="{00000001-1E35-4BF4-A236-528627FAEA22}"/>
            </c:ext>
          </c:extLst>
        </c:ser>
        <c:ser>
          <c:idx val="2"/>
          <c:order val="2"/>
          <c:tx>
            <c:strRef>
              <c:f>'[2]2023 m'!$B$60</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dLbl>
              <c:idx val="1"/>
              <c:layout>
                <c:manualLayout>
                  <c:x val="1.9598768456598635E-3"/>
                  <c:y val="1.40411984240247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35-4BF4-A236-528627FAEA2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m'!$C$57:$D$57</c:f>
              <c:numCache>
                <c:formatCode>General</c:formatCode>
                <c:ptCount val="2"/>
                <c:pt idx="0">
                  <c:v>2022</c:v>
                </c:pt>
                <c:pt idx="1">
                  <c:v>2023</c:v>
                </c:pt>
              </c:numCache>
            </c:numRef>
          </c:cat>
          <c:val>
            <c:numRef>
              <c:f>'[2]2023 m'!$C$60:$D$60</c:f>
              <c:numCache>
                <c:formatCode>General</c:formatCode>
                <c:ptCount val="2"/>
                <c:pt idx="0">
                  <c:v>2</c:v>
                </c:pt>
                <c:pt idx="1">
                  <c:v>3</c:v>
                </c:pt>
              </c:numCache>
            </c:numRef>
          </c:val>
          <c:extLst>
            <c:ext xmlns:c16="http://schemas.microsoft.com/office/drawing/2014/chart" uri="{C3380CC4-5D6E-409C-BE32-E72D297353CC}">
              <c16:uniqueId val="{00000003-1E35-4BF4-A236-528627FAEA22}"/>
            </c:ext>
          </c:extLst>
        </c:ser>
        <c:ser>
          <c:idx val="3"/>
          <c:order val="3"/>
          <c:tx>
            <c:strRef>
              <c:f>'[2]2023 m'!$B$61</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m'!$C$57:$D$57</c:f>
              <c:numCache>
                <c:formatCode>General</c:formatCode>
                <c:ptCount val="2"/>
                <c:pt idx="0">
                  <c:v>2022</c:v>
                </c:pt>
                <c:pt idx="1">
                  <c:v>2023</c:v>
                </c:pt>
              </c:numCache>
            </c:numRef>
          </c:cat>
          <c:val>
            <c:numRef>
              <c:f>'[2]2023 m'!$C$61:$D$61</c:f>
              <c:numCache>
                <c:formatCode>General</c:formatCode>
                <c:ptCount val="2"/>
                <c:pt idx="0">
                  <c:v>1</c:v>
                </c:pt>
                <c:pt idx="1">
                  <c:v>3</c:v>
                </c:pt>
              </c:numCache>
            </c:numRef>
          </c:val>
          <c:extLst>
            <c:ext xmlns:c16="http://schemas.microsoft.com/office/drawing/2014/chart" uri="{C3380CC4-5D6E-409C-BE32-E72D297353CC}">
              <c16:uniqueId val="{00000004-1E35-4BF4-A236-528627FAEA22}"/>
            </c:ext>
          </c:extLst>
        </c:ser>
        <c:ser>
          <c:idx val="4"/>
          <c:order val="4"/>
          <c:tx>
            <c:strRef>
              <c:f>'[2]2023 m'!$B$62</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m'!$C$57:$D$57</c:f>
              <c:numCache>
                <c:formatCode>General</c:formatCode>
                <c:ptCount val="2"/>
                <c:pt idx="0">
                  <c:v>2022</c:v>
                </c:pt>
                <c:pt idx="1">
                  <c:v>2023</c:v>
                </c:pt>
              </c:numCache>
            </c:numRef>
          </c:cat>
          <c:val>
            <c:numRef>
              <c:f>'[2]2023 m'!$C$62:$D$62</c:f>
              <c:numCache>
                <c:formatCode>General</c:formatCode>
                <c:ptCount val="2"/>
                <c:pt idx="0">
                  <c:v>1</c:v>
                </c:pt>
                <c:pt idx="1">
                  <c:v>1</c:v>
                </c:pt>
              </c:numCache>
            </c:numRef>
          </c:val>
          <c:extLst>
            <c:ext xmlns:c16="http://schemas.microsoft.com/office/drawing/2014/chart" uri="{C3380CC4-5D6E-409C-BE32-E72D297353CC}">
              <c16:uniqueId val="{00000005-1E35-4BF4-A236-528627FAEA22}"/>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m'!$B$63</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3.919753691320018E-2"/>
                  <c:y val="-3.6507115902464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35-4BF4-A236-528627FAEA22}"/>
                </c:ext>
              </c:extLst>
            </c:dLbl>
            <c:dLbl>
              <c:idx val="1"/>
              <c:layout>
                <c:manualLayout>
                  <c:x val="-2.5478398993580093E-2"/>
                  <c:y val="-3.0890636532854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5-4BF4-A236-528627FAEA2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m'!$C$57:$D$57</c:f>
              <c:numCache>
                <c:formatCode>General</c:formatCode>
                <c:ptCount val="2"/>
                <c:pt idx="0">
                  <c:v>2022</c:v>
                </c:pt>
                <c:pt idx="1">
                  <c:v>2023</c:v>
                </c:pt>
              </c:numCache>
            </c:numRef>
          </c:cat>
          <c:val>
            <c:numRef>
              <c:f>'[2]2023 m'!$C$63:$D$63</c:f>
              <c:numCache>
                <c:formatCode>General</c:formatCode>
                <c:ptCount val="2"/>
                <c:pt idx="0">
                  <c:v>14</c:v>
                </c:pt>
                <c:pt idx="1">
                  <c:v>13</c:v>
                </c:pt>
              </c:numCache>
            </c:numRef>
          </c:val>
          <c:smooth val="0"/>
          <c:extLst>
            <c:ext xmlns:c16="http://schemas.microsoft.com/office/drawing/2014/chart" uri="{C3380CC4-5D6E-409C-BE32-E72D297353CC}">
              <c16:uniqueId val="{00000008-1E35-4BF4-A236-528627FAEA22}"/>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7813278983530709E-2"/>
          <c:y val="0.69035862768623613"/>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07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m'!$B$69</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m'!$C$68:$D$68</c:f>
              <c:numCache>
                <c:formatCode>General</c:formatCode>
                <c:ptCount val="2"/>
                <c:pt idx="0">
                  <c:v>2022</c:v>
                </c:pt>
                <c:pt idx="1">
                  <c:v>2023</c:v>
                </c:pt>
              </c:numCache>
            </c:numRef>
          </c:cat>
          <c:val>
            <c:numRef>
              <c:f>'[2]2023 m'!$C$69:$D$69</c:f>
              <c:numCache>
                <c:formatCode>General</c:formatCode>
                <c:ptCount val="2"/>
                <c:pt idx="0">
                  <c:v>5</c:v>
                </c:pt>
                <c:pt idx="1">
                  <c:v>4</c:v>
                </c:pt>
              </c:numCache>
            </c:numRef>
          </c:val>
          <c:extLst>
            <c:ext xmlns:c16="http://schemas.microsoft.com/office/drawing/2014/chart" uri="{C3380CC4-5D6E-409C-BE32-E72D297353CC}">
              <c16:uniqueId val="{00000000-5DEE-4298-B959-5F50420BC446}"/>
            </c:ext>
          </c:extLst>
        </c:ser>
        <c:ser>
          <c:idx val="1"/>
          <c:order val="1"/>
          <c:tx>
            <c:strRef>
              <c:f>'[2]2023 m'!$B$70</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m'!$C$68:$D$68</c:f>
              <c:numCache>
                <c:formatCode>General</c:formatCode>
                <c:ptCount val="2"/>
                <c:pt idx="0">
                  <c:v>2022</c:v>
                </c:pt>
                <c:pt idx="1">
                  <c:v>2023</c:v>
                </c:pt>
              </c:numCache>
            </c:numRef>
          </c:cat>
          <c:val>
            <c:numRef>
              <c:f>'[2]2023 m'!$C$70:$D$70</c:f>
              <c:numCache>
                <c:formatCode>General</c:formatCode>
                <c:ptCount val="2"/>
                <c:pt idx="0">
                  <c:v>0</c:v>
                </c:pt>
                <c:pt idx="1">
                  <c:v>1</c:v>
                </c:pt>
              </c:numCache>
            </c:numRef>
          </c:val>
          <c:extLst>
            <c:ext xmlns:c16="http://schemas.microsoft.com/office/drawing/2014/chart" uri="{C3380CC4-5D6E-409C-BE32-E72D297353CC}">
              <c16:uniqueId val="{00000001-5DEE-4298-B959-5F50420BC446}"/>
            </c:ext>
          </c:extLst>
        </c:ser>
        <c:ser>
          <c:idx val="2"/>
          <c:order val="2"/>
          <c:tx>
            <c:strRef>
              <c:f>'[2]2023 m'!$B$71</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dLbl>
              <c:idx val="0"/>
              <c:layout>
                <c:manualLayout>
                  <c:x val="-1.9148266991373026E-2"/>
                  <c:y val="5.0580329467411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EE-4298-B959-5F50420BC44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m'!$C$68:$D$68</c:f>
              <c:numCache>
                <c:formatCode>General</c:formatCode>
                <c:ptCount val="2"/>
                <c:pt idx="0">
                  <c:v>2022</c:v>
                </c:pt>
                <c:pt idx="1">
                  <c:v>2023</c:v>
                </c:pt>
              </c:numCache>
            </c:numRef>
          </c:cat>
          <c:val>
            <c:numRef>
              <c:f>'[2]2023 m'!$C$71:$D$71</c:f>
              <c:numCache>
                <c:formatCode>General</c:formatCode>
                <c:ptCount val="2"/>
                <c:pt idx="0">
                  <c:v>2</c:v>
                </c:pt>
                <c:pt idx="1">
                  <c:v>4</c:v>
                </c:pt>
              </c:numCache>
            </c:numRef>
          </c:val>
          <c:extLst>
            <c:ext xmlns:c16="http://schemas.microsoft.com/office/drawing/2014/chart" uri="{C3380CC4-5D6E-409C-BE32-E72D297353CC}">
              <c16:uniqueId val="{00000003-5DEE-4298-B959-5F50420BC446}"/>
            </c:ext>
          </c:extLst>
        </c:ser>
        <c:ser>
          <c:idx val="3"/>
          <c:order val="3"/>
          <c:tx>
            <c:strRef>
              <c:f>'[2]2023 m'!$B$72</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m'!$C$68:$D$68</c:f>
              <c:numCache>
                <c:formatCode>General</c:formatCode>
                <c:ptCount val="2"/>
                <c:pt idx="0">
                  <c:v>2022</c:v>
                </c:pt>
                <c:pt idx="1">
                  <c:v>2023</c:v>
                </c:pt>
              </c:numCache>
            </c:numRef>
          </c:cat>
          <c:val>
            <c:numRef>
              <c:f>'[2]2023 m'!$C$72:$D$72</c:f>
              <c:numCache>
                <c:formatCode>General</c:formatCode>
                <c:ptCount val="2"/>
                <c:pt idx="0">
                  <c:v>5</c:v>
                </c:pt>
                <c:pt idx="1">
                  <c:v>4</c:v>
                </c:pt>
              </c:numCache>
            </c:numRef>
          </c:val>
          <c:extLst>
            <c:ext xmlns:c16="http://schemas.microsoft.com/office/drawing/2014/chart" uri="{C3380CC4-5D6E-409C-BE32-E72D297353CC}">
              <c16:uniqueId val="{00000004-5DEE-4298-B959-5F50420BC446}"/>
            </c:ext>
          </c:extLst>
        </c:ser>
        <c:ser>
          <c:idx val="4"/>
          <c:order val="4"/>
          <c:tx>
            <c:strRef>
              <c:f>'[2]2023 m'!$B$73</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m'!$C$68:$D$68</c:f>
              <c:numCache>
                <c:formatCode>General</c:formatCode>
                <c:ptCount val="2"/>
                <c:pt idx="0">
                  <c:v>2022</c:v>
                </c:pt>
                <c:pt idx="1">
                  <c:v>2023</c:v>
                </c:pt>
              </c:numCache>
            </c:numRef>
          </c:cat>
          <c:val>
            <c:numRef>
              <c:f>'[2]2023 m'!$C$73:$D$73</c:f>
              <c:numCache>
                <c:formatCode>General</c:formatCode>
                <c:ptCount val="2"/>
                <c:pt idx="0">
                  <c:v>0</c:v>
                </c:pt>
                <c:pt idx="1">
                  <c:v>1</c:v>
                </c:pt>
              </c:numCache>
            </c:numRef>
          </c:val>
          <c:extLst>
            <c:ext xmlns:c16="http://schemas.microsoft.com/office/drawing/2014/chart" uri="{C3380CC4-5D6E-409C-BE32-E72D297353CC}">
              <c16:uniqueId val="{00000005-5DEE-4298-B959-5F50420BC446}"/>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m'!$B$74</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3.3317906376220154E-2"/>
                  <c:y val="-4.2123595272074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EE-4298-B959-5F50420BC446}"/>
                </c:ext>
              </c:extLst>
            </c:dLbl>
            <c:dLbl>
              <c:idx val="1"/>
              <c:layout>
                <c:manualLayout>
                  <c:x val="-2.9398152684900106E-2"/>
                  <c:y val="-3.6507115902464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EE-4298-B959-5F50420BC44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m'!$C$68:$D$68</c:f>
              <c:numCache>
                <c:formatCode>General</c:formatCode>
                <c:ptCount val="2"/>
                <c:pt idx="0">
                  <c:v>2022</c:v>
                </c:pt>
                <c:pt idx="1">
                  <c:v>2023</c:v>
                </c:pt>
              </c:numCache>
            </c:numRef>
          </c:cat>
          <c:val>
            <c:numRef>
              <c:f>'[2]2023 m'!$C$74:$D$74</c:f>
              <c:numCache>
                <c:formatCode>General</c:formatCode>
                <c:ptCount val="2"/>
                <c:pt idx="0">
                  <c:v>12</c:v>
                </c:pt>
                <c:pt idx="1">
                  <c:v>14</c:v>
                </c:pt>
              </c:numCache>
            </c:numRef>
          </c:val>
          <c:smooth val="0"/>
          <c:extLst>
            <c:ext xmlns:c16="http://schemas.microsoft.com/office/drawing/2014/chart" uri="{C3380CC4-5D6E-409C-BE32-E72D297353CC}">
              <c16:uniqueId val="{00000008-5DEE-4298-B959-5F50420BC446}"/>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7813278983530709E-2"/>
          <c:y val="0.69035862768623613"/>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08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m'!$B$80</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m'!$C$79:$D$79</c:f>
              <c:numCache>
                <c:formatCode>General</c:formatCode>
                <c:ptCount val="2"/>
                <c:pt idx="0">
                  <c:v>2022</c:v>
                </c:pt>
                <c:pt idx="1">
                  <c:v>2023</c:v>
                </c:pt>
              </c:numCache>
            </c:numRef>
          </c:cat>
          <c:val>
            <c:numRef>
              <c:f>'[2]2023 m'!$C$80:$D$80</c:f>
              <c:numCache>
                <c:formatCode>General</c:formatCode>
                <c:ptCount val="2"/>
                <c:pt idx="0">
                  <c:v>16</c:v>
                </c:pt>
                <c:pt idx="1">
                  <c:v>17</c:v>
                </c:pt>
              </c:numCache>
            </c:numRef>
          </c:val>
          <c:extLst>
            <c:ext xmlns:c16="http://schemas.microsoft.com/office/drawing/2014/chart" uri="{C3380CC4-5D6E-409C-BE32-E72D297353CC}">
              <c16:uniqueId val="{00000000-688A-4FED-8FEE-CBE1ACD1B969}"/>
            </c:ext>
          </c:extLst>
        </c:ser>
        <c:ser>
          <c:idx val="1"/>
          <c:order val="1"/>
          <c:tx>
            <c:strRef>
              <c:f>'[2]2023 m'!$B$81</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m'!$C$79:$D$79</c:f>
              <c:numCache>
                <c:formatCode>General</c:formatCode>
                <c:ptCount val="2"/>
                <c:pt idx="0">
                  <c:v>2022</c:v>
                </c:pt>
                <c:pt idx="1">
                  <c:v>2023</c:v>
                </c:pt>
              </c:numCache>
            </c:numRef>
          </c:cat>
          <c:val>
            <c:numRef>
              <c:f>'[2]2023 m'!$C$81:$D$81</c:f>
              <c:numCache>
                <c:formatCode>General</c:formatCode>
                <c:ptCount val="2"/>
                <c:pt idx="0">
                  <c:v>1</c:v>
                </c:pt>
                <c:pt idx="1">
                  <c:v>3</c:v>
                </c:pt>
              </c:numCache>
            </c:numRef>
          </c:val>
          <c:extLst>
            <c:ext xmlns:c16="http://schemas.microsoft.com/office/drawing/2014/chart" uri="{C3380CC4-5D6E-409C-BE32-E72D297353CC}">
              <c16:uniqueId val="{00000001-688A-4FED-8FEE-CBE1ACD1B969}"/>
            </c:ext>
          </c:extLst>
        </c:ser>
        <c:ser>
          <c:idx val="2"/>
          <c:order val="2"/>
          <c:tx>
            <c:strRef>
              <c:f>'[2]2023 m'!$B$82</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m'!$C$79:$D$79</c:f>
              <c:numCache>
                <c:formatCode>General</c:formatCode>
                <c:ptCount val="2"/>
                <c:pt idx="0">
                  <c:v>2022</c:v>
                </c:pt>
                <c:pt idx="1">
                  <c:v>2023</c:v>
                </c:pt>
              </c:numCache>
            </c:numRef>
          </c:cat>
          <c:val>
            <c:numRef>
              <c:f>'[2]2023 m'!$C$82:$D$82</c:f>
              <c:numCache>
                <c:formatCode>General</c:formatCode>
                <c:ptCount val="2"/>
                <c:pt idx="0">
                  <c:v>9</c:v>
                </c:pt>
                <c:pt idx="1">
                  <c:v>10</c:v>
                </c:pt>
              </c:numCache>
            </c:numRef>
          </c:val>
          <c:extLst>
            <c:ext xmlns:c16="http://schemas.microsoft.com/office/drawing/2014/chart" uri="{C3380CC4-5D6E-409C-BE32-E72D297353CC}">
              <c16:uniqueId val="{00000002-688A-4FED-8FEE-CBE1ACD1B969}"/>
            </c:ext>
          </c:extLst>
        </c:ser>
        <c:ser>
          <c:idx val="3"/>
          <c:order val="3"/>
          <c:tx>
            <c:strRef>
              <c:f>'[2]2023 m'!$B$83</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m'!$C$79:$D$79</c:f>
              <c:numCache>
                <c:formatCode>General</c:formatCode>
                <c:ptCount val="2"/>
                <c:pt idx="0">
                  <c:v>2022</c:v>
                </c:pt>
                <c:pt idx="1">
                  <c:v>2023</c:v>
                </c:pt>
              </c:numCache>
            </c:numRef>
          </c:cat>
          <c:val>
            <c:numRef>
              <c:f>'[2]2023 m'!$C$83:$D$83</c:f>
              <c:numCache>
                <c:formatCode>General</c:formatCode>
                <c:ptCount val="2"/>
                <c:pt idx="0">
                  <c:v>6</c:v>
                </c:pt>
                <c:pt idx="1">
                  <c:v>7</c:v>
                </c:pt>
              </c:numCache>
            </c:numRef>
          </c:val>
          <c:extLst>
            <c:ext xmlns:c16="http://schemas.microsoft.com/office/drawing/2014/chart" uri="{C3380CC4-5D6E-409C-BE32-E72D297353CC}">
              <c16:uniqueId val="{00000003-688A-4FED-8FEE-CBE1ACD1B969}"/>
            </c:ext>
          </c:extLst>
        </c:ser>
        <c:ser>
          <c:idx val="4"/>
          <c:order val="4"/>
          <c:tx>
            <c:strRef>
              <c:f>'[2]2023 m'!$B$84</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m'!$C$79:$D$79</c:f>
              <c:numCache>
                <c:formatCode>General</c:formatCode>
                <c:ptCount val="2"/>
                <c:pt idx="0">
                  <c:v>2022</c:v>
                </c:pt>
                <c:pt idx="1">
                  <c:v>2023</c:v>
                </c:pt>
              </c:numCache>
            </c:numRef>
          </c:cat>
          <c:val>
            <c:numRef>
              <c:f>'[2]2023 m'!$C$84:$D$84</c:f>
              <c:numCache>
                <c:formatCode>General</c:formatCode>
                <c:ptCount val="2"/>
                <c:pt idx="0">
                  <c:v>4</c:v>
                </c:pt>
                <c:pt idx="1">
                  <c:v>1</c:v>
                </c:pt>
              </c:numCache>
            </c:numRef>
          </c:val>
          <c:extLst>
            <c:ext xmlns:c16="http://schemas.microsoft.com/office/drawing/2014/chart" uri="{C3380CC4-5D6E-409C-BE32-E72D297353CC}">
              <c16:uniqueId val="{00000004-688A-4FED-8FEE-CBE1ACD1B969}"/>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m'!$B$85</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3.5818416531799541E-2"/>
                  <c:y val="-3.3727902506063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8A-4FED-8FEE-CBE1ACD1B969}"/>
                </c:ext>
              </c:extLst>
            </c:dLbl>
            <c:dLbl>
              <c:idx val="1"/>
              <c:layout>
                <c:manualLayout>
                  <c:x val="-5.8796305369801646E-3"/>
                  <c:y val="-2.808239684804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8A-4FED-8FEE-CBE1ACD1B96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m'!$C$79:$D$79</c:f>
              <c:numCache>
                <c:formatCode>General</c:formatCode>
                <c:ptCount val="2"/>
                <c:pt idx="0">
                  <c:v>2022</c:v>
                </c:pt>
                <c:pt idx="1">
                  <c:v>2023</c:v>
                </c:pt>
              </c:numCache>
            </c:numRef>
          </c:cat>
          <c:val>
            <c:numRef>
              <c:f>'[2]2023 m'!$C$85:$D$85</c:f>
              <c:numCache>
                <c:formatCode>General</c:formatCode>
                <c:ptCount val="2"/>
                <c:pt idx="0">
                  <c:v>36</c:v>
                </c:pt>
                <c:pt idx="1">
                  <c:v>38</c:v>
                </c:pt>
              </c:numCache>
            </c:numRef>
          </c:val>
          <c:smooth val="0"/>
          <c:extLst>
            <c:ext xmlns:c16="http://schemas.microsoft.com/office/drawing/2014/chart" uri="{C3380CC4-5D6E-409C-BE32-E72D297353CC}">
              <c16:uniqueId val="{00000007-688A-4FED-8FEE-CBE1ACD1B969}"/>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5853402137870689E-2"/>
          <c:y val="0.69316686737104105"/>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10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3B7F-4925-898F-524BC1384D29}"/>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3B7F-4925-898F-524BC1384D29}"/>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3B7F-4925-898F-524BC1384D29}"/>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3B7F-4925-898F-524BC1384D29}"/>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3B7F-4925-898F-524BC1384D29}"/>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Planas!$S$681:$S$685</c:f>
              <c:numCache>
                <c:formatCode>General</c:formatCode>
                <c:ptCount val="5"/>
                <c:pt idx="0">
                  <c:v>13</c:v>
                </c:pt>
                <c:pt idx="2">
                  <c:v>4</c:v>
                </c:pt>
                <c:pt idx="3">
                  <c:v>8</c:v>
                </c:pt>
              </c:numCache>
            </c:numRef>
          </c:val>
          <c:extLst>
            <c:ext xmlns:c16="http://schemas.microsoft.com/office/drawing/2014/chart" uri="{C3380CC4-5D6E-409C-BE32-E72D297353CC}">
              <c16:uniqueId val="{0000000A-3B7F-4925-898F-524BC1384D29}"/>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09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m'!$B$91</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m'!$C$90:$D$90</c:f>
              <c:numCache>
                <c:formatCode>General</c:formatCode>
                <c:ptCount val="2"/>
                <c:pt idx="0">
                  <c:v>2022</c:v>
                </c:pt>
                <c:pt idx="1">
                  <c:v>2023</c:v>
                </c:pt>
              </c:numCache>
            </c:numRef>
          </c:cat>
          <c:val>
            <c:numRef>
              <c:f>'[2]2023 m'!$C$91:$D$91</c:f>
              <c:numCache>
                <c:formatCode>General</c:formatCode>
                <c:ptCount val="2"/>
                <c:pt idx="0">
                  <c:v>4</c:v>
                </c:pt>
                <c:pt idx="1">
                  <c:v>5</c:v>
                </c:pt>
              </c:numCache>
            </c:numRef>
          </c:val>
          <c:extLst>
            <c:ext xmlns:c16="http://schemas.microsoft.com/office/drawing/2014/chart" uri="{C3380CC4-5D6E-409C-BE32-E72D297353CC}">
              <c16:uniqueId val="{00000000-1033-4B7C-AB5D-439C0FF36609}"/>
            </c:ext>
          </c:extLst>
        </c:ser>
        <c:ser>
          <c:idx val="1"/>
          <c:order val="1"/>
          <c:tx>
            <c:strRef>
              <c:f>'[2]2023 m'!$B$92</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m'!$C$90:$D$90</c:f>
              <c:numCache>
                <c:formatCode>General</c:formatCode>
                <c:ptCount val="2"/>
                <c:pt idx="0">
                  <c:v>2022</c:v>
                </c:pt>
                <c:pt idx="1">
                  <c:v>2023</c:v>
                </c:pt>
              </c:numCache>
            </c:numRef>
          </c:cat>
          <c:val>
            <c:numRef>
              <c:f>'[2]2023 m'!$C$92:$D$92</c:f>
              <c:numCache>
                <c:formatCode>General</c:formatCode>
                <c:ptCount val="2"/>
                <c:pt idx="0">
                  <c:v>2</c:v>
                </c:pt>
                <c:pt idx="1">
                  <c:v>0</c:v>
                </c:pt>
              </c:numCache>
            </c:numRef>
          </c:val>
          <c:extLst>
            <c:ext xmlns:c16="http://schemas.microsoft.com/office/drawing/2014/chart" uri="{C3380CC4-5D6E-409C-BE32-E72D297353CC}">
              <c16:uniqueId val="{00000001-1033-4B7C-AB5D-439C0FF36609}"/>
            </c:ext>
          </c:extLst>
        </c:ser>
        <c:ser>
          <c:idx val="2"/>
          <c:order val="2"/>
          <c:tx>
            <c:strRef>
              <c:f>'[2]2023 m'!$B$93</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dLbl>
              <c:idx val="0"/>
              <c:layout>
                <c:manualLayout>
                  <c:x val="-3.5930660429711428E-17"/>
                  <c:y val="5.61647936960989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33-4B7C-AB5D-439C0FF3660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m'!$C$90:$D$90</c:f>
              <c:numCache>
                <c:formatCode>General</c:formatCode>
                <c:ptCount val="2"/>
                <c:pt idx="0">
                  <c:v>2022</c:v>
                </c:pt>
                <c:pt idx="1">
                  <c:v>2023</c:v>
                </c:pt>
              </c:numCache>
            </c:numRef>
          </c:cat>
          <c:val>
            <c:numRef>
              <c:f>'[2]2023 m'!$C$93:$D$93</c:f>
              <c:numCache>
                <c:formatCode>General</c:formatCode>
                <c:ptCount val="2"/>
                <c:pt idx="0">
                  <c:v>5</c:v>
                </c:pt>
                <c:pt idx="1">
                  <c:v>3</c:v>
                </c:pt>
              </c:numCache>
            </c:numRef>
          </c:val>
          <c:extLst>
            <c:ext xmlns:c16="http://schemas.microsoft.com/office/drawing/2014/chart" uri="{C3380CC4-5D6E-409C-BE32-E72D297353CC}">
              <c16:uniqueId val="{00000003-1033-4B7C-AB5D-439C0FF36609}"/>
            </c:ext>
          </c:extLst>
        </c:ser>
        <c:ser>
          <c:idx val="3"/>
          <c:order val="3"/>
          <c:tx>
            <c:strRef>
              <c:f>'[2]2023 m'!$B$94</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m'!$C$90:$D$90</c:f>
              <c:numCache>
                <c:formatCode>General</c:formatCode>
                <c:ptCount val="2"/>
                <c:pt idx="0">
                  <c:v>2022</c:v>
                </c:pt>
                <c:pt idx="1">
                  <c:v>2023</c:v>
                </c:pt>
              </c:numCache>
            </c:numRef>
          </c:cat>
          <c:val>
            <c:numRef>
              <c:f>'[2]2023 m'!$C$94:$D$94</c:f>
              <c:numCache>
                <c:formatCode>General</c:formatCode>
                <c:ptCount val="2"/>
                <c:pt idx="0">
                  <c:v>4</c:v>
                </c:pt>
                <c:pt idx="1">
                  <c:v>4</c:v>
                </c:pt>
              </c:numCache>
            </c:numRef>
          </c:val>
          <c:extLst>
            <c:ext xmlns:c16="http://schemas.microsoft.com/office/drawing/2014/chart" uri="{C3380CC4-5D6E-409C-BE32-E72D297353CC}">
              <c16:uniqueId val="{00000004-1033-4B7C-AB5D-439C0FF36609}"/>
            </c:ext>
          </c:extLst>
        </c:ser>
        <c:ser>
          <c:idx val="4"/>
          <c:order val="4"/>
          <c:tx>
            <c:strRef>
              <c:f>'[2]2023 m'!$B$95</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m'!$C$90:$D$90</c:f>
              <c:numCache>
                <c:formatCode>General</c:formatCode>
                <c:ptCount val="2"/>
                <c:pt idx="0">
                  <c:v>2022</c:v>
                </c:pt>
                <c:pt idx="1">
                  <c:v>2023</c:v>
                </c:pt>
              </c:numCache>
            </c:numRef>
          </c:cat>
          <c:val>
            <c:numRef>
              <c:f>'[2]2023 m'!$C$95:$D$95</c:f>
              <c:numCache>
                <c:formatCode>General</c:formatCode>
                <c:ptCount val="2"/>
                <c:pt idx="0">
                  <c:v>2</c:v>
                </c:pt>
                <c:pt idx="1">
                  <c:v>0</c:v>
                </c:pt>
              </c:numCache>
            </c:numRef>
          </c:val>
          <c:extLst>
            <c:ext xmlns:c16="http://schemas.microsoft.com/office/drawing/2014/chart" uri="{C3380CC4-5D6E-409C-BE32-E72D297353CC}">
              <c16:uniqueId val="{00000005-1033-4B7C-AB5D-439C0FF36609}"/>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m'!$B$96</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5.6836428524140239E-2"/>
                  <c:y val="-5.61647936960988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33-4B7C-AB5D-439C0FF36609}"/>
                </c:ext>
              </c:extLst>
            </c:dLbl>
            <c:dLbl>
              <c:idx val="1"/>
              <c:layout>
                <c:manualLayout>
                  <c:x val="-9.7993842283000347E-3"/>
                  <c:y val="-1.1232958739219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33-4B7C-AB5D-439C0FF3660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m'!$C$90:$D$90</c:f>
              <c:numCache>
                <c:formatCode>General</c:formatCode>
                <c:ptCount val="2"/>
                <c:pt idx="0">
                  <c:v>2022</c:v>
                </c:pt>
                <c:pt idx="1">
                  <c:v>2023</c:v>
                </c:pt>
              </c:numCache>
            </c:numRef>
          </c:cat>
          <c:val>
            <c:numRef>
              <c:f>'[2]2023 m'!$C$96:$D$96</c:f>
              <c:numCache>
                <c:formatCode>General</c:formatCode>
                <c:ptCount val="2"/>
                <c:pt idx="0">
                  <c:v>17</c:v>
                </c:pt>
                <c:pt idx="1">
                  <c:v>12</c:v>
                </c:pt>
              </c:numCache>
            </c:numRef>
          </c:val>
          <c:smooth val="0"/>
          <c:extLst>
            <c:ext xmlns:c16="http://schemas.microsoft.com/office/drawing/2014/chart" uri="{C3380CC4-5D6E-409C-BE32-E72D297353CC}">
              <c16:uniqueId val="{00000008-1033-4B7C-AB5D-439C0FF36609}"/>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5853402137870689E-2"/>
          <c:y val="0.6875503880014312"/>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10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m'!$B$102</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m'!$C$101:$D$101</c:f>
              <c:numCache>
                <c:formatCode>General</c:formatCode>
                <c:ptCount val="2"/>
                <c:pt idx="0">
                  <c:v>2022</c:v>
                </c:pt>
                <c:pt idx="1">
                  <c:v>2023</c:v>
                </c:pt>
              </c:numCache>
            </c:numRef>
          </c:cat>
          <c:val>
            <c:numRef>
              <c:f>'[2]2023 m'!$C$102:$D$102</c:f>
              <c:numCache>
                <c:formatCode>General</c:formatCode>
                <c:ptCount val="2"/>
                <c:pt idx="0">
                  <c:v>12</c:v>
                </c:pt>
                <c:pt idx="1">
                  <c:v>13</c:v>
                </c:pt>
              </c:numCache>
            </c:numRef>
          </c:val>
          <c:extLst>
            <c:ext xmlns:c16="http://schemas.microsoft.com/office/drawing/2014/chart" uri="{C3380CC4-5D6E-409C-BE32-E72D297353CC}">
              <c16:uniqueId val="{00000000-2E2D-40A5-A306-9811F45D9C6B}"/>
            </c:ext>
          </c:extLst>
        </c:ser>
        <c:ser>
          <c:idx val="1"/>
          <c:order val="1"/>
          <c:tx>
            <c:strRef>
              <c:f>'[2]2023 m'!$B$103</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m'!$C$101:$D$101</c:f>
              <c:numCache>
                <c:formatCode>General</c:formatCode>
                <c:ptCount val="2"/>
                <c:pt idx="0">
                  <c:v>2022</c:v>
                </c:pt>
                <c:pt idx="1">
                  <c:v>2023</c:v>
                </c:pt>
              </c:numCache>
            </c:numRef>
          </c:cat>
          <c:val>
            <c:numRef>
              <c:f>'[2]2023 m'!$C$103:$D$103</c:f>
              <c:numCache>
                <c:formatCode>General</c:formatCode>
                <c:ptCount val="2"/>
                <c:pt idx="0">
                  <c:v>1</c:v>
                </c:pt>
                <c:pt idx="1">
                  <c:v>0</c:v>
                </c:pt>
              </c:numCache>
            </c:numRef>
          </c:val>
          <c:extLst>
            <c:ext xmlns:c16="http://schemas.microsoft.com/office/drawing/2014/chart" uri="{C3380CC4-5D6E-409C-BE32-E72D297353CC}">
              <c16:uniqueId val="{00000001-2E2D-40A5-A306-9811F45D9C6B}"/>
            </c:ext>
          </c:extLst>
        </c:ser>
        <c:ser>
          <c:idx val="2"/>
          <c:order val="2"/>
          <c:tx>
            <c:strRef>
              <c:f>'[2]2023 m'!$B$104</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dLbl>
              <c:idx val="1"/>
              <c:layout>
                <c:manualLayout>
                  <c:x val="-1.5318613593098421E-2"/>
                  <c:y val="1.9657677793634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1-4185-ADC4-33CD3F0FC9B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m'!$C$101:$D$101</c:f>
              <c:numCache>
                <c:formatCode>General</c:formatCode>
                <c:ptCount val="2"/>
                <c:pt idx="0">
                  <c:v>2022</c:v>
                </c:pt>
                <c:pt idx="1">
                  <c:v>2023</c:v>
                </c:pt>
              </c:numCache>
            </c:numRef>
          </c:cat>
          <c:val>
            <c:numRef>
              <c:f>'[2]2023 m'!$C$104:$D$104</c:f>
              <c:numCache>
                <c:formatCode>General</c:formatCode>
                <c:ptCount val="2"/>
                <c:pt idx="0">
                  <c:v>9</c:v>
                </c:pt>
                <c:pt idx="1">
                  <c:v>4</c:v>
                </c:pt>
              </c:numCache>
            </c:numRef>
          </c:val>
          <c:extLst>
            <c:ext xmlns:c16="http://schemas.microsoft.com/office/drawing/2014/chart" uri="{C3380CC4-5D6E-409C-BE32-E72D297353CC}">
              <c16:uniqueId val="{00000002-2E2D-40A5-A306-9811F45D9C6B}"/>
            </c:ext>
          </c:extLst>
        </c:ser>
        <c:ser>
          <c:idx val="3"/>
          <c:order val="3"/>
          <c:tx>
            <c:strRef>
              <c:f>'[2]2023 m'!$B$105</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m'!$C$101:$D$101</c:f>
              <c:numCache>
                <c:formatCode>General</c:formatCode>
                <c:ptCount val="2"/>
                <c:pt idx="0">
                  <c:v>2022</c:v>
                </c:pt>
                <c:pt idx="1">
                  <c:v>2023</c:v>
                </c:pt>
              </c:numCache>
            </c:numRef>
          </c:cat>
          <c:val>
            <c:numRef>
              <c:f>'[2]2023 m'!$C$105:$D$105</c:f>
              <c:numCache>
                <c:formatCode>General</c:formatCode>
                <c:ptCount val="2"/>
                <c:pt idx="0">
                  <c:v>4</c:v>
                </c:pt>
                <c:pt idx="1">
                  <c:v>8</c:v>
                </c:pt>
              </c:numCache>
            </c:numRef>
          </c:val>
          <c:extLst>
            <c:ext xmlns:c16="http://schemas.microsoft.com/office/drawing/2014/chart" uri="{C3380CC4-5D6E-409C-BE32-E72D297353CC}">
              <c16:uniqueId val="{00000003-2E2D-40A5-A306-9811F45D9C6B}"/>
            </c:ext>
          </c:extLst>
        </c:ser>
        <c:ser>
          <c:idx val="4"/>
          <c:order val="4"/>
          <c:tx>
            <c:strRef>
              <c:f>'[2]2023 m'!$B$106</c:f>
              <c:strCache>
                <c:ptCount val="1"/>
                <c:pt idx="0">
                  <c:v>Priemonė neįvykdyta, t.y. nepasiekta planuota vertinimo kriterijų reikšmė</c:v>
                </c:pt>
              </c:strCache>
            </c:strRef>
          </c:tx>
          <c:spPr>
            <a:solidFill>
              <a:srgbClr val="FCE4D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m'!$C$101:$D$101</c:f>
              <c:numCache>
                <c:formatCode>General</c:formatCode>
                <c:ptCount val="2"/>
                <c:pt idx="0">
                  <c:v>2022</c:v>
                </c:pt>
                <c:pt idx="1">
                  <c:v>2023</c:v>
                </c:pt>
              </c:numCache>
            </c:numRef>
          </c:cat>
          <c:val>
            <c:numRef>
              <c:f>'[2]2023 m'!$C$106:$D$106</c:f>
              <c:numCache>
                <c:formatCode>General</c:formatCode>
                <c:ptCount val="2"/>
                <c:pt idx="0">
                  <c:v>0</c:v>
                </c:pt>
                <c:pt idx="1">
                  <c:v>0</c:v>
                </c:pt>
              </c:numCache>
            </c:numRef>
          </c:val>
          <c:extLst>
            <c:ext xmlns:c16="http://schemas.microsoft.com/office/drawing/2014/chart" uri="{C3380CC4-5D6E-409C-BE32-E72D297353CC}">
              <c16:uniqueId val="{00000004-2E2D-40A5-A306-9811F45D9C6B}"/>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m'!$B$107</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5.4876551678480233E-2"/>
                  <c:y val="-3.08906365328544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2D-40A5-A306-9811F45D9C6B}"/>
                </c:ext>
              </c:extLst>
            </c:dLbl>
            <c:dLbl>
              <c:idx val="1"/>
              <c:layout>
                <c:manualLayout>
                  <c:x val="-2.7483341761586285E-2"/>
                  <c:y val="-4.2123595272074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2D-40A5-A306-9811F45D9C6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m'!$C$101:$D$101</c:f>
              <c:numCache>
                <c:formatCode>General</c:formatCode>
                <c:ptCount val="2"/>
                <c:pt idx="0">
                  <c:v>2022</c:v>
                </c:pt>
                <c:pt idx="1">
                  <c:v>2023</c:v>
                </c:pt>
              </c:numCache>
            </c:numRef>
          </c:cat>
          <c:val>
            <c:numRef>
              <c:f>'[2]2023 m'!$C$107:$D$107</c:f>
              <c:numCache>
                <c:formatCode>General</c:formatCode>
                <c:ptCount val="2"/>
                <c:pt idx="0">
                  <c:v>26</c:v>
                </c:pt>
                <c:pt idx="1">
                  <c:v>25</c:v>
                </c:pt>
              </c:numCache>
            </c:numRef>
          </c:val>
          <c:smooth val="0"/>
          <c:extLst>
            <c:ext xmlns:c16="http://schemas.microsoft.com/office/drawing/2014/chart" uri="{C3380CC4-5D6E-409C-BE32-E72D297353CC}">
              <c16:uniqueId val="{00000007-2E2D-40A5-A306-9811F45D9C6B}"/>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9973771600890676E-2"/>
          <c:y val="0.6875503880014312"/>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2023 m. 11 programos vykdymo palyginimas su 2022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'[2]2023 m'!$B$113</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m'!$C$112:$D$112</c:f>
              <c:numCache>
                <c:formatCode>General</c:formatCode>
                <c:ptCount val="2"/>
                <c:pt idx="0">
                  <c:v>2022</c:v>
                </c:pt>
                <c:pt idx="1">
                  <c:v>2023</c:v>
                </c:pt>
              </c:numCache>
            </c:numRef>
          </c:cat>
          <c:val>
            <c:numRef>
              <c:f>'[2]2023 m'!$C$113:$D$113</c:f>
              <c:numCache>
                <c:formatCode>General</c:formatCode>
                <c:ptCount val="2"/>
                <c:pt idx="0">
                  <c:v>27</c:v>
                </c:pt>
                <c:pt idx="1">
                  <c:v>36</c:v>
                </c:pt>
              </c:numCache>
            </c:numRef>
          </c:val>
          <c:extLst>
            <c:ext xmlns:c16="http://schemas.microsoft.com/office/drawing/2014/chart" uri="{C3380CC4-5D6E-409C-BE32-E72D297353CC}">
              <c16:uniqueId val="{00000000-D228-4070-80E6-286A6082CEA7}"/>
            </c:ext>
          </c:extLst>
        </c:ser>
        <c:ser>
          <c:idx val="1"/>
          <c:order val="1"/>
          <c:tx>
            <c:strRef>
              <c:f>'[2]2023 m'!$B$114</c:f>
              <c:strCache>
                <c:ptCount val="1"/>
                <c:pt idx="0">
                  <c:v>Vykdant priemonę buvo pasiekta vertinimo kriterijų reikšmių mažiau nei 50 %</c:v>
                </c:pt>
              </c:strCache>
            </c:strRef>
          </c:tx>
          <c:spPr>
            <a:solidFill>
              <a:srgbClr val="FFFF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m'!$C$112:$D$112</c:f>
              <c:numCache>
                <c:formatCode>General</c:formatCode>
                <c:ptCount val="2"/>
                <c:pt idx="0">
                  <c:v>2022</c:v>
                </c:pt>
                <c:pt idx="1">
                  <c:v>2023</c:v>
                </c:pt>
              </c:numCache>
            </c:numRef>
          </c:cat>
          <c:val>
            <c:numRef>
              <c:f>'[2]2023 m'!$C$114:$D$114</c:f>
              <c:numCache>
                <c:formatCode>General</c:formatCode>
                <c:ptCount val="2"/>
                <c:pt idx="0">
                  <c:v>1</c:v>
                </c:pt>
                <c:pt idx="1">
                  <c:v>0</c:v>
                </c:pt>
              </c:numCache>
            </c:numRef>
          </c:val>
          <c:extLst>
            <c:ext xmlns:c16="http://schemas.microsoft.com/office/drawing/2014/chart" uri="{C3380CC4-5D6E-409C-BE32-E72D297353CC}">
              <c16:uniqueId val="{00000001-D228-4070-80E6-286A6082CEA7}"/>
            </c:ext>
          </c:extLst>
        </c:ser>
        <c:ser>
          <c:idx val="2"/>
          <c:order val="2"/>
          <c:tx>
            <c:strRef>
              <c:f>'[2]2023 m'!$B$115</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m'!$C$112:$D$112</c:f>
              <c:numCache>
                <c:formatCode>General</c:formatCode>
                <c:ptCount val="2"/>
                <c:pt idx="0">
                  <c:v>2022</c:v>
                </c:pt>
                <c:pt idx="1">
                  <c:v>2023</c:v>
                </c:pt>
              </c:numCache>
            </c:numRef>
          </c:cat>
          <c:val>
            <c:numRef>
              <c:f>'[2]2023 m'!$C$115:$D$115</c:f>
              <c:numCache>
                <c:formatCode>General</c:formatCode>
                <c:ptCount val="2"/>
                <c:pt idx="0">
                  <c:v>5</c:v>
                </c:pt>
                <c:pt idx="1">
                  <c:v>5</c:v>
                </c:pt>
              </c:numCache>
            </c:numRef>
          </c:val>
          <c:extLst>
            <c:ext xmlns:c16="http://schemas.microsoft.com/office/drawing/2014/chart" uri="{C3380CC4-5D6E-409C-BE32-E72D297353CC}">
              <c16:uniqueId val="{00000002-D228-4070-80E6-286A6082CEA7}"/>
            </c:ext>
          </c:extLst>
        </c:ser>
        <c:ser>
          <c:idx val="3"/>
          <c:order val="3"/>
          <c:tx>
            <c:strRef>
              <c:f>'[2]2023 m'!$B$116</c:f>
              <c:strCache>
                <c:ptCount val="1"/>
                <c:pt idx="0">
                  <c:v>Vykdant priemonę buvo pasiekta daugiau vertinimo kriterijų reikšmių nei planuota</c:v>
                </c:pt>
              </c:strCache>
            </c:strRef>
          </c:tx>
          <c:spPr>
            <a:solidFill>
              <a:srgbClr val="D9E1F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m'!$C$112:$D$112</c:f>
              <c:numCache>
                <c:formatCode>General</c:formatCode>
                <c:ptCount val="2"/>
                <c:pt idx="0">
                  <c:v>2022</c:v>
                </c:pt>
                <c:pt idx="1">
                  <c:v>2023</c:v>
                </c:pt>
              </c:numCache>
            </c:numRef>
          </c:cat>
          <c:val>
            <c:numRef>
              <c:f>'[2]2023 m'!$C$116:$D$116</c:f>
              <c:numCache>
                <c:formatCode>General</c:formatCode>
                <c:ptCount val="2"/>
                <c:pt idx="0">
                  <c:v>3</c:v>
                </c:pt>
                <c:pt idx="1">
                  <c:v>2</c:v>
                </c:pt>
              </c:numCache>
            </c:numRef>
          </c:val>
          <c:extLst>
            <c:ext xmlns:c16="http://schemas.microsoft.com/office/drawing/2014/chart" uri="{C3380CC4-5D6E-409C-BE32-E72D297353CC}">
              <c16:uniqueId val="{00000003-D228-4070-80E6-286A6082CEA7}"/>
            </c:ext>
          </c:extLst>
        </c:ser>
        <c:ser>
          <c:idx val="4"/>
          <c:order val="4"/>
          <c:tx>
            <c:strRef>
              <c:f>'[2]2023 m'!$B$117</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m'!$C$112:$D$112</c:f>
              <c:numCache>
                <c:formatCode>General</c:formatCode>
                <c:ptCount val="2"/>
                <c:pt idx="0">
                  <c:v>2022</c:v>
                </c:pt>
                <c:pt idx="1">
                  <c:v>2023</c:v>
                </c:pt>
              </c:numCache>
            </c:numRef>
          </c:cat>
          <c:val>
            <c:numRef>
              <c:f>'[2]2023 m'!$C$117:$D$117</c:f>
              <c:numCache>
                <c:formatCode>General</c:formatCode>
                <c:ptCount val="2"/>
                <c:pt idx="0">
                  <c:v>5</c:v>
                </c:pt>
                <c:pt idx="1">
                  <c:v>1</c:v>
                </c:pt>
              </c:numCache>
            </c:numRef>
          </c:val>
          <c:extLst>
            <c:ext xmlns:c16="http://schemas.microsoft.com/office/drawing/2014/chart" uri="{C3380CC4-5D6E-409C-BE32-E72D297353CC}">
              <c16:uniqueId val="{00000004-D228-4070-80E6-286A6082CEA7}"/>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'[2]2023 m'!$B$118</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4.1157413758860187E-2"/>
                  <c:y val="-3.6507115902464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28-4070-80E6-286A6082CEA7}"/>
                </c:ext>
              </c:extLst>
            </c:dLbl>
            <c:dLbl>
              <c:idx val="1"/>
              <c:layout>
                <c:manualLayout>
                  <c:x val="-7.8395073826400281E-3"/>
                  <c:y val="-1.4041198424024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28-4070-80E6-286A6082CEA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'[2]2023 m'!$C$112:$D$112</c:f>
              <c:numCache>
                <c:formatCode>General</c:formatCode>
                <c:ptCount val="2"/>
                <c:pt idx="0">
                  <c:v>2022</c:v>
                </c:pt>
                <c:pt idx="1">
                  <c:v>2023</c:v>
                </c:pt>
              </c:numCache>
            </c:numRef>
          </c:cat>
          <c:val>
            <c:numRef>
              <c:f>'[2]2023 m'!$C$118:$D$118</c:f>
              <c:numCache>
                <c:formatCode>General</c:formatCode>
                <c:ptCount val="2"/>
                <c:pt idx="0">
                  <c:v>41</c:v>
                </c:pt>
                <c:pt idx="1">
                  <c:v>44</c:v>
                </c:pt>
              </c:numCache>
            </c:numRef>
          </c:val>
          <c:smooth val="0"/>
          <c:extLst>
            <c:ext xmlns:c16="http://schemas.microsoft.com/office/drawing/2014/chart" uri="{C3380CC4-5D6E-409C-BE32-E72D297353CC}">
              <c16:uniqueId val="{00000007-D228-4070-80E6-286A6082CEA7}"/>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8013894755230669E-2"/>
          <c:y val="0.68474214831662616"/>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09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496C-4FEF-8DDA-BB09C031E733}"/>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496C-4FEF-8DDA-BB09C031E733}"/>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496C-4FEF-8DDA-BB09C031E733}"/>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496C-4FEF-8DDA-BB09C031E733}"/>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496C-4FEF-8DDA-BB09C031E733}"/>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Planas!$S$628:$S$632</c:f>
              <c:numCache>
                <c:formatCode>General</c:formatCode>
                <c:ptCount val="5"/>
                <c:pt idx="0">
                  <c:v>5</c:v>
                </c:pt>
                <c:pt idx="2">
                  <c:v>3</c:v>
                </c:pt>
                <c:pt idx="3">
                  <c:v>4</c:v>
                </c:pt>
              </c:numCache>
            </c:numRef>
          </c:val>
          <c:extLst>
            <c:ext xmlns:c16="http://schemas.microsoft.com/office/drawing/2014/chart" uri="{C3380CC4-5D6E-409C-BE32-E72D297353CC}">
              <c16:uniqueId val="{0000000A-496C-4FEF-8DDA-BB09C031E733}"/>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08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2447-4CDD-A678-4FE40EC47627}"/>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2447-4CDD-A678-4FE40EC47627}"/>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2447-4CDD-A678-4FE40EC47627}"/>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2447-4CDD-A678-4FE40EC47627}"/>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2447-4CDD-A678-4FE40EC47627}"/>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Planas!$S$468:$S$472</c:f>
              <c:numCache>
                <c:formatCode>General</c:formatCode>
                <c:ptCount val="5"/>
                <c:pt idx="0">
                  <c:v>17</c:v>
                </c:pt>
                <c:pt idx="1">
                  <c:v>3</c:v>
                </c:pt>
                <c:pt idx="2">
                  <c:v>10</c:v>
                </c:pt>
                <c:pt idx="3">
                  <c:v>7</c:v>
                </c:pt>
                <c:pt idx="4">
                  <c:v>1</c:v>
                </c:pt>
              </c:numCache>
            </c:numRef>
          </c:val>
          <c:extLst>
            <c:ext xmlns:c16="http://schemas.microsoft.com/office/drawing/2014/chart" uri="{C3380CC4-5D6E-409C-BE32-E72D297353CC}">
              <c16:uniqueId val="{0000000A-2447-4CDD-A678-4FE40EC47627}"/>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07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A7BC-4415-BC2D-F1518C9FC62B}"/>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A7BC-4415-BC2D-F1518C9FC62B}"/>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A7BC-4415-BC2D-F1518C9FC62B}"/>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A7BC-4415-BC2D-F1518C9FC62B}"/>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A7BC-4415-BC2D-F1518C9FC62B}"/>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Planas!$S$413:$S$417</c:f>
              <c:numCache>
                <c:formatCode>General</c:formatCode>
                <c:ptCount val="5"/>
                <c:pt idx="0">
                  <c:v>4</c:v>
                </c:pt>
                <c:pt idx="1">
                  <c:v>1</c:v>
                </c:pt>
                <c:pt idx="2">
                  <c:v>4</c:v>
                </c:pt>
                <c:pt idx="3">
                  <c:v>4</c:v>
                </c:pt>
                <c:pt idx="4">
                  <c:v>1</c:v>
                </c:pt>
              </c:numCache>
            </c:numRef>
          </c:val>
          <c:extLst>
            <c:ext xmlns:c16="http://schemas.microsoft.com/office/drawing/2014/chart" uri="{C3380CC4-5D6E-409C-BE32-E72D297353CC}">
              <c16:uniqueId val="{0000000A-A7BC-4415-BC2D-F1518C9FC62B}"/>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06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2B0B-42E7-9E77-3BB7D6AD6388}"/>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2B0B-42E7-9E77-3BB7D6AD6388}"/>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2B0B-42E7-9E77-3BB7D6AD6388}"/>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2B0B-42E7-9E77-3BB7D6AD6388}"/>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2B0B-42E7-9E77-3BB7D6AD6388}"/>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Planas!$S$384:$S$388</c:f>
              <c:numCache>
                <c:formatCode>General</c:formatCode>
                <c:ptCount val="5"/>
                <c:pt idx="0">
                  <c:v>6</c:v>
                </c:pt>
                <c:pt idx="2">
                  <c:v>3</c:v>
                </c:pt>
                <c:pt idx="3">
                  <c:v>3</c:v>
                </c:pt>
                <c:pt idx="4">
                  <c:v>1</c:v>
                </c:pt>
              </c:numCache>
            </c:numRef>
          </c:val>
          <c:extLst>
            <c:ext xmlns:c16="http://schemas.microsoft.com/office/drawing/2014/chart" uri="{C3380CC4-5D6E-409C-BE32-E72D297353CC}">
              <c16:uniqueId val="{0000000A-2B0B-42E7-9E77-3BB7D6AD6388}"/>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05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E83C-427A-987D-AF4D1810E5C1}"/>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E83C-427A-987D-AF4D1810E5C1}"/>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E83C-427A-987D-AF4D1810E5C1}"/>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E83C-427A-987D-AF4D1810E5C1}"/>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E83C-427A-987D-AF4D1810E5C1}"/>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Planas!$S$332:$S$336</c:f>
              <c:numCache>
                <c:formatCode>General</c:formatCode>
                <c:ptCount val="5"/>
                <c:pt idx="0">
                  <c:v>3</c:v>
                </c:pt>
                <c:pt idx="1">
                  <c:v>1</c:v>
                </c:pt>
                <c:pt idx="2">
                  <c:v>3</c:v>
                </c:pt>
                <c:pt idx="3">
                  <c:v>2</c:v>
                </c:pt>
              </c:numCache>
            </c:numRef>
          </c:val>
          <c:extLst>
            <c:ext xmlns:c16="http://schemas.microsoft.com/office/drawing/2014/chart" uri="{C3380CC4-5D6E-409C-BE32-E72D297353CC}">
              <c16:uniqueId val="{0000000A-E83C-427A-987D-AF4D1810E5C1}"/>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04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FC9E-464C-BB4C-F6A2D1E05AB0}"/>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FC9E-464C-BB4C-F6A2D1E05AB0}"/>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FC9E-464C-BB4C-F6A2D1E05AB0}"/>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FC9E-464C-BB4C-F6A2D1E05AB0}"/>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FC9E-464C-BB4C-F6A2D1E05AB0}"/>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Planas!$S$190:$S$194</c:f>
              <c:numCache>
                <c:formatCode>General</c:formatCode>
                <c:ptCount val="5"/>
                <c:pt idx="0">
                  <c:v>5</c:v>
                </c:pt>
                <c:pt idx="2">
                  <c:v>6</c:v>
                </c:pt>
                <c:pt idx="3">
                  <c:v>2</c:v>
                </c:pt>
                <c:pt idx="4">
                  <c:v>7</c:v>
                </c:pt>
              </c:numCache>
            </c:numRef>
          </c:val>
          <c:extLst>
            <c:ext xmlns:c16="http://schemas.microsoft.com/office/drawing/2014/chart" uri="{C3380CC4-5D6E-409C-BE32-E72D297353CC}">
              <c16:uniqueId val="{0000000A-FC9E-464C-BB4C-F6A2D1E05AB0}"/>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03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406476017519138E-2"/>
          <c:y val="9.8329620938524598E-2"/>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85AD-49EC-B993-C1593550DE66}"/>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85AD-49EC-B993-C1593550DE66}"/>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5-85AD-49EC-B993-C1593550DE66}"/>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7-85AD-49EC-B993-C1593550DE66}"/>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9-85AD-49EC-B993-C1593550DE66}"/>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[1]Planas!$P$11:$P$16</c:f>
              <c:strCache>
                <c:ptCount val="6"/>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vertinimo kriterijų reikšmių 50 % ir daugiau</c:v>
                </c:pt>
                <c:pt idx="4">
                  <c:v>Vykdant priemonę buvo pasiekta daugiau vertinimo kriterijų reikšmių nei planuota</c:v>
                </c:pt>
                <c:pt idx="5">
                  <c:v>Priemonė neįvykdyta, t.y. nepasiekta planuota vertinimo kriterijų reikšmė</c:v>
                </c:pt>
              </c:strCache>
            </c:strRef>
          </c:cat>
          <c:val>
            <c:numRef>
              <c:f>Planas!$S$134:$S$138</c:f>
              <c:numCache>
                <c:formatCode>General</c:formatCode>
                <c:ptCount val="5"/>
                <c:pt idx="0">
                  <c:v>7</c:v>
                </c:pt>
                <c:pt idx="1">
                  <c:v>1</c:v>
                </c:pt>
                <c:pt idx="2">
                  <c:v>5</c:v>
                </c:pt>
                <c:pt idx="3">
                  <c:v>3</c:v>
                </c:pt>
              </c:numCache>
            </c:numRef>
          </c:val>
          <c:extLst>
            <c:ext xmlns:c16="http://schemas.microsoft.com/office/drawing/2014/chart" uri="{C3380CC4-5D6E-409C-BE32-E72D297353CC}">
              <c16:uniqueId val="{0000000A-85AD-49EC-B993-C1593550DE66}"/>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16</xdr:col>
      <xdr:colOff>21647</xdr:colOff>
      <xdr:row>824</xdr:row>
      <xdr:rowOff>313891</xdr:rowOff>
    </xdr:from>
    <xdr:to>
      <xdr:col>19</xdr:col>
      <xdr:colOff>158864</xdr:colOff>
      <xdr:row>832</xdr:row>
      <xdr:rowOff>1847347</xdr:rowOff>
    </xdr:to>
    <xdr:graphicFrame macro="">
      <xdr:nvGraphicFramePr>
        <xdr:cNvPr id="5" name="Diagrama 4">
          <a:extLst>
            <a:ext uri="{FF2B5EF4-FFF2-40B4-BE49-F238E27FC236}">
              <a16:creationId xmlns:a16="http://schemas.microsoft.com/office/drawing/2014/main" id="{01CE91EA-01FF-46FD-9AD9-27F1ED26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686</xdr:row>
      <xdr:rowOff>303068</xdr:rowOff>
    </xdr:from>
    <xdr:to>
      <xdr:col>19</xdr:col>
      <xdr:colOff>137217</xdr:colOff>
      <xdr:row>693</xdr:row>
      <xdr:rowOff>2583371</xdr:rowOff>
    </xdr:to>
    <xdr:graphicFrame macro="">
      <xdr:nvGraphicFramePr>
        <xdr:cNvPr id="6" name="Diagrama 5">
          <a:extLst>
            <a:ext uri="{FF2B5EF4-FFF2-40B4-BE49-F238E27FC236}">
              <a16:creationId xmlns:a16="http://schemas.microsoft.com/office/drawing/2014/main" id="{23DDFE76-E54F-4EB5-B27F-B30FAEDC9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143381</xdr:colOff>
      <xdr:row>634</xdr:row>
      <xdr:rowOff>135322</xdr:rowOff>
    </xdr:from>
    <xdr:to>
      <xdr:col>19</xdr:col>
      <xdr:colOff>280598</xdr:colOff>
      <xdr:row>640</xdr:row>
      <xdr:rowOff>164261</xdr:rowOff>
    </xdr:to>
    <xdr:graphicFrame macro="">
      <xdr:nvGraphicFramePr>
        <xdr:cNvPr id="7" name="Diagrama 6">
          <a:extLst>
            <a:ext uri="{FF2B5EF4-FFF2-40B4-BE49-F238E27FC236}">
              <a16:creationId xmlns:a16="http://schemas.microsoft.com/office/drawing/2014/main" id="{1C578B6C-F8BF-4B81-942E-2A0E170CD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184005</xdr:colOff>
      <xdr:row>473</xdr:row>
      <xdr:rowOff>357188</xdr:rowOff>
    </xdr:from>
    <xdr:to>
      <xdr:col>19</xdr:col>
      <xdr:colOff>321222</xdr:colOff>
      <xdr:row>486</xdr:row>
      <xdr:rowOff>18115</xdr:rowOff>
    </xdr:to>
    <xdr:graphicFrame macro="">
      <xdr:nvGraphicFramePr>
        <xdr:cNvPr id="8" name="Diagrama 7">
          <a:extLst>
            <a:ext uri="{FF2B5EF4-FFF2-40B4-BE49-F238E27FC236}">
              <a16:creationId xmlns:a16="http://schemas.microsoft.com/office/drawing/2014/main" id="{E19B6F32-F5F8-4A7E-B131-0EDAD4BF96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32471</xdr:colOff>
      <xdr:row>418</xdr:row>
      <xdr:rowOff>476250</xdr:rowOff>
    </xdr:from>
    <xdr:to>
      <xdr:col>19</xdr:col>
      <xdr:colOff>169688</xdr:colOff>
      <xdr:row>423</xdr:row>
      <xdr:rowOff>234592</xdr:rowOff>
    </xdr:to>
    <xdr:graphicFrame macro="">
      <xdr:nvGraphicFramePr>
        <xdr:cNvPr id="9" name="Diagrama 8">
          <a:extLst>
            <a:ext uri="{FF2B5EF4-FFF2-40B4-BE49-F238E27FC236}">
              <a16:creationId xmlns:a16="http://schemas.microsoft.com/office/drawing/2014/main" id="{B0B1CDD5-8458-487F-8422-980288460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378836</xdr:colOff>
      <xdr:row>389</xdr:row>
      <xdr:rowOff>86592</xdr:rowOff>
    </xdr:from>
    <xdr:to>
      <xdr:col>18</xdr:col>
      <xdr:colOff>1309687</xdr:colOff>
      <xdr:row>395</xdr:row>
      <xdr:rowOff>64944</xdr:rowOff>
    </xdr:to>
    <xdr:graphicFrame macro="">
      <xdr:nvGraphicFramePr>
        <xdr:cNvPr id="10" name="Diagrama 9">
          <a:extLst>
            <a:ext uri="{FF2B5EF4-FFF2-40B4-BE49-F238E27FC236}">
              <a16:creationId xmlns:a16="http://schemas.microsoft.com/office/drawing/2014/main" id="{25591814-3280-4650-83AF-F04707F90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337</xdr:row>
      <xdr:rowOff>238125</xdr:rowOff>
    </xdr:from>
    <xdr:to>
      <xdr:col>19</xdr:col>
      <xdr:colOff>137217</xdr:colOff>
      <xdr:row>341</xdr:row>
      <xdr:rowOff>1024734</xdr:rowOff>
    </xdr:to>
    <xdr:graphicFrame macro="">
      <xdr:nvGraphicFramePr>
        <xdr:cNvPr id="11" name="Diagrama 10">
          <a:extLst>
            <a:ext uri="{FF2B5EF4-FFF2-40B4-BE49-F238E27FC236}">
              <a16:creationId xmlns:a16="http://schemas.microsoft.com/office/drawing/2014/main" id="{98B98170-D6AC-411C-B7E0-F7090A1FB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541193</xdr:colOff>
      <xdr:row>195</xdr:row>
      <xdr:rowOff>259773</xdr:rowOff>
    </xdr:from>
    <xdr:to>
      <xdr:col>19</xdr:col>
      <xdr:colOff>72273</xdr:colOff>
      <xdr:row>201</xdr:row>
      <xdr:rowOff>916496</xdr:rowOff>
    </xdr:to>
    <xdr:graphicFrame macro="">
      <xdr:nvGraphicFramePr>
        <xdr:cNvPr id="12" name="Diagrama 11">
          <a:extLst>
            <a:ext uri="{FF2B5EF4-FFF2-40B4-BE49-F238E27FC236}">
              <a16:creationId xmlns:a16="http://schemas.microsoft.com/office/drawing/2014/main" id="{3B9F07CA-D509-4159-844B-67AADF752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476250</xdr:colOff>
      <xdr:row>139</xdr:row>
      <xdr:rowOff>270597</xdr:rowOff>
    </xdr:from>
    <xdr:to>
      <xdr:col>19</xdr:col>
      <xdr:colOff>7330</xdr:colOff>
      <xdr:row>149</xdr:row>
      <xdr:rowOff>948968</xdr:rowOff>
    </xdr:to>
    <xdr:graphicFrame macro="">
      <xdr:nvGraphicFramePr>
        <xdr:cNvPr id="13" name="Diagrama 12">
          <a:extLst>
            <a:ext uri="{FF2B5EF4-FFF2-40B4-BE49-F238E27FC236}">
              <a16:creationId xmlns:a16="http://schemas.microsoft.com/office/drawing/2014/main" id="{406D6150-FE9A-4071-B229-870D902DB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573665</xdr:colOff>
      <xdr:row>65</xdr:row>
      <xdr:rowOff>497897</xdr:rowOff>
    </xdr:from>
    <xdr:to>
      <xdr:col>19</xdr:col>
      <xdr:colOff>104745</xdr:colOff>
      <xdr:row>69</xdr:row>
      <xdr:rowOff>905671</xdr:rowOff>
    </xdr:to>
    <xdr:graphicFrame macro="">
      <xdr:nvGraphicFramePr>
        <xdr:cNvPr id="14" name="Diagrama 13">
          <a:extLst>
            <a:ext uri="{FF2B5EF4-FFF2-40B4-BE49-F238E27FC236}">
              <a16:creationId xmlns:a16="http://schemas.microsoft.com/office/drawing/2014/main" id="{6F16B120-5707-46F4-B351-FA4AACB69B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595313</xdr:colOff>
      <xdr:row>16</xdr:row>
      <xdr:rowOff>259772</xdr:rowOff>
    </xdr:from>
    <xdr:to>
      <xdr:col>19</xdr:col>
      <xdr:colOff>126393</xdr:colOff>
      <xdr:row>24</xdr:row>
      <xdr:rowOff>104705</xdr:rowOff>
    </xdr:to>
    <xdr:graphicFrame macro="">
      <xdr:nvGraphicFramePr>
        <xdr:cNvPr id="15" name="Diagrama 14">
          <a:extLst>
            <a:ext uri="{FF2B5EF4-FFF2-40B4-BE49-F238E27FC236}">
              <a16:creationId xmlns:a16="http://schemas.microsoft.com/office/drawing/2014/main" id="{879409EE-D4F4-497D-92FE-E5A270D58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0</xdr:colOff>
      <xdr:row>24</xdr:row>
      <xdr:rowOff>476249</xdr:rowOff>
    </xdr:from>
    <xdr:to>
      <xdr:col>19</xdr:col>
      <xdr:colOff>137215</xdr:colOff>
      <xdr:row>34</xdr:row>
      <xdr:rowOff>495928</xdr:rowOff>
    </xdr:to>
    <xdr:graphicFrame macro="">
      <xdr:nvGraphicFramePr>
        <xdr:cNvPr id="24" name="Diagrama 23">
          <a:extLst>
            <a:ext uri="{FF2B5EF4-FFF2-40B4-BE49-F238E27FC236}">
              <a16:creationId xmlns:a16="http://schemas.microsoft.com/office/drawing/2014/main" id="{F6B13DE0-7B43-4EF2-AC58-665C064D9C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519545</xdr:colOff>
      <xdr:row>70</xdr:row>
      <xdr:rowOff>54119</xdr:rowOff>
    </xdr:from>
    <xdr:to>
      <xdr:col>19</xdr:col>
      <xdr:colOff>50623</xdr:colOff>
      <xdr:row>74</xdr:row>
      <xdr:rowOff>647462</xdr:rowOff>
    </xdr:to>
    <xdr:graphicFrame macro="">
      <xdr:nvGraphicFramePr>
        <xdr:cNvPr id="25" name="Diagrama 24">
          <a:extLst>
            <a:ext uri="{FF2B5EF4-FFF2-40B4-BE49-F238E27FC236}">
              <a16:creationId xmlns:a16="http://schemas.microsoft.com/office/drawing/2014/main" id="{E51DF18B-4BE8-4F23-A3EB-0579057CFC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454603</xdr:colOff>
      <xdr:row>149</xdr:row>
      <xdr:rowOff>1201449</xdr:rowOff>
    </xdr:from>
    <xdr:to>
      <xdr:col>18</xdr:col>
      <xdr:colOff>1955624</xdr:colOff>
      <xdr:row>153</xdr:row>
      <xdr:rowOff>1307718</xdr:rowOff>
    </xdr:to>
    <xdr:graphicFrame macro="">
      <xdr:nvGraphicFramePr>
        <xdr:cNvPr id="26" name="Diagrama 25">
          <a:extLst>
            <a:ext uri="{FF2B5EF4-FFF2-40B4-BE49-F238E27FC236}">
              <a16:creationId xmlns:a16="http://schemas.microsoft.com/office/drawing/2014/main" id="{5703434A-E01A-4EDA-AF40-EA580AABC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487075</xdr:colOff>
      <xdr:row>202</xdr:row>
      <xdr:rowOff>119063</xdr:rowOff>
    </xdr:from>
    <xdr:to>
      <xdr:col>19</xdr:col>
      <xdr:colOff>18153</xdr:colOff>
      <xdr:row>210</xdr:row>
      <xdr:rowOff>171214</xdr:rowOff>
    </xdr:to>
    <xdr:graphicFrame macro="">
      <xdr:nvGraphicFramePr>
        <xdr:cNvPr id="27" name="Diagrama 26">
          <a:extLst>
            <a:ext uri="{FF2B5EF4-FFF2-40B4-BE49-F238E27FC236}">
              <a16:creationId xmlns:a16="http://schemas.microsoft.com/office/drawing/2014/main" id="{6A642D6A-F588-4297-A607-894D52DAD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0</xdr:colOff>
      <xdr:row>341</xdr:row>
      <xdr:rowOff>1363807</xdr:rowOff>
    </xdr:from>
    <xdr:to>
      <xdr:col>19</xdr:col>
      <xdr:colOff>137215</xdr:colOff>
      <xdr:row>350</xdr:row>
      <xdr:rowOff>30503</xdr:rowOff>
    </xdr:to>
    <xdr:graphicFrame macro="">
      <xdr:nvGraphicFramePr>
        <xdr:cNvPr id="28" name="Diagrama 27">
          <a:extLst>
            <a:ext uri="{FF2B5EF4-FFF2-40B4-BE49-F238E27FC236}">
              <a16:creationId xmlns:a16="http://schemas.microsoft.com/office/drawing/2014/main" id="{19BFD4FF-349D-4919-A61B-7CDFD6FD3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324715</xdr:colOff>
      <xdr:row>396</xdr:row>
      <xdr:rowOff>64945</xdr:rowOff>
    </xdr:from>
    <xdr:to>
      <xdr:col>18</xdr:col>
      <xdr:colOff>1439573</xdr:colOff>
      <xdr:row>401</xdr:row>
      <xdr:rowOff>378835</xdr:rowOff>
    </xdr:to>
    <xdr:graphicFrame macro="">
      <xdr:nvGraphicFramePr>
        <xdr:cNvPr id="29" name="Diagrama 28">
          <a:extLst>
            <a:ext uri="{FF2B5EF4-FFF2-40B4-BE49-F238E27FC236}">
              <a16:creationId xmlns:a16="http://schemas.microsoft.com/office/drawing/2014/main" id="{8EA6CC2C-BFBC-48D0-B11C-EDAD31ED4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10824</xdr:colOff>
      <xdr:row>423</xdr:row>
      <xdr:rowOff>584489</xdr:rowOff>
    </xdr:from>
    <xdr:to>
      <xdr:col>19</xdr:col>
      <xdr:colOff>148039</xdr:colOff>
      <xdr:row>425</xdr:row>
      <xdr:rowOff>30503</xdr:rowOff>
    </xdr:to>
    <xdr:graphicFrame macro="">
      <xdr:nvGraphicFramePr>
        <xdr:cNvPr id="30" name="Diagrama 29">
          <a:extLst>
            <a:ext uri="{FF2B5EF4-FFF2-40B4-BE49-F238E27FC236}">
              <a16:creationId xmlns:a16="http://schemas.microsoft.com/office/drawing/2014/main" id="{F395F167-9510-491E-8BF1-EACAAAFC7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162357</xdr:colOff>
      <xdr:row>486</xdr:row>
      <xdr:rowOff>411307</xdr:rowOff>
    </xdr:from>
    <xdr:to>
      <xdr:col>19</xdr:col>
      <xdr:colOff>299572</xdr:colOff>
      <xdr:row>494</xdr:row>
      <xdr:rowOff>225332</xdr:rowOff>
    </xdr:to>
    <xdr:graphicFrame macro="">
      <xdr:nvGraphicFramePr>
        <xdr:cNvPr id="31" name="Diagrama 30">
          <a:extLst>
            <a:ext uri="{FF2B5EF4-FFF2-40B4-BE49-F238E27FC236}">
              <a16:creationId xmlns:a16="http://schemas.microsoft.com/office/drawing/2014/main" id="{85E6C8F8-BF6B-48D5-B694-742D806371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16</xdr:col>
      <xdr:colOff>119062</xdr:colOff>
      <xdr:row>640</xdr:row>
      <xdr:rowOff>432955</xdr:rowOff>
    </xdr:from>
    <xdr:to>
      <xdr:col>19</xdr:col>
      <xdr:colOff>256277</xdr:colOff>
      <xdr:row>652</xdr:row>
      <xdr:rowOff>430986</xdr:rowOff>
    </xdr:to>
    <xdr:graphicFrame macro="">
      <xdr:nvGraphicFramePr>
        <xdr:cNvPr id="32" name="Diagrama 31">
          <a:extLst>
            <a:ext uri="{FF2B5EF4-FFF2-40B4-BE49-F238E27FC236}">
              <a16:creationId xmlns:a16="http://schemas.microsoft.com/office/drawing/2014/main" id="{23AC0136-9A01-4574-BB78-32CBE9D80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21647</xdr:colOff>
      <xdr:row>693</xdr:row>
      <xdr:rowOff>2911619</xdr:rowOff>
    </xdr:from>
    <xdr:to>
      <xdr:col>19</xdr:col>
      <xdr:colOff>158862</xdr:colOff>
      <xdr:row>700</xdr:row>
      <xdr:rowOff>290275</xdr:rowOff>
    </xdr:to>
    <xdr:graphicFrame macro="">
      <xdr:nvGraphicFramePr>
        <xdr:cNvPr id="33" name="Diagrama 32">
          <a:extLst>
            <a:ext uri="{FF2B5EF4-FFF2-40B4-BE49-F238E27FC236}">
              <a16:creationId xmlns:a16="http://schemas.microsoft.com/office/drawing/2014/main" id="{837D7778-7AC3-461C-B722-57E7EEA39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54119</xdr:colOff>
      <xdr:row>832</xdr:row>
      <xdr:rowOff>2164772</xdr:rowOff>
    </xdr:from>
    <xdr:to>
      <xdr:col>19</xdr:col>
      <xdr:colOff>191334</xdr:colOff>
      <xdr:row>833</xdr:row>
      <xdr:rowOff>3937917</xdr:rowOff>
    </xdr:to>
    <xdr:graphicFrame macro="">
      <xdr:nvGraphicFramePr>
        <xdr:cNvPr id="34" name="Diagrama 33">
          <a:extLst>
            <a:ext uri="{FF2B5EF4-FFF2-40B4-BE49-F238E27FC236}">
              <a16:creationId xmlns:a16="http://schemas.microsoft.com/office/drawing/2014/main" id="{E4023BD3-2587-420D-A876-53B3F8CEC6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stina.kecedzi\Downloads\SVP_veiklos_ataskaita_2022%20(3).xlsx" TargetMode="External"/><Relationship Id="rId1" Type="http://schemas.openxmlformats.org/officeDocument/2006/relationships/externalLinkPath" Target="/Users/kristina.kecedzi/Downloads/SVP_veiklos_ataskaita_2022%2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kristina.kecedzi\Desktop\STRAPIS%20ketvirtin&#279;s\grafikai.xlsx" TargetMode="External"/><Relationship Id="rId1" Type="http://schemas.openxmlformats.org/officeDocument/2006/relationships/externalLinkPath" Target="/Users/kristina.kecedzi/Desktop/STRAPIS%20ketvirtin&#279;s/grafik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as"/>
    </sheetNames>
    <sheetDataSet>
      <sheetData sheetId="0">
        <row r="11">
          <cell r="P11" t="str">
            <v>Priemonė buvo įvykdyta pagal planą</v>
          </cell>
        </row>
        <row r="12">
          <cell r="P12" t="str">
            <v>Vykdant priemonę buvo pasiekta vertinimo kriterijų reikšmių mažiau nei 50 %</v>
          </cell>
        </row>
        <row r="13">
          <cell r="P13" t="str">
            <v>Vykdant priemonę buvo pasiekta vertinimo kriterijų reikšmių 50 % ir daugiau</v>
          </cell>
        </row>
        <row r="14">
          <cell r="P14" t="str">
            <v>Vykdant priemonę buvo pasiekta vertinimo kriterijų reikšmių 50 % ir daugiau</v>
          </cell>
        </row>
        <row r="15">
          <cell r="P15" t="str">
            <v>Vykdant priemonę buvo pasiekta daugiau vertinimo kriterijų reikšmių nei planuota</v>
          </cell>
        </row>
        <row r="16">
          <cell r="P16" t="str">
            <v>Priemonė neįvykdyta, t.y. nepasiekta planuota vertinimo kriterijų reikšmė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m"/>
    </sheetNames>
    <sheetDataSet>
      <sheetData sheetId="0">
        <row r="2">
          <cell r="C2">
            <v>2022</v>
          </cell>
          <cell r="D2">
            <v>2023</v>
          </cell>
        </row>
        <row r="3">
          <cell r="B3" t="str">
            <v>Priemonė buvo įvykdyta pagal planą</v>
          </cell>
          <cell r="C3">
            <v>4</v>
          </cell>
        </row>
        <row r="4">
          <cell r="B4" t="str">
            <v>Vykdant priemonę buvo pasiekta vertinimo kriterijų reikšmių mažiau nei 50 %</v>
          </cell>
          <cell r="C4">
            <v>1</v>
          </cell>
          <cell r="D4">
            <v>2</v>
          </cell>
        </row>
        <row r="5">
          <cell r="B5" t="str">
            <v>Vykdant priemonę buvo pasiekta vertinimo kriterijų reikšmių 50 % ir daugiau</v>
          </cell>
          <cell r="C5">
            <v>2</v>
          </cell>
          <cell r="D5">
            <v>4</v>
          </cell>
        </row>
        <row r="6">
          <cell r="B6" t="str">
            <v>Vykdant priemonę buvo pasiekta daugiau vertinimo kriterijų reikšmių nei planuota</v>
          </cell>
          <cell r="C6">
            <v>1</v>
          </cell>
          <cell r="D6">
            <v>0</v>
          </cell>
        </row>
        <row r="7">
          <cell r="B7" t="str">
            <v>Priemonė neįvykdyta, t.y. nepasiekta planuota vertinimo kriterijų reikšmė</v>
          </cell>
          <cell r="C7">
            <v>0</v>
          </cell>
          <cell r="D7">
            <v>5</v>
          </cell>
        </row>
        <row r="8">
          <cell r="B8" t="str">
            <v>Iš viso programų priemonių</v>
          </cell>
          <cell r="C8">
            <v>8</v>
          </cell>
          <cell r="D8">
            <v>11</v>
          </cell>
        </row>
        <row r="12">
          <cell r="C12">
            <v>2022</v>
          </cell>
          <cell r="D12">
            <v>2023</v>
          </cell>
        </row>
        <row r="13">
          <cell r="B13" t="str">
            <v>Priemonė buvo įvykdyta pagal planą</v>
          </cell>
          <cell r="C13">
            <v>7</v>
          </cell>
          <cell r="D13">
            <v>10</v>
          </cell>
        </row>
        <row r="14">
          <cell r="B14" t="str">
            <v>Vykdant priemonę buvo pasiekta vertinimo kriterijų reikšmių mažiau nei 50 %</v>
          </cell>
          <cell r="C14">
            <v>1</v>
          </cell>
          <cell r="D14">
            <v>0</v>
          </cell>
        </row>
        <row r="15">
          <cell r="B15" t="str">
            <v>Vykdant priemonę buvo pasiekta vertinimo kriterijų reikšmių 50 % ir daugiau</v>
          </cell>
          <cell r="C15">
            <v>3</v>
          </cell>
          <cell r="D15">
            <v>3</v>
          </cell>
        </row>
        <row r="16">
          <cell r="B16" t="str">
            <v>Vykdant priemonę buvo pasiekta daugiau vertinimo kriterijų reikšmių nei planuota</v>
          </cell>
          <cell r="C16">
            <v>3</v>
          </cell>
          <cell r="D16">
            <v>3</v>
          </cell>
        </row>
        <row r="17">
          <cell r="B17" t="str">
            <v>Priemonė neįvykdyta, t.y. nepasiekta planuota vertinimo kriterijų reikšmė</v>
          </cell>
          <cell r="C17">
            <v>3</v>
          </cell>
          <cell r="D17">
            <v>1</v>
          </cell>
        </row>
        <row r="18">
          <cell r="B18" t="str">
            <v>Iš viso programų priemonių</v>
          </cell>
          <cell r="C18">
            <v>17</v>
          </cell>
          <cell r="D18">
            <v>17</v>
          </cell>
        </row>
        <row r="24">
          <cell r="C24">
            <v>2022</v>
          </cell>
          <cell r="D24">
            <v>2023</v>
          </cell>
        </row>
        <row r="25">
          <cell r="B25" t="str">
            <v>Priemonė buvo įvykdyta pagal planą</v>
          </cell>
          <cell r="C25">
            <v>4</v>
          </cell>
          <cell r="D25">
            <v>7</v>
          </cell>
        </row>
        <row r="26">
          <cell r="B26" t="str">
            <v>Vykdant priemonę buvo pasiekta vertinimo kriterijų reikšmių mažiau nei 50 %</v>
          </cell>
          <cell r="C26">
            <v>0</v>
          </cell>
          <cell r="D26">
            <v>1</v>
          </cell>
        </row>
        <row r="27">
          <cell r="B27" t="str">
            <v>Vykdant priemonę buvo pasiekta vertinimo kriterijų reikšmių 50 % ir daugiau</v>
          </cell>
          <cell r="C27">
            <v>5</v>
          </cell>
          <cell r="D27">
            <v>5</v>
          </cell>
        </row>
        <row r="28">
          <cell r="B28" t="str">
            <v>Vykdant priemonę buvo pasiekta daugiau vertinimo kriterijų reikšmių nei planuota</v>
          </cell>
          <cell r="C28">
            <v>4</v>
          </cell>
          <cell r="D28">
            <v>3</v>
          </cell>
        </row>
        <row r="29">
          <cell r="B29" t="str">
            <v>Priemonė neįvykdyta, t.y. nepasiekta planuota vertinimo kriterijų reikšmė</v>
          </cell>
          <cell r="C29">
            <v>5</v>
          </cell>
          <cell r="D29">
            <v>0</v>
          </cell>
        </row>
        <row r="30">
          <cell r="B30" t="str">
            <v>Iš viso programų priemonių</v>
          </cell>
          <cell r="C30">
            <v>18</v>
          </cell>
          <cell r="D30">
            <v>16</v>
          </cell>
        </row>
        <row r="35">
          <cell r="C35">
            <v>2022</v>
          </cell>
          <cell r="D35">
            <v>2023</v>
          </cell>
        </row>
        <row r="36">
          <cell r="B36" t="str">
            <v>Priemonė buvo įvykdyta pagal planą</v>
          </cell>
          <cell r="C36">
            <v>6</v>
          </cell>
          <cell r="D36">
            <v>5</v>
          </cell>
        </row>
        <row r="37">
          <cell r="B37" t="str">
            <v>Vykdant priemonę buvo pasiekta vertinimo kriterijų reikšmių mažiau nei 50 %</v>
          </cell>
          <cell r="C37">
            <v>1</v>
          </cell>
          <cell r="D37">
            <v>0</v>
          </cell>
        </row>
        <row r="38">
          <cell r="B38" t="str">
            <v>Vykdant priemonę buvo pasiekta vertinimo kriterijų reikšmių 50 % ir daugiau</v>
          </cell>
          <cell r="C38">
            <v>7</v>
          </cell>
          <cell r="D38">
            <v>6</v>
          </cell>
        </row>
        <row r="39">
          <cell r="B39" t="str">
            <v>Vykdant priemonę buvo pasiekta daugiau vertinimo kriterijų reikšmių nei planuota</v>
          </cell>
          <cell r="C39">
            <v>3</v>
          </cell>
          <cell r="D39">
            <v>2</v>
          </cell>
        </row>
        <row r="40">
          <cell r="B40" t="str">
            <v>Priemonė neįvykdyta, t.y. nepasiekta planuota vertinimo kriterijų reikšmė</v>
          </cell>
          <cell r="C40">
            <v>4</v>
          </cell>
          <cell r="D40">
            <v>7</v>
          </cell>
        </row>
        <row r="41">
          <cell r="B41" t="str">
            <v>Iš viso programų priemonių</v>
          </cell>
          <cell r="C41">
            <v>21</v>
          </cell>
          <cell r="D41">
            <v>20</v>
          </cell>
        </row>
        <row r="46">
          <cell r="C46">
            <v>2022</v>
          </cell>
          <cell r="D46">
            <v>2023</v>
          </cell>
        </row>
        <row r="47">
          <cell r="B47" t="str">
            <v>Priemonė buvo įvykdyta pagal planą</v>
          </cell>
          <cell r="C47">
            <v>6</v>
          </cell>
          <cell r="D47">
            <v>3</v>
          </cell>
        </row>
        <row r="48">
          <cell r="B48" t="str">
            <v>Vykdant priemonę buvo pasiekta vertinimo kriterijų reikšmių mažiau nei 50 %</v>
          </cell>
          <cell r="C48">
            <v>0</v>
          </cell>
          <cell r="D48">
            <v>1</v>
          </cell>
        </row>
        <row r="49">
          <cell r="B49" t="str">
            <v>Vykdant priemonę buvo pasiekta vertinimo kriterijų reikšmių 50 % ir daugiau</v>
          </cell>
          <cell r="C49">
            <v>1</v>
          </cell>
          <cell r="D49">
            <v>3</v>
          </cell>
        </row>
        <row r="50">
          <cell r="B50" t="str">
            <v>Vykdant priemonę buvo pasiekta daugiau vertinimo kriterijų reikšmių nei planuota</v>
          </cell>
          <cell r="C50">
            <v>1</v>
          </cell>
          <cell r="D50">
            <v>2</v>
          </cell>
        </row>
        <row r="51">
          <cell r="B51" t="str">
            <v>Priemonė neįvykdyta, t.y. nepasiekta planuota vertinimo kriterijų reikšmė</v>
          </cell>
          <cell r="C51">
            <v>1</v>
          </cell>
          <cell r="D51">
            <v>0</v>
          </cell>
        </row>
        <row r="52">
          <cell r="B52" t="str">
            <v>Iš viso programų priemonių</v>
          </cell>
          <cell r="C52">
            <v>9</v>
          </cell>
          <cell r="D52">
            <v>9</v>
          </cell>
        </row>
        <row r="57">
          <cell r="C57">
            <v>2022</v>
          </cell>
          <cell r="D57">
            <v>2023</v>
          </cell>
        </row>
        <row r="58">
          <cell r="B58" t="str">
            <v>Priemonė buvo įvykdyta pagal planą</v>
          </cell>
          <cell r="C58">
            <v>10</v>
          </cell>
          <cell r="D58">
            <v>6</v>
          </cell>
        </row>
        <row r="59">
          <cell r="B59" t="str">
            <v>Vykdant priemonę buvo pasiekta vertinimo kriterijų reikšmių mažiau nei 50 %</v>
          </cell>
          <cell r="C59">
            <v>0</v>
          </cell>
          <cell r="D59">
            <v>0</v>
          </cell>
        </row>
        <row r="60">
          <cell r="B60" t="str">
            <v>Vykdant priemonę buvo pasiekta vertinimo kriterijų reikšmių 50 % ir daugiau</v>
          </cell>
          <cell r="C60">
            <v>2</v>
          </cell>
          <cell r="D60">
            <v>3</v>
          </cell>
        </row>
        <row r="61">
          <cell r="B61" t="str">
            <v>Vykdant priemonę buvo pasiekta daugiau vertinimo kriterijų reikšmių nei planuota</v>
          </cell>
          <cell r="C61">
            <v>1</v>
          </cell>
          <cell r="D61">
            <v>3</v>
          </cell>
        </row>
        <row r="62">
          <cell r="B62" t="str">
            <v>Priemonė neįvykdyta, t.y. nepasiekta planuota vertinimo kriterijų reikšmė</v>
          </cell>
          <cell r="C62">
            <v>1</v>
          </cell>
          <cell r="D62">
            <v>1</v>
          </cell>
        </row>
        <row r="63">
          <cell r="B63" t="str">
            <v>Iš viso programų priemonių</v>
          </cell>
          <cell r="C63">
            <v>14</v>
          </cell>
          <cell r="D63">
            <v>13</v>
          </cell>
        </row>
        <row r="68">
          <cell r="C68">
            <v>2022</v>
          </cell>
          <cell r="D68">
            <v>2023</v>
          </cell>
        </row>
        <row r="69">
          <cell r="B69" t="str">
            <v>Priemonė buvo įvykdyta pagal planą</v>
          </cell>
          <cell r="C69">
            <v>5</v>
          </cell>
          <cell r="D69">
            <v>4</v>
          </cell>
        </row>
        <row r="70">
          <cell r="B70" t="str">
            <v>Vykdant priemonę buvo pasiekta vertinimo kriterijų reikšmių mažiau nei 50 %</v>
          </cell>
          <cell r="C70">
            <v>0</v>
          </cell>
          <cell r="D70">
            <v>1</v>
          </cell>
        </row>
        <row r="71">
          <cell r="B71" t="str">
            <v>Vykdant priemonę buvo pasiekta vertinimo kriterijų reikšmių 50 % ir daugiau</v>
          </cell>
          <cell r="C71">
            <v>2</v>
          </cell>
          <cell r="D71">
            <v>4</v>
          </cell>
        </row>
        <row r="72">
          <cell r="B72" t="str">
            <v>Vykdant priemonę buvo pasiekta daugiau vertinimo kriterijų reikšmių nei planuota</v>
          </cell>
          <cell r="C72">
            <v>5</v>
          </cell>
          <cell r="D72">
            <v>4</v>
          </cell>
        </row>
        <row r="73">
          <cell r="B73" t="str">
            <v>Priemonė neįvykdyta, t.y. nepasiekta planuota vertinimo kriterijų reikšmė</v>
          </cell>
          <cell r="C73">
            <v>0</v>
          </cell>
          <cell r="D73">
            <v>1</v>
          </cell>
        </row>
        <row r="74">
          <cell r="B74" t="str">
            <v>Iš viso programų priemonių</v>
          </cell>
          <cell r="C74">
            <v>12</v>
          </cell>
          <cell r="D74">
            <v>14</v>
          </cell>
        </row>
        <row r="79">
          <cell r="C79">
            <v>2022</v>
          </cell>
          <cell r="D79">
            <v>2023</v>
          </cell>
        </row>
        <row r="80">
          <cell r="B80" t="str">
            <v>Priemonė buvo įvykdyta pagal planą</v>
          </cell>
          <cell r="C80">
            <v>16</v>
          </cell>
          <cell r="D80">
            <v>17</v>
          </cell>
        </row>
        <row r="81">
          <cell r="B81" t="str">
            <v>Vykdant priemonę buvo pasiekta vertinimo kriterijų reikšmių mažiau nei 50 %</v>
          </cell>
          <cell r="C81">
            <v>1</v>
          </cell>
          <cell r="D81">
            <v>3</v>
          </cell>
        </row>
        <row r="82">
          <cell r="B82" t="str">
            <v>Vykdant priemonę buvo pasiekta vertinimo kriterijų reikšmių 50 % ir daugiau</v>
          </cell>
          <cell r="C82">
            <v>9</v>
          </cell>
          <cell r="D82">
            <v>10</v>
          </cell>
        </row>
        <row r="83">
          <cell r="B83" t="str">
            <v>Vykdant priemonę buvo pasiekta daugiau vertinimo kriterijų reikšmių nei planuota</v>
          </cell>
          <cell r="C83">
            <v>6</v>
          </cell>
          <cell r="D83">
            <v>7</v>
          </cell>
        </row>
        <row r="84">
          <cell r="B84" t="str">
            <v>Priemonė neįvykdyta, t.y. nepasiekta planuota vertinimo kriterijų reikšmė</v>
          </cell>
          <cell r="C84">
            <v>4</v>
          </cell>
          <cell r="D84">
            <v>1</v>
          </cell>
        </row>
        <row r="85">
          <cell r="B85" t="str">
            <v>Iš viso programų priemonių</v>
          </cell>
          <cell r="C85">
            <v>36</v>
          </cell>
          <cell r="D85">
            <v>38</v>
          </cell>
        </row>
        <row r="90">
          <cell r="C90">
            <v>2022</v>
          </cell>
          <cell r="D90">
            <v>2023</v>
          </cell>
        </row>
        <row r="91">
          <cell r="B91" t="str">
            <v>Priemonė buvo įvykdyta pagal planą</v>
          </cell>
          <cell r="C91">
            <v>4</v>
          </cell>
          <cell r="D91">
            <v>5</v>
          </cell>
        </row>
        <row r="92">
          <cell r="B92" t="str">
            <v>Vykdant priemonę buvo pasiekta vertinimo kriterijų reikšmių mažiau nei 50 %</v>
          </cell>
          <cell r="C92">
            <v>2</v>
          </cell>
          <cell r="D92">
            <v>0</v>
          </cell>
        </row>
        <row r="93">
          <cell r="B93" t="str">
            <v>Vykdant priemonę buvo pasiekta vertinimo kriterijų reikšmių 50 % ir daugiau</v>
          </cell>
          <cell r="C93">
            <v>5</v>
          </cell>
          <cell r="D93">
            <v>3</v>
          </cell>
        </row>
        <row r="94">
          <cell r="B94" t="str">
            <v>Vykdant priemonę buvo pasiekta daugiau vertinimo kriterijų reikšmių nei planuota</v>
          </cell>
          <cell r="C94">
            <v>4</v>
          </cell>
          <cell r="D94">
            <v>4</v>
          </cell>
        </row>
        <row r="95">
          <cell r="B95" t="str">
            <v>Priemonė neįvykdyta, t.y. nepasiekta planuota vertinimo kriterijų reikšmė</v>
          </cell>
          <cell r="C95">
            <v>2</v>
          </cell>
          <cell r="D95">
            <v>0</v>
          </cell>
        </row>
        <row r="96">
          <cell r="B96" t="str">
            <v>Iš viso programų priemonių</v>
          </cell>
          <cell r="C96">
            <v>17</v>
          </cell>
          <cell r="D96">
            <v>12</v>
          </cell>
        </row>
        <row r="101">
          <cell r="C101">
            <v>2022</v>
          </cell>
          <cell r="D101">
            <v>2023</v>
          </cell>
        </row>
        <row r="102">
          <cell r="B102" t="str">
            <v>Priemonė buvo įvykdyta pagal planą</v>
          </cell>
          <cell r="C102">
            <v>12</v>
          </cell>
          <cell r="D102">
            <v>13</v>
          </cell>
        </row>
        <row r="103">
          <cell r="B103" t="str">
            <v>Vykdant priemonę buvo pasiekta vertinimo kriterijų reikšmių mažiau nei 50 %</v>
          </cell>
          <cell r="C103">
            <v>1</v>
          </cell>
          <cell r="D103">
            <v>0</v>
          </cell>
        </row>
        <row r="104">
          <cell r="B104" t="str">
            <v>Vykdant priemonę buvo pasiekta vertinimo kriterijų reikšmių 50 % ir daugiau</v>
          </cell>
          <cell r="C104">
            <v>9</v>
          </cell>
          <cell r="D104">
            <v>4</v>
          </cell>
        </row>
        <row r="105">
          <cell r="B105" t="str">
            <v>Vykdant priemonę buvo pasiekta daugiau vertinimo kriterijų reikšmių nei planuota</v>
          </cell>
          <cell r="C105">
            <v>4</v>
          </cell>
          <cell r="D105">
            <v>8</v>
          </cell>
        </row>
        <row r="106">
          <cell r="B106" t="str">
            <v>Priemonė neįvykdyta, t.y. nepasiekta planuota vertinimo kriterijų reikšmė</v>
          </cell>
          <cell r="C106">
            <v>0</v>
          </cell>
          <cell r="D106">
            <v>0</v>
          </cell>
        </row>
        <row r="107">
          <cell r="B107" t="str">
            <v>Iš viso programų priemonių</v>
          </cell>
          <cell r="C107">
            <v>26</v>
          </cell>
          <cell r="D107">
            <v>25</v>
          </cell>
        </row>
        <row r="112">
          <cell r="C112">
            <v>2022</v>
          </cell>
          <cell r="D112">
            <v>2023</v>
          </cell>
        </row>
        <row r="113">
          <cell r="B113" t="str">
            <v>Priemonė buvo įvykdyta pagal planą</v>
          </cell>
          <cell r="C113">
            <v>27</v>
          </cell>
          <cell r="D113">
            <v>36</v>
          </cell>
        </row>
        <row r="114">
          <cell r="B114" t="str">
            <v>Vykdant priemonę buvo pasiekta vertinimo kriterijų reikšmių mažiau nei 50 %</v>
          </cell>
          <cell r="C114">
            <v>1</v>
          </cell>
          <cell r="D114">
            <v>0</v>
          </cell>
        </row>
        <row r="115">
          <cell r="B115" t="str">
            <v>Vykdant priemonę buvo pasiekta vertinimo kriterijų reikšmių 50 % ir daugiau</v>
          </cell>
          <cell r="C115">
            <v>5</v>
          </cell>
          <cell r="D115">
            <v>5</v>
          </cell>
        </row>
        <row r="116">
          <cell r="B116" t="str">
            <v>Vykdant priemonę buvo pasiekta daugiau vertinimo kriterijų reikšmių nei planuota</v>
          </cell>
          <cell r="C116">
            <v>3</v>
          </cell>
          <cell r="D116">
            <v>2</v>
          </cell>
        </row>
        <row r="117">
          <cell r="B117" t="str">
            <v>Priemonė neįvykdyta, t.y. nepasiekta planuota vertinimo kriterijų reikšmė</v>
          </cell>
          <cell r="C117">
            <v>5</v>
          </cell>
          <cell r="D117">
            <v>1</v>
          </cell>
        </row>
        <row r="118">
          <cell r="B118" t="str">
            <v>Iš viso programų priemonių</v>
          </cell>
          <cell r="C118">
            <v>41</v>
          </cell>
          <cell r="D118">
            <v>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2"/>
  <sheetViews>
    <sheetView tabSelected="1" topLeftCell="G1" zoomScale="80" zoomScaleNormal="80" workbookViewId="0">
      <selection activeCell="N12" sqref="N12"/>
    </sheetView>
  </sheetViews>
  <sheetFormatPr defaultColWidth="9.140625" defaultRowHeight="15" x14ac:dyDescent="0.25"/>
  <cols>
    <col min="1" max="1" width="11" style="2" customWidth="1"/>
    <col min="2" max="2" width="28.28515625" style="2" customWidth="1"/>
    <col min="3" max="3" width="9.140625" style="2" customWidth="1"/>
    <col min="4" max="5" width="9.28515625" style="43" customWidth="1"/>
    <col min="6" max="6" width="9.7109375" style="43" customWidth="1"/>
    <col min="7" max="7" width="8" style="43" customWidth="1"/>
    <col min="8" max="8" width="9.85546875" style="43" customWidth="1"/>
    <col min="9" max="9" width="8.5703125" style="44" customWidth="1"/>
    <col min="10" max="10" width="34.7109375" style="2" customWidth="1"/>
    <col min="11" max="11" width="9.7109375" style="2" customWidth="1"/>
    <col min="12" max="12" width="9.7109375" style="75" customWidth="1"/>
    <col min="13" max="13" width="10.28515625" style="76" customWidth="1"/>
    <col min="14" max="15" width="50.7109375" style="2" customWidth="1"/>
    <col min="16" max="16" width="9.140625" style="210"/>
    <col min="17" max="17" width="11.42578125" style="2" customWidth="1"/>
    <col min="18" max="18" width="54.140625" style="2" customWidth="1"/>
    <col min="19" max="19" width="31.85546875" style="2" customWidth="1"/>
    <col min="20" max="16384" width="9.140625" style="2"/>
  </cols>
  <sheetData>
    <row r="1" spans="1:19" ht="30" x14ac:dyDescent="0.25">
      <c r="O1" s="2" t="s">
        <v>1986</v>
      </c>
    </row>
    <row r="4" spans="1:19" s="1" customFormat="1" ht="14.25" x14ac:dyDescent="0.2">
      <c r="A4" s="244" t="s">
        <v>1984</v>
      </c>
      <c r="B4" s="244"/>
      <c r="C4" s="244"/>
      <c r="D4" s="244"/>
      <c r="E4" s="244"/>
      <c r="F4" s="244"/>
      <c r="G4" s="244"/>
      <c r="H4" s="244"/>
      <c r="I4" s="244"/>
      <c r="J4" s="244"/>
      <c r="K4" s="244"/>
      <c r="L4" s="244"/>
      <c r="M4" s="244"/>
      <c r="N4" s="244"/>
      <c r="O4" s="244"/>
      <c r="P4" s="209"/>
    </row>
    <row r="5" spans="1:19" ht="15.75" thickBot="1" x14ac:dyDescent="0.3">
      <c r="J5" s="34"/>
      <c r="O5" s="216" t="s">
        <v>1985</v>
      </c>
    </row>
    <row r="6" spans="1:19" s="109" customFormat="1" ht="24" customHeight="1" x14ac:dyDescent="0.25">
      <c r="A6" s="245" t="s">
        <v>0</v>
      </c>
      <c r="B6" s="248" t="s">
        <v>1</v>
      </c>
      <c r="C6" s="248" t="s">
        <v>2</v>
      </c>
      <c r="D6" s="248" t="s">
        <v>3</v>
      </c>
      <c r="E6" s="253"/>
      <c r="F6" s="248" t="s">
        <v>4</v>
      </c>
      <c r="G6" s="248" t="s">
        <v>5</v>
      </c>
      <c r="H6" s="253"/>
      <c r="I6" s="255" t="s">
        <v>1726</v>
      </c>
      <c r="J6" s="248" t="s">
        <v>6</v>
      </c>
      <c r="K6" s="253"/>
      <c r="L6" s="253"/>
      <c r="M6" s="253"/>
      <c r="N6" s="253"/>
      <c r="O6" s="254"/>
      <c r="P6" s="211"/>
    </row>
    <row r="7" spans="1:19" s="109" customFormat="1" x14ac:dyDescent="0.25">
      <c r="A7" s="246"/>
      <c r="B7" s="249"/>
      <c r="C7" s="249"/>
      <c r="D7" s="249" t="s">
        <v>7</v>
      </c>
      <c r="E7" s="249" t="s">
        <v>8</v>
      </c>
      <c r="F7" s="249"/>
      <c r="G7" s="249" t="s">
        <v>7</v>
      </c>
      <c r="H7" s="249" t="s">
        <v>8</v>
      </c>
      <c r="I7" s="256"/>
      <c r="J7" s="249" t="s">
        <v>9</v>
      </c>
      <c r="K7" s="249" t="s">
        <v>10</v>
      </c>
      <c r="L7" s="258">
        <v>2023</v>
      </c>
      <c r="M7" s="259"/>
      <c r="N7" s="249" t="s">
        <v>11</v>
      </c>
      <c r="O7" s="251" t="s">
        <v>12</v>
      </c>
      <c r="P7" s="211"/>
    </row>
    <row r="8" spans="1:19" s="109" customFormat="1" ht="26.25" customHeight="1" thickBot="1" x14ac:dyDescent="0.3">
      <c r="A8" s="247"/>
      <c r="B8" s="250"/>
      <c r="C8" s="250"/>
      <c r="D8" s="250"/>
      <c r="E8" s="250"/>
      <c r="F8" s="250"/>
      <c r="G8" s="250"/>
      <c r="H8" s="250"/>
      <c r="I8" s="257"/>
      <c r="J8" s="250"/>
      <c r="K8" s="250"/>
      <c r="L8" s="110" t="s">
        <v>13</v>
      </c>
      <c r="M8" s="111" t="s">
        <v>1727</v>
      </c>
      <c r="N8" s="250"/>
      <c r="O8" s="252"/>
      <c r="P8" s="211"/>
    </row>
    <row r="9" spans="1:19" ht="27.75" customHeight="1" thickBot="1" x14ac:dyDescent="0.3">
      <c r="A9" s="4" t="s">
        <v>14</v>
      </c>
      <c r="B9" s="5" t="s">
        <v>15</v>
      </c>
      <c r="C9" s="6"/>
      <c r="D9" s="45">
        <f>SUM(D10:D10)</f>
        <v>1082.3</v>
      </c>
      <c r="E9" s="45">
        <f>SUM(E10:E10)</f>
        <v>1082.3</v>
      </c>
      <c r="F9" s="45">
        <f>SUM(F10:F10)</f>
        <v>762.3</v>
      </c>
      <c r="G9" s="45">
        <f>SUM(G10:G10)</f>
        <v>320</v>
      </c>
      <c r="H9" s="45">
        <f>SUM(H10:H10)</f>
        <v>320</v>
      </c>
      <c r="I9" s="46">
        <f>SUM(F9/E9)</f>
        <v>0.70433336413194125</v>
      </c>
      <c r="J9" s="266"/>
      <c r="K9" s="267"/>
      <c r="L9" s="267"/>
      <c r="M9" s="267"/>
      <c r="N9" s="267"/>
      <c r="O9" s="268"/>
    </row>
    <row r="10" spans="1:19" ht="39" thickBot="1" x14ac:dyDescent="0.3">
      <c r="A10" s="7" t="s">
        <v>16</v>
      </c>
      <c r="B10" s="8" t="s">
        <v>17</v>
      </c>
      <c r="C10" s="9"/>
      <c r="D10" s="47">
        <f>D11+D28+D47+D53</f>
        <v>1082.3</v>
      </c>
      <c r="E10" s="47">
        <f>E11+E28+E47+E53</f>
        <v>1082.3</v>
      </c>
      <c r="F10" s="47">
        <f>F11+F28+F47+F53</f>
        <v>762.3</v>
      </c>
      <c r="G10" s="47">
        <f>G11+G28+G47+G53</f>
        <v>320</v>
      </c>
      <c r="H10" s="47">
        <f>H11+H28+H47+H53</f>
        <v>320</v>
      </c>
      <c r="I10" s="48">
        <f>SUM(F10/E10)</f>
        <v>0.70433336413194125</v>
      </c>
      <c r="J10" s="9" t="s">
        <v>18</v>
      </c>
      <c r="K10" s="10" t="s">
        <v>19</v>
      </c>
      <c r="L10" s="77">
        <v>113</v>
      </c>
      <c r="M10" s="78">
        <v>102</v>
      </c>
      <c r="N10" s="9"/>
      <c r="O10" s="11"/>
      <c r="Q10" s="194"/>
      <c r="R10" s="195" t="s">
        <v>1</v>
      </c>
      <c r="S10" s="195" t="s">
        <v>1960</v>
      </c>
    </row>
    <row r="11" spans="1:19" ht="39" thickBot="1" x14ac:dyDescent="0.3">
      <c r="A11" s="12" t="s">
        <v>20</v>
      </c>
      <c r="B11" s="13" t="s">
        <v>21</v>
      </c>
      <c r="C11" s="14"/>
      <c r="D11" s="49">
        <f>D12+D14+D23+D25</f>
        <v>190.3</v>
      </c>
      <c r="E11" s="49">
        <f>E12+E14+E23+E25</f>
        <v>190.3</v>
      </c>
      <c r="F11" s="49">
        <f>F12+F14+F23+F25</f>
        <v>76.5</v>
      </c>
      <c r="G11" s="49">
        <f>G12+G14+G23+G25-0.1</f>
        <v>113.80000000000001</v>
      </c>
      <c r="H11" s="49">
        <f>H12+H14+H23+H25-0.1</f>
        <v>113.80000000000001</v>
      </c>
      <c r="I11" s="50">
        <f>SUM(F11/E11)</f>
        <v>0.40199684708355227</v>
      </c>
      <c r="J11" s="263"/>
      <c r="K11" s="264"/>
      <c r="L11" s="264"/>
      <c r="M11" s="264"/>
      <c r="N11" s="264"/>
      <c r="O11" s="265"/>
      <c r="Q11" s="196"/>
      <c r="R11" s="197" t="s">
        <v>1961</v>
      </c>
      <c r="S11" s="208"/>
    </row>
    <row r="12" spans="1:19" ht="63" customHeight="1" x14ac:dyDescent="0.25">
      <c r="A12" s="285" t="s">
        <v>22</v>
      </c>
      <c r="B12" s="217" t="s">
        <v>23</v>
      </c>
      <c r="C12" s="17"/>
      <c r="D12" s="51">
        <f>SUM(D13:D13)</f>
        <v>64.900000000000006</v>
      </c>
      <c r="E12" s="51">
        <f>SUM(E13:E13)</f>
        <v>64.900000000000006</v>
      </c>
      <c r="F12" s="51">
        <f>SUM(F13:F13)</f>
        <v>0</v>
      </c>
      <c r="G12" s="51">
        <f>SUM(G13:G13)</f>
        <v>64.900000000000006</v>
      </c>
      <c r="H12" s="51">
        <f>SUM(H13:H13)</f>
        <v>64.900000000000006</v>
      </c>
      <c r="I12" s="52">
        <f>SUM(F12/E12)</f>
        <v>0</v>
      </c>
      <c r="J12" s="17" t="s">
        <v>24</v>
      </c>
      <c r="K12" s="18" t="s">
        <v>25</v>
      </c>
      <c r="L12" s="79">
        <v>30</v>
      </c>
      <c r="M12" s="107">
        <v>0</v>
      </c>
      <c r="N12" s="17" t="s">
        <v>1833</v>
      </c>
      <c r="O12" s="19" t="s">
        <v>1834</v>
      </c>
      <c r="Q12" s="199"/>
      <c r="R12" s="197" t="s">
        <v>1962</v>
      </c>
      <c r="S12" s="198">
        <v>2</v>
      </c>
    </row>
    <row r="13" spans="1:19" ht="82.5" customHeight="1" thickBot="1" x14ac:dyDescent="0.3">
      <c r="A13" s="287"/>
      <c r="B13" s="219"/>
      <c r="C13" s="22" t="s">
        <v>26</v>
      </c>
      <c r="D13" s="53">
        <v>64.900000000000006</v>
      </c>
      <c r="E13" s="53">
        <v>64.900000000000006</v>
      </c>
      <c r="F13" s="53">
        <v>0</v>
      </c>
      <c r="G13" s="53">
        <v>64.900000000000006</v>
      </c>
      <c r="H13" s="53">
        <v>64.900000000000006</v>
      </c>
      <c r="I13" s="54">
        <f t="shared" ref="I13:I29" si="0">SUM(F13/E13)</f>
        <v>0</v>
      </c>
      <c r="J13" s="22" t="s">
        <v>27</v>
      </c>
      <c r="K13" s="24" t="s">
        <v>19</v>
      </c>
      <c r="L13" s="81">
        <v>1</v>
      </c>
      <c r="M13" s="108">
        <v>0</v>
      </c>
      <c r="N13" s="22" t="s">
        <v>1835</v>
      </c>
      <c r="O13" s="25" t="s">
        <v>1836</v>
      </c>
      <c r="Q13" s="200"/>
      <c r="R13" s="197" t="s">
        <v>1963</v>
      </c>
      <c r="S13" s="198">
        <v>4</v>
      </c>
    </row>
    <row r="14" spans="1:19" ht="25.5" customHeight="1" x14ac:dyDescent="0.25">
      <c r="A14" s="285" t="s">
        <v>28</v>
      </c>
      <c r="B14" s="217" t="s">
        <v>29</v>
      </c>
      <c r="C14" s="17"/>
      <c r="D14" s="51">
        <f>SUM(D15:D22)</f>
        <v>70</v>
      </c>
      <c r="E14" s="51">
        <f>SUM(E15:E22)</f>
        <v>70</v>
      </c>
      <c r="F14" s="51">
        <f>SUM(F15:F22)</f>
        <v>45.1</v>
      </c>
      <c r="G14" s="51">
        <f>SUM(G15:G22)</f>
        <v>25</v>
      </c>
      <c r="H14" s="51">
        <f>SUM(H15:H22)</f>
        <v>25</v>
      </c>
      <c r="I14" s="52">
        <f t="shared" si="0"/>
        <v>0.64428571428571435</v>
      </c>
      <c r="J14" s="217" t="s">
        <v>31</v>
      </c>
      <c r="K14" s="220" t="s">
        <v>19</v>
      </c>
      <c r="L14" s="281">
        <v>1</v>
      </c>
      <c r="M14" s="229">
        <v>1</v>
      </c>
      <c r="N14" s="217" t="s">
        <v>1732</v>
      </c>
      <c r="O14" s="226"/>
      <c r="Q14" s="202"/>
      <c r="R14" s="197" t="s">
        <v>1964</v>
      </c>
      <c r="S14" s="198"/>
    </row>
    <row r="15" spans="1:19" ht="30.75" customHeight="1" x14ac:dyDescent="0.25">
      <c r="A15" s="286"/>
      <c r="B15" s="218"/>
      <c r="C15" s="22" t="s">
        <v>30</v>
      </c>
      <c r="D15" s="53">
        <v>70</v>
      </c>
      <c r="E15" s="53">
        <v>70</v>
      </c>
      <c r="F15" s="53">
        <v>45.1</v>
      </c>
      <c r="G15" s="53">
        <v>25</v>
      </c>
      <c r="H15" s="53">
        <v>25</v>
      </c>
      <c r="I15" s="54">
        <f t="shared" si="0"/>
        <v>0.64428571428571435</v>
      </c>
      <c r="J15" s="238"/>
      <c r="K15" s="239"/>
      <c r="L15" s="282"/>
      <c r="M15" s="283"/>
      <c r="N15" s="238"/>
      <c r="O15" s="284"/>
      <c r="Q15" s="204"/>
      <c r="R15" s="197" t="s">
        <v>1965</v>
      </c>
      <c r="S15" s="198">
        <v>5</v>
      </c>
    </row>
    <row r="16" spans="1:19" ht="56.25" customHeight="1" x14ac:dyDescent="0.25">
      <c r="A16" s="286"/>
      <c r="B16" s="218"/>
      <c r="C16" s="22"/>
      <c r="D16" s="53"/>
      <c r="E16" s="53"/>
      <c r="F16" s="53"/>
      <c r="G16" s="53"/>
      <c r="H16" s="53"/>
      <c r="I16" s="55"/>
      <c r="J16" s="22" t="s">
        <v>32</v>
      </c>
      <c r="K16" s="24" t="s">
        <v>19</v>
      </c>
      <c r="L16" s="81">
        <v>1</v>
      </c>
      <c r="M16" s="108">
        <v>0</v>
      </c>
      <c r="N16" s="22"/>
      <c r="O16" s="25" t="s">
        <v>1837</v>
      </c>
      <c r="Q16" s="194"/>
      <c r="R16" s="205" t="s">
        <v>1966</v>
      </c>
      <c r="S16" s="198">
        <f>+SUM(S11:S15)</f>
        <v>11</v>
      </c>
    </row>
    <row r="17" spans="1:15" ht="66" customHeight="1" x14ac:dyDescent="0.25">
      <c r="A17" s="286"/>
      <c r="B17" s="218"/>
      <c r="C17" s="22"/>
      <c r="D17" s="53"/>
      <c r="E17" s="53"/>
      <c r="F17" s="53"/>
      <c r="G17" s="53"/>
      <c r="H17" s="53"/>
      <c r="I17" s="55"/>
      <c r="J17" s="22" t="s">
        <v>33</v>
      </c>
      <c r="K17" s="24" t="s">
        <v>19</v>
      </c>
      <c r="L17" s="24">
        <v>1</v>
      </c>
      <c r="M17" s="108">
        <v>0</v>
      </c>
      <c r="N17" s="22" t="s">
        <v>1838</v>
      </c>
      <c r="O17" s="25" t="s">
        <v>1839</v>
      </c>
    </row>
    <row r="18" spans="1:15" ht="38.25" x14ac:dyDescent="0.25">
      <c r="A18" s="286"/>
      <c r="B18" s="218"/>
      <c r="C18" s="22"/>
      <c r="D18" s="53"/>
      <c r="E18" s="53"/>
      <c r="F18" s="53"/>
      <c r="G18" s="53"/>
      <c r="H18" s="53"/>
      <c r="I18" s="55"/>
      <c r="J18" s="22" t="s">
        <v>34</v>
      </c>
      <c r="K18" s="24" t="s">
        <v>19</v>
      </c>
      <c r="L18" s="24">
        <v>1</v>
      </c>
      <c r="M18" s="112">
        <v>1</v>
      </c>
      <c r="N18" s="22" t="s">
        <v>1840</v>
      </c>
      <c r="O18" s="25"/>
    </row>
    <row r="19" spans="1:15" ht="38.25" x14ac:dyDescent="0.25">
      <c r="A19" s="286"/>
      <c r="B19" s="218"/>
      <c r="C19" s="22"/>
      <c r="D19" s="53"/>
      <c r="E19" s="53"/>
      <c r="F19" s="53"/>
      <c r="G19" s="53"/>
      <c r="H19" s="53"/>
      <c r="I19" s="55"/>
      <c r="J19" s="22" t="s">
        <v>35</v>
      </c>
      <c r="K19" s="24" t="s">
        <v>19</v>
      </c>
      <c r="L19" s="24">
        <v>20</v>
      </c>
      <c r="M19" s="108">
        <v>0</v>
      </c>
      <c r="N19" s="22"/>
      <c r="O19" s="25" t="s">
        <v>1863</v>
      </c>
    </row>
    <row r="20" spans="1:15" ht="63.75" x14ac:dyDescent="0.25">
      <c r="A20" s="286"/>
      <c r="B20" s="218"/>
      <c r="C20" s="22"/>
      <c r="D20" s="53"/>
      <c r="E20" s="53"/>
      <c r="F20" s="53"/>
      <c r="G20" s="53"/>
      <c r="H20" s="53"/>
      <c r="I20" s="55"/>
      <c r="J20" s="22" t="s">
        <v>36</v>
      </c>
      <c r="K20" s="24" t="s">
        <v>19</v>
      </c>
      <c r="L20" s="24">
        <v>1</v>
      </c>
      <c r="M20" s="112">
        <v>1</v>
      </c>
      <c r="N20" s="22" t="s">
        <v>1841</v>
      </c>
      <c r="O20" s="25" t="s">
        <v>1842</v>
      </c>
    </row>
    <row r="21" spans="1:15" ht="51" x14ac:dyDescent="0.25">
      <c r="A21" s="286"/>
      <c r="B21" s="218"/>
      <c r="C21" s="22"/>
      <c r="D21" s="53"/>
      <c r="E21" s="53"/>
      <c r="F21" s="53"/>
      <c r="G21" s="53"/>
      <c r="H21" s="53"/>
      <c r="I21" s="56"/>
      <c r="J21" s="22" t="s">
        <v>37</v>
      </c>
      <c r="K21" s="24" t="s">
        <v>19</v>
      </c>
      <c r="L21" s="24">
        <v>1</v>
      </c>
      <c r="M21" s="112">
        <v>1</v>
      </c>
      <c r="N21" s="22" t="s">
        <v>1733</v>
      </c>
      <c r="O21" s="25"/>
    </row>
    <row r="22" spans="1:15" ht="39" thickBot="1" x14ac:dyDescent="0.3">
      <c r="A22" s="287"/>
      <c r="B22" s="219"/>
      <c r="C22" s="22"/>
      <c r="D22" s="53"/>
      <c r="E22" s="53"/>
      <c r="F22" s="53"/>
      <c r="G22" s="53"/>
      <c r="H22" s="53"/>
      <c r="I22" s="57"/>
      <c r="J22" s="22" t="s">
        <v>38</v>
      </c>
      <c r="K22" s="24" t="s">
        <v>19</v>
      </c>
      <c r="L22" s="24">
        <v>20</v>
      </c>
      <c r="M22" s="108">
        <v>0</v>
      </c>
      <c r="N22" s="22" t="s">
        <v>1734</v>
      </c>
      <c r="O22" s="25" t="s">
        <v>1843</v>
      </c>
    </row>
    <row r="23" spans="1:15" ht="38.25" x14ac:dyDescent="0.25">
      <c r="A23" s="291" t="s">
        <v>39</v>
      </c>
      <c r="B23" s="217" t="s">
        <v>40</v>
      </c>
      <c r="C23" s="17" t="s">
        <v>26</v>
      </c>
      <c r="D23" s="51">
        <f>SUM(D24:D24)+10.4</f>
        <v>10.4</v>
      </c>
      <c r="E23" s="51">
        <f>SUM(E24:E24)+10.4</f>
        <v>10.4</v>
      </c>
      <c r="F23" s="51">
        <f>SUM(F24:F24)</f>
        <v>0</v>
      </c>
      <c r="G23" s="51">
        <f>SUM(G24:G24)+10.4</f>
        <v>10.4</v>
      </c>
      <c r="H23" s="51">
        <f>SUM(H24:H24)+10.4</f>
        <v>10.4</v>
      </c>
      <c r="I23" s="58">
        <f t="shared" si="0"/>
        <v>0</v>
      </c>
      <c r="J23" s="17" t="s">
        <v>41</v>
      </c>
      <c r="K23" s="18" t="s">
        <v>25</v>
      </c>
      <c r="L23" s="18">
        <v>1</v>
      </c>
      <c r="M23" s="107">
        <v>0</v>
      </c>
      <c r="N23" s="17" t="s">
        <v>1735</v>
      </c>
      <c r="O23" s="19" t="s">
        <v>1844</v>
      </c>
    </row>
    <row r="24" spans="1:15" ht="33.75" customHeight="1" thickBot="1" x14ac:dyDescent="0.3">
      <c r="A24" s="292"/>
      <c r="B24" s="219"/>
      <c r="C24" s="22"/>
      <c r="D24" s="53"/>
      <c r="E24" s="53"/>
      <c r="F24" s="53"/>
      <c r="G24" s="53"/>
      <c r="H24" s="53"/>
      <c r="I24" s="57"/>
      <c r="J24" s="22" t="s">
        <v>42</v>
      </c>
      <c r="K24" s="24" t="s">
        <v>19</v>
      </c>
      <c r="L24" s="24">
        <v>1</v>
      </c>
      <c r="M24" s="108">
        <v>0</v>
      </c>
      <c r="N24" s="22" t="s">
        <v>1736</v>
      </c>
      <c r="O24" s="25" t="s">
        <v>1845</v>
      </c>
    </row>
    <row r="25" spans="1:15" ht="38.25" customHeight="1" x14ac:dyDescent="0.25">
      <c r="A25" s="285" t="s">
        <v>43</v>
      </c>
      <c r="B25" s="217" t="s">
        <v>44</v>
      </c>
      <c r="C25" s="17"/>
      <c r="D25" s="51">
        <f>SUM(D26:D27)</f>
        <v>45</v>
      </c>
      <c r="E25" s="51">
        <f>SUM(E26:E27)</f>
        <v>45</v>
      </c>
      <c r="F25" s="51">
        <f>SUM(F26:F27)-0.1</f>
        <v>31.4</v>
      </c>
      <c r="G25" s="51">
        <f>SUM(G26:G27)+0.1</f>
        <v>13.6</v>
      </c>
      <c r="H25" s="51">
        <f>SUM(H26:H27)+0.1</f>
        <v>13.6</v>
      </c>
      <c r="I25" s="54">
        <f t="shared" si="0"/>
        <v>0.69777777777777772</v>
      </c>
      <c r="J25" s="217" t="s">
        <v>45</v>
      </c>
      <c r="K25" s="220" t="s">
        <v>19</v>
      </c>
      <c r="L25" s="220">
        <v>100</v>
      </c>
      <c r="M25" s="232">
        <v>60</v>
      </c>
      <c r="N25" s="217" t="s">
        <v>1737</v>
      </c>
      <c r="O25" s="235" t="s">
        <v>1846</v>
      </c>
    </row>
    <row r="26" spans="1:15" x14ac:dyDescent="0.25">
      <c r="A26" s="286"/>
      <c r="B26" s="218"/>
      <c r="C26" s="22" t="s">
        <v>30</v>
      </c>
      <c r="D26" s="53">
        <v>30</v>
      </c>
      <c r="E26" s="53">
        <v>30</v>
      </c>
      <c r="F26" s="53">
        <v>22.2</v>
      </c>
      <c r="G26" s="53">
        <v>7.8</v>
      </c>
      <c r="H26" s="53">
        <v>7.8</v>
      </c>
      <c r="I26" s="58">
        <f t="shared" si="0"/>
        <v>0.74</v>
      </c>
      <c r="J26" s="218"/>
      <c r="K26" s="221"/>
      <c r="L26" s="221"/>
      <c r="M26" s="233"/>
      <c r="N26" s="218"/>
      <c r="O26" s="236"/>
    </row>
    <row r="27" spans="1:15" ht="15.75" thickBot="1" x14ac:dyDescent="0.3">
      <c r="A27" s="287"/>
      <c r="B27" s="219"/>
      <c r="C27" s="22" t="s">
        <v>26</v>
      </c>
      <c r="D27" s="53">
        <v>15</v>
      </c>
      <c r="E27" s="53">
        <v>15</v>
      </c>
      <c r="F27" s="53">
        <v>9.3000000000000007</v>
      </c>
      <c r="G27" s="53">
        <v>5.7</v>
      </c>
      <c r="H27" s="53">
        <v>5.7</v>
      </c>
      <c r="I27" s="59">
        <f t="shared" si="0"/>
        <v>0.62</v>
      </c>
      <c r="J27" s="219"/>
      <c r="K27" s="222"/>
      <c r="L27" s="222"/>
      <c r="M27" s="234"/>
      <c r="N27" s="219"/>
      <c r="O27" s="237"/>
    </row>
    <row r="28" spans="1:15" ht="39" thickBot="1" x14ac:dyDescent="0.3">
      <c r="A28" s="12" t="s">
        <v>46</v>
      </c>
      <c r="B28" s="13" t="s">
        <v>47</v>
      </c>
      <c r="C28" s="14"/>
      <c r="D28" s="49">
        <f>D29+D35+D36</f>
        <v>729</v>
      </c>
      <c r="E28" s="49">
        <f>E29+E35+E36</f>
        <v>729</v>
      </c>
      <c r="F28" s="49">
        <f>F29+F35+F36</f>
        <v>652.9</v>
      </c>
      <c r="G28" s="49">
        <f>G29+G35+G36</f>
        <v>76.100000000000009</v>
      </c>
      <c r="H28" s="49">
        <f>H29+H35+H36</f>
        <v>76.100000000000009</v>
      </c>
      <c r="I28" s="60">
        <f>SUM(F28/E28)</f>
        <v>0.89561042524005485</v>
      </c>
      <c r="J28" s="263"/>
      <c r="K28" s="264"/>
      <c r="L28" s="264"/>
      <c r="M28" s="264"/>
      <c r="N28" s="264"/>
      <c r="O28" s="265"/>
    </row>
    <row r="29" spans="1:15" x14ac:dyDescent="0.25">
      <c r="A29" s="285" t="s">
        <v>48</v>
      </c>
      <c r="B29" s="217" t="s">
        <v>49</v>
      </c>
      <c r="C29" s="17" t="s">
        <v>26</v>
      </c>
      <c r="D29" s="51">
        <f>SUM(D30:D34)+25.6</f>
        <v>25.6</v>
      </c>
      <c r="E29" s="51">
        <f>SUM(E30:E34)+25.6</f>
        <v>25.6</v>
      </c>
      <c r="F29" s="51">
        <f>SUM(F30:F34)+23.5</f>
        <v>23.5</v>
      </c>
      <c r="G29" s="51">
        <f>SUM(G30:G34)+2.1</f>
        <v>2.1</v>
      </c>
      <c r="H29" s="51">
        <f>SUM(H30:H34)+2.1</f>
        <v>2.1</v>
      </c>
      <c r="I29" s="54">
        <f t="shared" si="0"/>
        <v>0.91796875</v>
      </c>
      <c r="J29" s="217" t="s">
        <v>50</v>
      </c>
      <c r="K29" s="220" t="s">
        <v>25</v>
      </c>
      <c r="L29" s="220">
        <v>100</v>
      </c>
      <c r="M29" s="232">
        <v>50</v>
      </c>
      <c r="N29" s="217" t="s">
        <v>1847</v>
      </c>
      <c r="O29" s="235" t="s">
        <v>1848</v>
      </c>
    </row>
    <row r="30" spans="1:15" ht="51" customHeight="1" x14ac:dyDescent="0.25">
      <c r="A30" s="286"/>
      <c r="B30" s="218"/>
      <c r="C30" s="22"/>
      <c r="D30" s="53"/>
      <c r="E30" s="53"/>
      <c r="F30" s="53"/>
      <c r="G30" s="53"/>
      <c r="H30" s="53"/>
      <c r="I30" s="55"/>
      <c r="J30" s="238"/>
      <c r="K30" s="239"/>
      <c r="L30" s="239"/>
      <c r="M30" s="240"/>
      <c r="N30" s="238"/>
      <c r="O30" s="241"/>
    </row>
    <row r="31" spans="1:15" ht="25.5" x14ac:dyDescent="0.25">
      <c r="A31" s="286"/>
      <c r="B31" s="218"/>
      <c r="C31" s="22"/>
      <c r="D31" s="53"/>
      <c r="E31" s="53"/>
      <c r="F31" s="53"/>
      <c r="G31" s="53"/>
      <c r="H31" s="53"/>
      <c r="I31" s="55"/>
      <c r="J31" s="22" t="s">
        <v>51</v>
      </c>
      <c r="K31" s="24" t="s">
        <v>19</v>
      </c>
      <c r="L31" s="24">
        <v>1</v>
      </c>
      <c r="M31" s="112">
        <v>1</v>
      </c>
      <c r="N31" s="22" t="s">
        <v>847</v>
      </c>
      <c r="O31" s="25"/>
    </row>
    <row r="32" spans="1:15" ht="25.5" x14ac:dyDescent="0.25">
      <c r="A32" s="286"/>
      <c r="B32" s="218"/>
      <c r="C32" s="22"/>
      <c r="D32" s="53"/>
      <c r="E32" s="53"/>
      <c r="F32" s="53"/>
      <c r="G32" s="53"/>
      <c r="H32" s="53"/>
      <c r="I32" s="55"/>
      <c r="J32" s="22" t="s">
        <v>52</v>
      </c>
      <c r="K32" s="24" t="s">
        <v>19</v>
      </c>
      <c r="L32" s="24">
        <v>1</v>
      </c>
      <c r="M32" s="108">
        <v>0</v>
      </c>
      <c r="N32" s="22"/>
      <c r="O32" s="25" t="s">
        <v>1849</v>
      </c>
    </row>
    <row r="33" spans="1:15" ht="63.75" x14ac:dyDescent="0.25">
      <c r="A33" s="286"/>
      <c r="B33" s="218"/>
      <c r="C33" s="22"/>
      <c r="D33" s="53"/>
      <c r="E33" s="53"/>
      <c r="F33" s="53"/>
      <c r="G33" s="53"/>
      <c r="H33" s="53"/>
      <c r="I33" s="56"/>
      <c r="J33" s="22" t="s">
        <v>53</v>
      </c>
      <c r="K33" s="24" t="s">
        <v>25</v>
      </c>
      <c r="L33" s="24">
        <v>100</v>
      </c>
      <c r="M33" s="108">
        <v>0</v>
      </c>
      <c r="N33" s="22"/>
      <c r="O33" s="25" t="s">
        <v>1850</v>
      </c>
    </row>
    <row r="34" spans="1:15" ht="77.25" thickBot="1" x14ac:dyDescent="0.3">
      <c r="A34" s="287"/>
      <c r="B34" s="219"/>
      <c r="C34" s="22"/>
      <c r="D34" s="53"/>
      <c r="E34" s="53"/>
      <c r="F34" s="53"/>
      <c r="G34" s="53"/>
      <c r="H34" s="53"/>
      <c r="I34" s="57"/>
      <c r="J34" s="22" t="s">
        <v>54</v>
      </c>
      <c r="K34" s="24" t="s">
        <v>19</v>
      </c>
      <c r="L34" s="24">
        <v>1</v>
      </c>
      <c r="M34" s="108">
        <v>0</v>
      </c>
      <c r="N34" s="22" t="s">
        <v>1864</v>
      </c>
      <c r="O34" s="25" t="s">
        <v>1865</v>
      </c>
    </row>
    <row r="35" spans="1:15" ht="64.5" thickBot="1" x14ac:dyDescent="0.3">
      <c r="A35" s="15" t="s">
        <v>55</v>
      </c>
      <c r="B35" s="16" t="s">
        <v>56</v>
      </c>
      <c r="C35" s="17" t="s">
        <v>26</v>
      </c>
      <c r="D35" s="61">
        <v>1</v>
      </c>
      <c r="E35" s="61">
        <v>1</v>
      </c>
      <c r="F35" s="61">
        <v>0</v>
      </c>
      <c r="G35" s="61">
        <v>1</v>
      </c>
      <c r="H35" s="61">
        <v>1</v>
      </c>
      <c r="I35" s="62">
        <f t="shared" ref="I35:I36" si="1">SUM(F35/E35)</f>
        <v>0</v>
      </c>
      <c r="J35" s="17" t="s">
        <v>57</v>
      </c>
      <c r="K35" s="18" t="s">
        <v>19</v>
      </c>
      <c r="L35" s="18">
        <v>1</v>
      </c>
      <c r="M35" s="107">
        <v>0</v>
      </c>
      <c r="N35" s="17"/>
      <c r="O35" s="19" t="s">
        <v>1851</v>
      </c>
    </row>
    <row r="36" spans="1:15" ht="51" x14ac:dyDescent="0.25">
      <c r="A36" s="285" t="s">
        <v>58</v>
      </c>
      <c r="B36" s="217" t="s">
        <v>59</v>
      </c>
      <c r="C36" s="17"/>
      <c r="D36" s="51">
        <f>D37+D38+D39+D45+D46</f>
        <v>702.4</v>
      </c>
      <c r="E36" s="51">
        <f>E37+E38+E39+E45+E46</f>
        <v>702.4</v>
      </c>
      <c r="F36" s="51">
        <f>F37+F38+F39+F45+F46+0.1</f>
        <v>629.4</v>
      </c>
      <c r="G36" s="51">
        <f>G37+G38+G39+G45+G46-0.1</f>
        <v>73.000000000000014</v>
      </c>
      <c r="H36" s="51">
        <f>H37+H38+H39+H45+H46-0.1</f>
        <v>73.000000000000014</v>
      </c>
      <c r="I36" s="54">
        <f t="shared" si="1"/>
        <v>0.89607061503416852</v>
      </c>
      <c r="J36" s="17" t="s">
        <v>60</v>
      </c>
      <c r="K36" s="18" t="s">
        <v>19</v>
      </c>
      <c r="L36" s="18">
        <v>6</v>
      </c>
      <c r="M36" s="113">
        <v>3</v>
      </c>
      <c r="N36" s="17" t="s">
        <v>1852</v>
      </c>
      <c r="O36" s="19"/>
    </row>
    <row r="37" spans="1:15" ht="102" x14ac:dyDescent="0.25">
      <c r="A37" s="286"/>
      <c r="B37" s="218"/>
      <c r="C37" s="22"/>
      <c r="D37" s="53"/>
      <c r="E37" s="53"/>
      <c r="F37" s="53"/>
      <c r="G37" s="53"/>
      <c r="H37" s="53"/>
      <c r="I37" s="56"/>
      <c r="J37" s="22" t="s">
        <v>61</v>
      </c>
      <c r="K37" s="24" t="s">
        <v>25</v>
      </c>
      <c r="L37" s="183">
        <v>100</v>
      </c>
      <c r="M37" s="190">
        <v>89</v>
      </c>
      <c r="N37" s="22" t="s">
        <v>1854</v>
      </c>
      <c r="O37" s="25" t="s">
        <v>1853</v>
      </c>
    </row>
    <row r="38" spans="1:15" ht="77.25" thickBot="1" x14ac:dyDescent="0.3">
      <c r="A38" s="287"/>
      <c r="B38" s="219"/>
      <c r="C38" s="22"/>
      <c r="D38" s="53"/>
      <c r="E38" s="53"/>
      <c r="F38" s="53"/>
      <c r="G38" s="53"/>
      <c r="H38" s="53"/>
      <c r="I38" s="57"/>
      <c r="J38" s="22" t="s">
        <v>62</v>
      </c>
      <c r="K38" s="24" t="s">
        <v>19</v>
      </c>
      <c r="L38" s="24">
        <v>10</v>
      </c>
      <c r="M38" s="112">
        <v>10</v>
      </c>
      <c r="N38" s="22" t="s">
        <v>1855</v>
      </c>
      <c r="O38" s="25"/>
    </row>
    <row r="39" spans="1:15" ht="242.25" x14ac:dyDescent="0.25">
      <c r="A39" s="285" t="s">
        <v>63</v>
      </c>
      <c r="B39" s="217" t="s">
        <v>64</v>
      </c>
      <c r="C39" s="17" t="s">
        <v>26</v>
      </c>
      <c r="D39" s="51">
        <f>SUM(D40:D44)+105</f>
        <v>105</v>
      </c>
      <c r="E39" s="51">
        <f>SUM(E40:E44)+105</f>
        <v>105</v>
      </c>
      <c r="F39" s="51">
        <f>SUM(F40:F44)+71.8</f>
        <v>71.8</v>
      </c>
      <c r="G39" s="51">
        <f>SUM(G40:G44)+33.2</f>
        <v>33.200000000000003</v>
      </c>
      <c r="H39" s="51">
        <f>SUM(H40:H44)+33.2</f>
        <v>33.200000000000003</v>
      </c>
      <c r="I39" s="54">
        <f t="shared" ref="I39" si="2">SUM(F39/E39)</f>
        <v>0.68380952380952376</v>
      </c>
      <c r="J39" s="17" t="s">
        <v>65</v>
      </c>
      <c r="K39" s="18" t="s">
        <v>19</v>
      </c>
      <c r="L39" s="18">
        <v>1</v>
      </c>
      <c r="M39" s="107">
        <v>0</v>
      </c>
      <c r="N39" s="17" t="s">
        <v>1738</v>
      </c>
      <c r="O39" s="19" t="s">
        <v>1856</v>
      </c>
    </row>
    <row r="40" spans="1:15" ht="25.5" x14ac:dyDescent="0.25">
      <c r="A40" s="286"/>
      <c r="B40" s="218"/>
      <c r="C40" s="22"/>
      <c r="D40" s="53"/>
      <c r="E40" s="53"/>
      <c r="F40" s="53"/>
      <c r="G40" s="53"/>
      <c r="H40" s="53"/>
      <c r="I40" s="55"/>
      <c r="J40" s="22" t="s">
        <v>66</v>
      </c>
      <c r="K40" s="24" t="s">
        <v>19</v>
      </c>
      <c r="L40" s="24">
        <v>1</v>
      </c>
      <c r="M40" s="112">
        <v>1</v>
      </c>
      <c r="N40" s="22" t="s">
        <v>1739</v>
      </c>
      <c r="O40" s="25" t="s">
        <v>1857</v>
      </c>
    </row>
    <row r="41" spans="1:15" ht="102" x14ac:dyDescent="0.25">
      <c r="A41" s="286"/>
      <c r="B41" s="218"/>
      <c r="C41" s="22"/>
      <c r="D41" s="53"/>
      <c r="E41" s="53"/>
      <c r="F41" s="53"/>
      <c r="G41" s="53"/>
      <c r="H41" s="53"/>
      <c r="I41" s="55"/>
      <c r="J41" s="22" t="s">
        <v>67</v>
      </c>
      <c r="K41" s="24" t="s">
        <v>19</v>
      </c>
      <c r="L41" s="24">
        <v>1</v>
      </c>
      <c r="M41" s="163">
        <v>0</v>
      </c>
      <c r="N41" s="22" t="s">
        <v>1740</v>
      </c>
      <c r="O41" s="25" t="s">
        <v>1741</v>
      </c>
    </row>
    <row r="42" spans="1:15" ht="51" x14ac:dyDescent="0.25">
      <c r="A42" s="286"/>
      <c r="B42" s="218"/>
      <c r="C42" s="22"/>
      <c r="D42" s="53"/>
      <c r="E42" s="53"/>
      <c r="F42" s="53"/>
      <c r="G42" s="53"/>
      <c r="H42" s="53"/>
      <c r="I42" s="55"/>
      <c r="J42" s="22" t="s">
        <v>68</v>
      </c>
      <c r="K42" s="24" t="s">
        <v>19</v>
      </c>
      <c r="L42" s="24">
        <v>2</v>
      </c>
      <c r="M42" s="164">
        <v>2</v>
      </c>
      <c r="N42" s="22" t="s">
        <v>1742</v>
      </c>
      <c r="O42" s="25"/>
    </row>
    <row r="43" spans="1:15" ht="38.25" x14ac:dyDescent="0.25">
      <c r="A43" s="286"/>
      <c r="B43" s="218"/>
      <c r="C43" s="22"/>
      <c r="D43" s="53"/>
      <c r="E43" s="53"/>
      <c r="F43" s="53"/>
      <c r="G43" s="53"/>
      <c r="H43" s="53"/>
      <c r="I43" s="56"/>
      <c r="J43" s="22" t="s">
        <v>69</v>
      </c>
      <c r="K43" s="24" t="s">
        <v>19</v>
      </c>
      <c r="L43" s="24">
        <v>1</v>
      </c>
      <c r="M43" s="164">
        <v>1</v>
      </c>
      <c r="N43" s="22" t="s">
        <v>70</v>
      </c>
      <c r="O43" s="25" t="s">
        <v>1858</v>
      </c>
    </row>
    <row r="44" spans="1:15" ht="51.75" thickBot="1" x14ac:dyDescent="0.3">
      <c r="A44" s="287"/>
      <c r="B44" s="219"/>
      <c r="C44" s="22"/>
      <c r="D44" s="53"/>
      <c r="E44" s="53"/>
      <c r="F44" s="53"/>
      <c r="G44" s="53"/>
      <c r="H44" s="53"/>
      <c r="I44" s="57"/>
      <c r="J44" s="22" t="s">
        <v>71</v>
      </c>
      <c r="K44" s="24" t="s">
        <v>19</v>
      </c>
      <c r="L44" s="24">
        <v>1</v>
      </c>
      <c r="M44" s="164">
        <v>1</v>
      </c>
      <c r="N44" s="114" t="s">
        <v>1743</v>
      </c>
      <c r="O44" s="25" t="s">
        <v>1744</v>
      </c>
    </row>
    <row r="45" spans="1:15" ht="39" thickBot="1" x14ac:dyDescent="0.3">
      <c r="A45" s="15" t="s">
        <v>72</v>
      </c>
      <c r="B45" s="16" t="s">
        <v>73</v>
      </c>
      <c r="C45" s="17" t="s">
        <v>26</v>
      </c>
      <c r="D45" s="61">
        <v>200</v>
      </c>
      <c r="E45" s="61">
        <v>200</v>
      </c>
      <c r="F45" s="61">
        <v>179.4</v>
      </c>
      <c r="G45" s="61">
        <v>20.6</v>
      </c>
      <c r="H45" s="61">
        <v>20.6</v>
      </c>
      <c r="I45" s="63">
        <f t="shared" ref="I45:I46" si="3">SUM(F45/E45)</f>
        <v>0.89700000000000002</v>
      </c>
      <c r="J45" s="17" t="s">
        <v>71</v>
      </c>
      <c r="K45" s="18" t="s">
        <v>25</v>
      </c>
      <c r="L45" s="18">
        <v>100</v>
      </c>
      <c r="M45" s="206">
        <v>88.89</v>
      </c>
      <c r="N45" s="178"/>
      <c r="O45" s="19" t="s">
        <v>1933</v>
      </c>
    </row>
    <row r="46" spans="1:15" ht="77.25" thickBot="1" x14ac:dyDescent="0.3">
      <c r="A46" s="15" t="s">
        <v>74</v>
      </c>
      <c r="B46" s="16" t="s">
        <v>75</v>
      </c>
      <c r="C46" s="17" t="s">
        <v>26</v>
      </c>
      <c r="D46" s="61">
        <v>397.4</v>
      </c>
      <c r="E46" s="61">
        <v>397.4</v>
      </c>
      <c r="F46" s="61">
        <v>378.1</v>
      </c>
      <c r="G46" s="61">
        <v>19.3</v>
      </c>
      <c r="H46" s="61">
        <v>19.3</v>
      </c>
      <c r="I46" s="62">
        <f t="shared" si="3"/>
        <v>0.95143432310015108</v>
      </c>
      <c r="J46" s="17" t="s">
        <v>76</v>
      </c>
      <c r="K46" s="18" t="s">
        <v>19</v>
      </c>
      <c r="L46" s="18">
        <v>10</v>
      </c>
      <c r="M46" s="115">
        <v>10</v>
      </c>
      <c r="N46" s="17" t="s">
        <v>1745</v>
      </c>
      <c r="O46" s="19"/>
    </row>
    <row r="47" spans="1:15" ht="26.25" thickBot="1" x14ac:dyDescent="0.3">
      <c r="A47" s="12" t="s">
        <v>77</v>
      </c>
      <c r="B47" s="13" t="s">
        <v>78</v>
      </c>
      <c r="C47" s="14"/>
      <c r="D47" s="49">
        <f>D48+D52</f>
        <v>140</v>
      </c>
      <c r="E47" s="49">
        <f>E48+E52</f>
        <v>140</v>
      </c>
      <c r="F47" s="49">
        <f>F48+F52</f>
        <v>22.8</v>
      </c>
      <c r="G47" s="49">
        <f>G48+G52</f>
        <v>117.2</v>
      </c>
      <c r="H47" s="49">
        <f>H48+H52</f>
        <v>117.2</v>
      </c>
      <c r="I47" s="60">
        <f>SUM(F47/E47)</f>
        <v>0.16285714285714287</v>
      </c>
      <c r="J47" s="263"/>
      <c r="K47" s="264"/>
      <c r="L47" s="264"/>
      <c r="M47" s="264"/>
      <c r="N47" s="264"/>
      <c r="O47" s="265"/>
    </row>
    <row r="48" spans="1:15" ht="25.5" customHeight="1" x14ac:dyDescent="0.25">
      <c r="A48" s="285" t="s">
        <v>79</v>
      </c>
      <c r="B48" s="217" t="s">
        <v>80</v>
      </c>
      <c r="C48" s="17" t="s">
        <v>26</v>
      </c>
      <c r="D48" s="51">
        <f>SUM(D49:D51)+130</f>
        <v>130</v>
      </c>
      <c r="E48" s="51">
        <f>SUM(E49:E51)+130</f>
        <v>130</v>
      </c>
      <c r="F48" s="51">
        <f>SUM(F49:F51)+22.8</f>
        <v>22.8</v>
      </c>
      <c r="G48" s="51">
        <f>SUM(G49:G51)+107.2</f>
        <v>107.2</v>
      </c>
      <c r="H48" s="51">
        <f>SUM(H49:H51)+107.2</f>
        <v>107.2</v>
      </c>
      <c r="I48" s="54">
        <f t="shared" ref="I48" si="4">SUM(F48/E48)</f>
        <v>0.17538461538461539</v>
      </c>
      <c r="J48" s="217" t="s">
        <v>81</v>
      </c>
      <c r="K48" s="220" t="s">
        <v>19</v>
      </c>
      <c r="L48" s="220">
        <v>1</v>
      </c>
      <c r="M48" s="242">
        <v>0</v>
      </c>
      <c r="N48" s="220"/>
      <c r="O48" s="235" t="s">
        <v>1866</v>
      </c>
    </row>
    <row r="49" spans="1:19" ht="81.75" customHeight="1" x14ac:dyDescent="0.25">
      <c r="A49" s="286"/>
      <c r="B49" s="218"/>
      <c r="C49" s="22"/>
      <c r="D49" s="53"/>
      <c r="E49" s="53"/>
      <c r="F49" s="53"/>
      <c r="G49" s="53"/>
      <c r="H49" s="53"/>
      <c r="I49" s="55"/>
      <c r="J49" s="238"/>
      <c r="K49" s="239"/>
      <c r="L49" s="239"/>
      <c r="M49" s="243"/>
      <c r="N49" s="239"/>
      <c r="O49" s="241"/>
    </row>
    <row r="50" spans="1:19" ht="211.5" customHeight="1" x14ac:dyDescent="0.25">
      <c r="A50" s="286"/>
      <c r="B50" s="218"/>
      <c r="C50" s="22"/>
      <c r="D50" s="53"/>
      <c r="E50" s="53"/>
      <c r="F50" s="53"/>
      <c r="G50" s="53"/>
      <c r="H50" s="53"/>
      <c r="I50" s="56"/>
      <c r="J50" s="22" t="s">
        <v>82</v>
      </c>
      <c r="K50" s="24" t="s">
        <v>19</v>
      </c>
      <c r="L50" s="24">
        <v>1</v>
      </c>
      <c r="M50" s="108">
        <v>0</v>
      </c>
      <c r="N50" s="22"/>
      <c r="O50" s="25" t="s">
        <v>1867</v>
      </c>
    </row>
    <row r="51" spans="1:19" ht="26.25" thickBot="1" x14ac:dyDescent="0.3">
      <c r="A51" s="287"/>
      <c r="B51" s="219"/>
      <c r="C51" s="22"/>
      <c r="D51" s="53"/>
      <c r="E51" s="53"/>
      <c r="F51" s="53"/>
      <c r="G51" s="53"/>
      <c r="H51" s="53"/>
      <c r="I51" s="57"/>
      <c r="J51" s="22" t="s">
        <v>83</v>
      </c>
      <c r="K51" s="24" t="s">
        <v>19</v>
      </c>
      <c r="L51" s="24">
        <v>1</v>
      </c>
      <c r="M51" s="164">
        <v>1</v>
      </c>
      <c r="N51" s="22" t="s">
        <v>1746</v>
      </c>
      <c r="O51" s="25"/>
    </row>
    <row r="52" spans="1:19" ht="51.75" thickBot="1" x14ac:dyDescent="0.3">
      <c r="A52" s="15" t="s">
        <v>84</v>
      </c>
      <c r="B52" s="16" t="s">
        <v>85</v>
      </c>
      <c r="C52" s="17" t="s">
        <v>26</v>
      </c>
      <c r="D52" s="61">
        <v>10</v>
      </c>
      <c r="E52" s="61">
        <v>10</v>
      </c>
      <c r="F52" s="61">
        <v>0</v>
      </c>
      <c r="G52" s="61">
        <v>10</v>
      </c>
      <c r="H52" s="61">
        <v>10</v>
      </c>
      <c r="I52" s="63">
        <f t="shared" ref="I52" si="5">SUM(F52/E52)</f>
        <v>0</v>
      </c>
      <c r="J52" s="17" t="s">
        <v>86</v>
      </c>
      <c r="K52" s="18" t="s">
        <v>19</v>
      </c>
      <c r="L52" s="18">
        <v>2</v>
      </c>
      <c r="M52" s="113">
        <v>1</v>
      </c>
      <c r="N52" s="17" t="s">
        <v>1859</v>
      </c>
      <c r="O52" s="19" t="s">
        <v>1860</v>
      </c>
    </row>
    <row r="53" spans="1:19" ht="26.25" thickBot="1" x14ac:dyDescent="0.3">
      <c r="A53" s="12" t="s">
        <v>87</v>
      </c>
      <c r="B53" s="13" t="s">
        <v>88</v>
      </c>
      <c r="C53" s="14"/>
      <c r="D53" s="49">
        <f>SUM(D54:D55)</f>
        <v>23</v>
      </c>
      <c r="E53" s="49">
        <f>SUM(E54:E55)</f>
        <v>23</v>
      </c>
      <c r="F53" s="49">
        <f>SUM(F54:F55)</f>
        <v>10.1</v>
      </c>
      <c r="G53" s="49">
        <f>SUM(G54:G55)</f>
        <v>12.899999999999999</v>
      </c>
      <c r="H53" s="49">
        <f>SUM(H54:H55)</f>
        <v>12.899999999999999</v>
      </c>
      <c r="I53" s="60">
        <f>SUM(F53/E53)</f>
        <v>0.43913043478260866</v>
      </c>
      <c r="J53" s="263"/>
      <c r="K53" s="264"/>
      <c r="L53" s="264"/>
      <c r="M53" s="264"/>
      <c r="N53" s="264"/>
      <c r="O53" s="265"/>
    </row>
    <row r="54" spans="1:19" ht="39" thickBot="1" x14ac:dyDescent="0.3">
      <c r="A54" s="15" t="s">
        <v>89</v>
      </c>
      <c r="B54" s="16" t="s">
        <v>90</v>
      </c>
      <c r="C54" s="17" t="s">
        <v>26</v>
      </c>
      <c r="D54" s="61">
        <v>13</v>
      </c>
      <c r="E54" s="61">
        <v>13</v>
      </c>
      <c r="F54" s="61">
        <v>8.6999999999999993</v>
      </c>
      <c r="G54" s="61">
        <v>4.3</v>
      </c>
      <c r="H54" s="61">
        <v>4.3</v>
      </c>
      <c r="I54" s="62">
        <f t="shared" ref="I54:I55" si="6">SUM(F54/E54)</f>
        <v>0.66923076923076918</v>
      </c>
      <c r="J54" s="17" t="s">
        <v>91</v>
      </c>
      <c r="K54" s="18" t="s">
        <v>19</v>
      </c>
      <c r="L54" s="18">
        <v>2</v>
      </c>
      <c r="M54" s="107">
        <v>0</v>
      </c>
      <c r="N54" s="17"/>
      <c r="O54" s="19" t="s">
        <v>1861</v>
      </c>
    </row>
    <row r="55" spans="1:19" ht="39" thickBot="1" x14ac:dyDescent="0.3">
      <c r="A55" s="15" t="s">
        <v>92</v>
      </c>
      <c r="B55" s="16" t="s">
        <v>93</v>
      </c>
      <c r="C55" s="17" t="s">
        <v>26</v>
      </c>
      <c r="D55" s="61">
        <v>10</v>
      </c>
      <c r="E55" s="61">
        <v>10</v>
      </c>
      <c r="F55" s="61">
        <v>1.4</v>
      </c>
      <c r="G55" s="61">
        <v>8.6</v>
      </c>
      <c r="H55" s="61">
        <v>8.6</v>
      </c>
      <c r="I55" s="54">
        <f t="shared" si="6"/>
        <v>0.13999999999999999</v>
      </c>
      <c r="J55" s="17" t="s">
        <v>94</v>
      </c>
      <c r="K55" s="18" t="s">
        <v>19</v>
      </c>
      <c r="L55" s="18">
        <v>6</v>
      </c>
      <c r="M55" s="107">
        <v>0</v>
      </c>
      <c r="N55" s="17"/>
      <c r="O55" s="19" t="s">
        <v>1862</v>
      </c>
    </row>
    <row r="56" spans="1:19" ht="25.5" customHeight="1" thickBot="1" x14ac:dyDescent="0.3">
      <c r="A56" s="4" t="s">
        <v>95</v>
      </c>
      <c r="B56" s="5" t="s">
        <v>96</v>
      </c>
      <c r="C56" s="6"/>
      <c r="D56" s="45">
        <f>D57+D117</f>
        <v>11177.7</v>
      </c>
      <c r="E56" s="45">
        <f>E57+E117</f>
        <v>11177.7</v>
      </c>
      <c r="F56" s="45">
        <f>F57+F117</f>
        <v>10028.199999999999</v>
      </c>
      <c r="G56" s="45">
        <f>G57+G117+0.1</f>
        <v>1149.4999999999998</v>
      </c>
      <c r="H56" s="45">
        <f>H57+H117+0.1</f>
        <v>1149.4999999999998</v>
      </c>
      <c r="I56" s="46">
        <f>SUM(F56/E56)</f>
        <v>0.89716131225565177</v>
      </c>
      <c r="J56" s="266"/>
      <c r="K56" s="267"/>
      <c r="L56" s="267"/>
      <c r="M56" s="267"/>
      <c r="N56" s="267"/>
      <c r="O56" s="268"/>
    </row>
    <row r="57" spans="1:19" ht="35.25" customHeight="1" x14ac:dyDescent="0.25">
      <c r="A57" s="293" t="s">
        <v>97</v>
      </c>
      <c r="B57" s="296" t="s">
        <v>98</v>
      </c>
      <c r="C57" s="9"/>
      <c r="D57" s="47">
        <f>D58+D59+D60+D85</f>
        <v>10718.7</v>
      </c>
      <c r="E57" s="47">
        <f>E58+E59+E60+E85</f>
        <v>10718.7</v>
      </c>
      <c r="F57" s="47">
        <f>F58+F59+F60+F85</f>
        <v>9570.7999999999993</v>
      </c>
      <c r="G57" s="47">
        <f>G58+G59+G60+G85</f>
        <v>1147.8</v>
      </c>
      <c r="H57" s="47">
        <f>H58+H59+H60+H85</f>
        <v>1147.8</v>
      </c>
      <c r="I57" s="48">
        <f>SUM(F57/E57)</f>
        <v>0.89290678906956988</v>
      </c>
      <c r="J57" s="9" t="s">
        <v>99</v>
      </c>
      <c r="K57" s="10" t="s">
        <v>25</v>
      </c>
      <c r="L57" s="83">
        <v>3</v>
      </c>
      <c r="M57" s="84">
        <v>3</v>
      </c>
      <c r="N57" s="275"/>
      <c r="O57" s="276"/>
    </row>
    <row r="58" spans="1:19" ht="25.5" x14ac:dyDescent="0.25">
      <c r="A58" s="294"/>
      <c r="B58" s="297"/>
      <c r="C58" s="35"/>
      <c r="D58" s="64"/>
      <c r="E58" s="64"/>
      <c r="F58" s="64"/>
      <c r="G58" s="64"/>
      <c r="H58" s="64"/>
      <c r="I58" s="65"/>
      <c r="J58" s="35" t="s">
        <v>100</v>
      </c>
      <c r="K58" s="40" t="s">
        <v>25</v>
      </c>
      <c r="L58" s="85">
        <v>3</v>
      </c>
      <c r="M58" s="86">
        <v>3</v>
      </c>
      <c r="N58" s="277"/>
      <c r="O58" s="278"/>
    </row>
    <row r="59" spans="1:19" ht="21.75" customHeight="1" thickBot="1" x14ac:dyDescent="0.3">
      <c r="A59" s="295"/>
      <c r="B59" s="298"/>
      <c r="C59" s="35"/>
      <c r="D59" s="64"/>
      <c r="E59" s="64"/>
      <c r="F59" s="64"/>
      <c r="G59" s="64"/>
      <c r="H59" s="64"/>
      <c r="I59" s="65"/>
      <c r="J59" s="35" t="s">
        <v>101</v>
      </c>
      <c r="K59" s="36" t="s">
        <v>19</v>
      </c>
      <c r="L59" s="87">
        <v>5</v>
      </c>
      <c r="M59" s="88">
        <v>5</v>
      </c>
      <c r="N59" s="279"/>
      <c r="O59" s="280"/>
      <c r="Q59" s="194"/>
      <c r="R59" s="195" t="s">
        <v>1</v>
      </c>
      <c r="S59" s="195" t="s">
        <v>1967</v>
      </c>
    </row>
    <row r="60" spans="1:19" ht="64.5" thickBot="1" x14ac:dyDescent="0.3">
      <c r="A60" s="12" t="s">
        <v>102</v>
      </c>
      <c r="B60" s="13" t="s">
        <v>103</v>
      </c>
      <c r="C60" s="14"/>
      <c r="D60" s="49">
        <f>SUM(D61:D64)</f>
        <v>771.5</v>
      </c>
      <c r="E60" s="49">
        <f>SUM(E61:E64)</f>
        <v>771.5</v>
      </c>
      <c r="F60" s="49">
        <f>SUM(F61:F64)</f>
        <v>771.5</v>
      </c>
      <c r="G60" s="49"/>
      <c r="H60" s="49"/>
      <c r="I60" s="66">
        <f>SUM(F60/E60)</f>
        <v>1</v>
      </c>
      <c r="J60" s="263"/>
      <c r="K60" s="264"/>
      <c r="L60" s="264"/>
      <c r="M60" s="264"/>
      <c r="N60" s="264"/>
      <c r="O60" s="265"/>
      <c r="Q60" s="196"/>
      <c r="R60" s="197" t="s">
        <v>1961</v>
      </c>
      <c r="S60" s="198">
        <v>10</v>
      </c>
    </row>
    <row r="61" spans="1:19" ht="39" thickBot="1" x14ac:dyDescent="0.3">
      <c r="A61" s="15" t="s">
        <v>104</v>
      </c>
      <c r="B61" s="16" t="s">
        <v>105</v>
      </c>
      <c r="C61" s="17" t="s">
        <v>26</v>
      </c>
      <c r="D61" s="61">
        <v>60</v>
      </c>
      <c r="E61" s="61">
        <v>60</v>
      </c>
      <c r="F61" s="61">
        <v>60</v>
      </c>
      <c r="G61" s="61"/>
      <c r="H61" s="61"/>
      <c r="I61" s="63">
        <f t="shared" ref="I61:I64" si="7">SUM(F61/E61)</f>
        <v>1</v>
      </c>
      <c r="J61" s="17" t="s">
        <v>106</v>
      </c>
      <c r="K61" s="18" t="s">
        <v>19</v>
      </c>
      <c r="L61" s="18">
        <v>35</v>
      </c>
      <c r="M61" s="113">
        <v>32</v>
      </c>
      <c r="N61" s="17" t="s">
        <v>1747</v>
      </c>
      <c r="O61" s="19" t="s">
        <v>1749</v>
      </c>
      <c r="Q61" s="199"/>
      <c r="R61" s="197" t="s">
        <v>1962</v>
      </c>
      <c r="S61" s="198"/>
    </row>
    <row r="62" spans="1:19" ht="64.5" thickBot="1" x14ac:dyDescent="0.3">
      <c r="A62" s="15" t="s">
        <v>107</v>
      </c>
      <c r="B62" s="16" t="s">
        <v>108</v>
      </c>
      <c r="C62" s="17" t="s">
        <v>26</v>
      </c>
      <c r="D62" s="61">
        <v>26.2</v>
      </c>
      <c r="E62" s="61">
        <v>26.2</v>
      </c>
      <c r="F62" s="61">
        <v>26.2</v>
      </c>
      <c r="G62" s="61"/>
      <c r="H62" s="61"/>
      <c r="I62" s="63">
        <f t="shared" si="7"/>
        <v>1</v>
      </c>
      <c r="J62" s="17" t="s">
        <v>109</v>
      </c>
      <c r="K62" s="18" t="s">
        <v>19</v>
      </c>
      <c r="L62" s="18">
        <v>11</v>
      </c>
      <c r="M62" s="115">
        <v>11</v>
      </c>
      <c r="N62" s="17" t="s">
        <v>1750</v>
      </c>
      <c r="O62" s="19"/>
      <c r="Q62" s="200"/>
      <c r="R62" s="197" t="s">
        <v>1963</v>
      </c>
      <c r="S62" s="201">
        <v>3</v>
      </c>
    </row>
    <row r="63" spans="1:19" ht="90" thickBot="1" x14ac:dyDescent="0.3">
      <c r="A63" s="15" t="s">
        <v>110</v>
      </c>
      <c r="B63" s="16" t="s">
        <v>111</v>
      </c>
      <c r="C63" s="17" t="s">
        <v>26</v>
      </c>
      <c r="D63" s="61">
        <v>379.5</v>
      </c>
      <c r="E63" s="61">
        <v>379.5</v>
      </c>
      <c r="F63" s="61">
        <v>379.5</v>
      </c>
      <c r="G63" s="61"/>
      <c r="H63" s="61"/>
      <c r="I63" s="63">
        <f t="shared" si="7"/>
        <v>1</v>
      </c>
      <c r="J63" s="17" t="s">
        <v>112</v>
      </c>
      <c r="K63" s="18" t="s">
        <v>19</v>
      </c>
      <c r="L63" s="18">
        <v>7</v>
      </c>
      <c r="M63" s="115">
        <v>7</v>
      </c>
      <c r="N63" s="17" t="s">
        <v>113</v>
      </c>
      <c r="O63" s="19"/>
      <c r="Q63" s="202"/>
      <c r="R63" s="197" t="s">
        <v>1964</v>
      </c>
      <c r="S63" s="203">
        <v>3</v>
      </c>
    </row>
    <row r="64" spans="1:19" ht="146.25" customHeight="1" x14ac:dyDescent="0.25">
      <c r="A64" s="285" t="s">
        <v>114</v>
      </c>
      <c r="B64" s="217" t="s">
        <v>115</v>
      </c>
      <c r="C64" s="17"/>
      <c r="D64" s="51">
        <f>D65+D66+D67+D82+D83</f>
        <v>305.8</v>
      </c>
      <c r="E64" s="51">
        <f>E65+E66+E67+E82+E83</f>
        <v>305.8</v>
      </c>
      <c r="F64" s="51">
        <f>F65+F66+F67+F82+F83</f>
        <v>305.8</v>
      </c>
      <c r="G64" s="51"/>
      <c r="H64" s="51"/>
      <c r="I64" s="54">
        <f t="shared" si="7"/>
        <v>1</v>
      </c>
      <c r="J64" s="17" t="s">
        <v>116</v>
      </c>
      <c r="K64" s="18" t="s">
        <v>19</v>
      </c>
      <c r="L64" s="18">
        <v>14</v>
      </c>
      <c r="M64" s="119">
        <v>15</v>
      </c>
      <c r="N64" s="17" t="s">
        <v>117</v>
      </c>
      <c r="O64" s="19"/>
      <c r="Q64" s="204"/>
      <c r="R64" s="197" t="s">
        <v>1965</v>
      </c>
      <c r="S64" s="201">
        <v>1</v>
      </c>
    </row>
    <row r="65" spans="1:19" ht="38.25" x14ac:dyDescent="0.25">
      <c r="A65" s="286"/>
      <c r="B65" s="218"/>
      <c r="C65" s="22"/>
      <c r="D65" s="53"/>
      <c r="E65" s="53"/>
      <c r="F65" s="53"/>
      <c r="G65" s="53"/>
      <c r="H65" s="53"/>
      <c r="I65" s="55"/>
      <c r="J65" s="22" t="s">
        <v>118</v>
      </c>
      <c r="K65" s="24" t="s">
        <v>19</v>
      </c>
      <c r="L65" s="24">
        <v>30</v>
      </c>
      <c r="M65" s="118">
        <v>31</v>
      </c>
      <c r="N65" s="22" t="s">
        <v>1748</v>
      </c>
      <c r="O65" s="25"/>
      <c r="Q65" s="194"/>
      <c r="R65" s="205" t="s">
        <v>1966</v>
      </c>
      <c r="S65" s="201">
        <f>+SUM(S60:S64)</f>
        <v>17</v>
      </c>
    </row>
    <row r="66" spans="1:19" ht="51.75" thickBot="1" x14ac:dyDescent="0.3">
      <c r="A66" s="287"/>
      <c r="B66" s="219"/>
      <c r="C66" s="22"/>
      <c r="D66" s="53"/>
      <c r="E66" s="53"/>
      <c r="F66" s="53"/>
      <c r="G66" s="53"/>
      <c r="H66" s="53"/>
      <c r="I66" s="67"/>
      <c r="J66" s="22" t="s">
        <v>119</v>
      </c>
      <c r="K66" s="24" t="s">
        <v>19</v>
      </c>
      <c r="L66" s="24">
        <v>3</v>
      </c>
      <c r="M66" s="112">
        <v>3</v>
      </c>
      <c r="N66" s="22" t="s">
        <v>120</v>
      </c>
      <c r="O66" s="25"/>
    </row>
    <row r="67" spans="1:19" ht="97.5" customHeight="1" x14ac:dyDescent="0.25">
      <c r="A67" s="285" t="s">
        <v>121</v>
      </c>
      <c r="B67" s="217" t="s">
        <v>122</v>
      </c>
      <c r="C67" s="17" t="s">
        <v>26</v>
      </c>
      <c r="D67" s="51">
        <f>SUM(D68:D81)+261.2</f>
        <v>261.2</v>
      </c>
      <c r="E67" s="51">
        <f>SUM(E68:E81)+261.2</f>
        <v>261.2</v>
      </c>
      <c r="F67" s="51">
        <f>SUM(F68:F81)+261.2</f>
        <v>261.2</v>
      </c>
      <c r="G67" s="51"/>
      <c r="H67" s="51"/>
      <c r="I67" s="54">
        <f t="shared" ref="I67" si="8">SUM(F67/E67)</f>
        <v>1</v>
      </c>
      <c r="J67" s="17" t="s">
        <v>123</v>
      </c>
      <c r="K67" s="18" t="s">
        <v>19</v>
      </c>
      <c r="L67" s="18">
        <v>1</v>
      </c>
      <c r="M67" s="115">
        <v>1</v>
      </c>
      <c r="N67" s="17" t="s">
        <v>124</v>
      </c>
      <c r="O67" s="116"/>
    </row>
    <row r="68" spans="1:19" ht="108" customHeight="1" x14ac:dyDescent="0.25">
      <c r="A68" s="286"/>
      <c r="B68" s="218"/>
      <c r="C68" s="22"/>
      <c r="D68" s="53"/>
      <c r="E68" s="53"/>
      <c r="F68" s="53"/>
      <c r="G68" s="53"/>
      <c r="H68" s="53"/>
      <c r="I68" s="55"/>
      <c r="J68" s="22" t="s">
        <v>125</v>
      </c>
      <c r="K68" s="24" t="s">
        <v>19</v>
      </c>
      <c r="L68" s="24">
        <v>1</v>
      </c>
      <c r="M68" s="112">
        <v>1</v>
      </c>
      <c r="N68" s="22" t="s">
        <v>126</v>
      </c>
      <c r="O68" s="25"/>
    </row>
    <row r="69" spans="1:19" ht="67.5" customHeight="1" x14ac:dyDescent="0.25">
      <c r="A69" s="286"/>
      <c r="B69" s="218"/>
      <c r="C69" s="22"/>
      <c r="D69" s="53"/>
      <c r="E69" s="53"/>
      <c r="F69" s="53"/>
      <c r="G69" s="53"/>
      <c r="H69" s="53"/>
      <c r="I69" s="55"/>
      <c r="J69" s="22" t="s">
        <v>127</v>
      </c>
      <c r="K69" s="24" t="s">
        <v>19</v>
      </c>
      <c r="L69" s="24">
        <v>1</v>
      </c>
      <c r="M69" s="112">
        <v>1</v>
      </c>
      <c r="N69" s="22" t="s">
        <v>128</v>
      </c>
      <c r="O69" s="25"/>
    </row>
    <row r="70" spans="1:19" ht="89.25" x14ac:dyDescent="0.25">
      <c r="A70" s="286"/>
      <c r="B70" s="218"/>
      <c r="C70" s="22"/>
      <c r="D70" s="53"/>
      <c r="E70" s="53"/>
      <c r="F70" s="53"/>
      <c r="G70" s="53"/>
      <c r="H70" s="53"/>
      <c r="I70" s="55"/>
      <c r="J70" s="22" t="s">
        <v>129</v>
      </c>
      <c r="K70" s="24" t="s">
        <v>19</v>
      </c>
      <c r="L70" s="24">
        <v>1</v>
      </c>
      <c r="M70" s="112">
        <v>1</v>
      </c>
      <c r="N70" s="22" t="s">
        <v>130</v>
      </c>
      <c r="O70" s="25"/>
    </row>
    <row r="71" spans="1:19" ht="89.25" x14ac:dyDescent="0.25">
      <c r="A71" s="286"/>
      <c r="B71" s="218"/>
      <c r="C71" s="22"/>
      <c r="D71" s="53"/>
      <c r="E71" s="53"/>
      <c r="F71" s="53"/>
      <c r="G71" s="53"/>
      <c r="H71" s="53"/>
      <c r="I71" s="55"/>
      <c r="J71" s="22" t="s">
        <v>131</v>
      </c>
      <c r="K71" s="24" t="s">
        <v>19</v>
      </c>
      <c r="L71" s="24">
        <v>1</v>
      </c>
      <c r="M71" s="112">
        <v>1</v>
      </c>
      <c r="N71" s="22" t="s">
        <v>132</v>
      </c>
      <c r="O71" s="25"/>
    </row>
    <row r="72" spans="1:19" ht="92.25" customHeight="1" x14ac:dyDescent="0.25">
      <c r="A72" s="286"/>
      <c r="B72" s="218"/>
      <c r="C72" s="22"/>
      <c r="D72" s="53"/>
      <c r="E72" s="53"/>
      <c r="F72" s="53"/>
      <c r="G72" s="53"/>
      <c r="H72" s="53"/>
      <c r="I72" s="55"/>
      <c r="J72" s="22" t="s">
        <v>133</v>
      </c>
      <c r="K72" s="24" t="s">
        <v>19</v>
      </c>
      <c r="L72" s="24">
        <v>1</v>
      </c>
      <c r="M72" s="112">
        <v>1</v>
      </c>
      <c r="N72" s="22" t="s">
        <v>134</v>
      </c>
      <c r="O72" s="25"/>
    </row>
    <row r="73" spans="1:19" ht="51" x14ac:dyDescent="0.25">
      <c r="A73" s="286"/>
      <c r="B73" s="218"/>
      <c r="C73" s="22"/>
      <c r="D73" s="53"/>
      <c r="E73" s="53"/>
      <c r="F73" s="53"/>
      <c r="G73" s="53"/>
      <c r="H73" s="53"/>
      <c r="I73" s="55"/>
      <c r="J73" s="22" t="s">
        <v>135</v>
      </c>
      <c r="K73" s="24" t="s">
        <v>19</v>
      </c>
      <c r="L73" s="24">
        <v>1</v>
      </c>
      <c r="M73" s="112">
        <v>1</v>
      </c>
      <c r="N73" s="22" t="s">
        <v>136</v>
      </c>
      <c r="O73" s="25"/>
    </row>
    <row r="74" spans="1:19" ht="76.5" x14ac:dyDescent="0.25">
      <c r="A74" s="286"/>
      <c r="B74" s="218"/>
      <c r="C74" s="22"/>
      <c r="D74" s="53"/>
      <c r="E74" s="53"/>
      <c r="F74" s="53"/>
      <c r="G74" s="53"/>
      <c r="H74" s="53"/>
      <c r="I74" s="55"/>
      <c r="J74" s="22" t="s">
        <v>137</v>
      </c>
      <c r="K74" s="24" t="s">
        <v>19</v>
      </c>
      <c r="L74" s="24">
        <v>1</v>
      </c>
      <c r="M74" s="112">
        <v>1</v>
      </c>
      <c r="N74" s="22" t="s">
        <v>138</v>
      </c>
      <c r="O74" s="25"/>
    </row>
    <row r="75" spans="1:19" ht="63.75" x14ac:dyDescent="0.25">
      <c r="A75" s="286"/>
      <c r="B75" s="218"/>
      <c r="C75" s="22"/>
      <c r="D75" s="53"/>
      <c r="E75" s="53"/>
      <c r="F75" s="53"/>
      <c r="G75" s="53"/>
      <c r="H75" s="53"/>
      <c r="I75" s="55"/>
      <c r="J75" s="22" t="s">
        <v>139</v>
      </c>
      <c r="K75" s="24" t="s">
        <v>19</v>
      </c>
      <c r="L75" s="24">
        <v>1</v>
      </c>
      <c r="M75" s="112">
        <v>1</v>
      </c>
      <c r="N75" s="22" t="s">
        <v>140</v>
      </c>
      <c r="O75" s="25"/>
    </row>
    <row r="76" spans="1:19" ht="76.5" x14ac:dyDescent="0.25">
      <c r="A76" s="286"/>
      <c r="B76" s="218"/>
      <c r="C76" s="22"/>
      <c r="D76" s="53"/>
      <c r="E76" s="53"/>
      <c r="F76" s="53"/>
      <c r="G76" s="53"/>
      <c r="H76" s="53"/>
      <c r="I76" s="55"/>
      <c r="J76" s="22" t="s">
        <v>141</v>
      </c>
      <c r="K76" s="24" t="s">
        <v>19</v>
      </c>
      <c r="L76" s="24">
        <v>1</v>
      </c>
      <c r="M76" s="112">
        <v>1</v>
      </c>
      <c r="N76" s="22" t="s">
        <v>142</v>
      </c>
      <c r="O76" s="25"/>
    </row>
    <row r="77" spans="1:19" ht="65.25" customHeight="1" x14ac:dyDescent="0.25">
      <c r="A77" s="286"/>
      <c r="B77" s="218"/>
      <c r="C77" s="22"/>
      <c r="D77" s="53"/>
      <c r="E77" s="53"/>
      <c r="F77" s="53"/>
      <c r="G77" s="53"/>
      <c r="H77" s="53"/>
      <c r="I77" s="55"/>
      <c r="J77" s="22" t="s">
        <v>143</v>
      </c>
      <c r="K77" s="24" t="s">
        <v>19</v>
      </c>
      <c r="L77" s="24">
        <v>1</v>
      </c>
      <c r="M77" s="112">
        <v>1</v>
      </c>
      <c r="N77" s="22" t="s">
        <v>144</v>
      </c>
      <c r="O77" s="25"/>
    </row>
    <row r="78" spans="1:19" ht="89.25" x14ac:dyDescent="0.25">
      <c r="A78" s="286"/>
      <c r="B78" s="218"/>
      <c r="C78" s="22"/>
      <c r="D78" s="53"/>
      <c r="E78" s="53"/>
      <c r="F78" s="53"/>
      <c r="G78" s="53"/>
      <c r="H78" s="53"/>
      <c r="I78" s="55"/>
      <c r="J78" s="22" t="s">
        <v>145</v>
      </c>
      <c r="K78" s="24" t="s">
        <v>19</v>
      </c>
      <c r="L78" s="24">
        <v>1</v>
      </c>
      <c r="M78" s="112">
        <v>1</v>
      </c>
      <c r="N78" s="22" t="s">
        <v>146</v>
      </c>
      <c r="O78" s="25"/>
    </row>
    <row r="79" spans="1:19" ht="38.25" x14ac:dyDescent="0.25">
      <c r="A79" s="286"/>
      <c r="B79" s="218"/>
      <c r="C79" s="22"/>
      <c r="D79" s="53"/>
      <c r="E79" s="53"/>
      <c r="F79" s="53"/>
      <c r="G79" s="53"/>
      <c r="H79" s="53"/>
      <c r="I79" s="55"/>
      <c r="J79" s="22" t="s">
        <v>147</v>
      </c>
      <c r="K79" s="24" t="s">
        <v>19</v>
      </c>
      <c r="L79" s="24">
        <v>30</v>
      </c>
      <c r="M79" s="118">
        <v>31</v>
      </c>
      <c r="N79" s="144" t="s">
        <v>1751</v>
      </c>
      <c r="O79" s="146"/>
    </row>
    <row r="80" spans="1:19" ht="54" customHeight="1" x14ac:dyDescent="0.25">
      <c r="A80" s="286"/>
      <c r="B80" s="218"/>
      <c r="C80" s="22"/>
      <c r="D80" s="53"/>
      <c r="E80" s="53"/>
      <c r="F80" s="53"/>
      <c r="G80" s="53"/>
      <c r="H80" s="53"/>
      <c r="I80" s="55"/>
      <c r="J80" s="22" t="s">
        <v>148</v>
      </c>
      <c r="K80" s="24" t="s">
        <v>19</v>
      </c>
      <c r="L80" s="24">
        <v>1</v>
      </c>
      <c r="M80" s="112">
        <v>1</v>
      </c>
      <c r="N80" s="144" t="s">
        <v>149</v>
      </c>
      <c r="O80" s="146"/>
    </row>
    <row r="81" spans="1:15" ht="64.5" thickBot="1" x14ac:dyDescent="0.3">
      <c r="A81" s="287"/>
      <c r="B81" s="219"/>
      <c r="C81" s="22"/>
      <c r="D81" s="53"/>
      <c r="E81" s="53"/>
      <c r="F81" s="53"/>
      <c r="G81" s="53"/>
      <c r="H81" s="53"/>
      <c r="I81" s="67"/>
      <c r="J81" s="22" t="s">
        <v>150</v>
      </c>
      <c r="K81" s="24" t="s">
        <v>19</v>
      </c>
      <c r="L81" s="24">
        <v>1</v>
      </c>
      <c r="M81" s="112">
        <v>1</v>
      </c>
      <c r="N81" s="144" t="s">
        <v>151</v>
      </c>
      <c r="O81" s="146"/>
    </row>
    <row r="82" spans="1:15" ht="39" thickBot="1" x14ac:dyDescent="0.3">
      <c r="A82" s="15" t="s">
        <v>152</v>
      </c>
      <c r="B82" s="16" t="s">
        <v>153</v>
      </c>
      <c r="C82" s="17" t="s">
        <v>26</v>
      </c>
      <c r="D82" s="61">
        <v>38.799999999999997</v>
      </c>
      <c r="E82" s="61">
        <v>38.799999999999997</v>
      </c>
      <c r="F82" s="61">
        <v>38.799999999999997</v>
      </c>
      <c r="G82" s="61"/>
      <c r="H82" s="61"/>
      <c r="I82" s="63">
        <f t="shared" ref="I82:I83" si="9">SUM(F82/E82)</f>
        <v>1</v>
      </c>
      <c r="J82" s="17" t="s">
        <v>118</v>
      </c>
      <c r="K82" s="18" t="s">
        <v>19</v>
      </c>
      <c r="L82" s="18">
        <v>30</v>
      </c>
      <c r="M82" s="119">
        <v>31</v>
      </c>
      <c r="N82" s="143" t="s">
        <v>1752</v>
      </c>
      <c r="O82" s="146"/>
    </row>
    <row r="83" spans="1:15" ht="25.5" x14ac:dyDescent="0.25">
      <c r="A83" s="285" t="s">
        <v>154</v>
      </c>
      <c r="B83" s="217" t="s">
        <v>155</v>
      </c>
      <c r="C83" s="17" t="s">
        <v>26</v>
      </c>
      <c r="D83" s="51">
        <f>SUM(D84:D84)+5.8</f>
        <v>5.8</v>
      </c>
      <c r="E83" s="51">
        <f>SUM(E84:E84)+5.8</f>
        <v>5.8</v>
      </c>
      <c r="F83" s="51">
        <f>SUM(F84:F84)+5.8</f>
        <v>5.8</v>
      </c>
      <c r="G83" s="51"/>
      <c r="H83" s="51"/>
      <c r="I83" s="54">
        <f t="shared" si="9"/>
        <v>1</v>
      </c>
      <c r="J83" s="17" t="s">
        <v>119</v>
      </c>
      <c r="K83" s="18" t="s">
        <v>19</v>
      </c>
      <c r="L83" s="18">
        <v>2</v>
      </c>
      <c r="M83" s="115">
        <v>2</v>
      </c>
      <c r="N83" s="17" t="s">
        <v>156</v>
      </c>
      <c r="O83" s="19"/>
    </row>
    <row r="84" spans="1:15" ht="28.5" customHeight="1" thickBot="1" x14ac:dyDescent="0.3">
      <c r="A84" s="287"/>
      <c r="B84" s="219"/>
      <c r="C84" s="22"/>
      <c r="D84" s="53"/>
      <c r="E84" s="53"/>
      <c r="F84" s="53"/>
      <c r="G84" s="53"/>
      <c r="H84" s="53"/>
      <c r="I84" s="55"/>
      <c r="J84" s="22" t="s">
        <v>157</v>
      </c>
      <c r="K84" s="24" t="s">
        <v>19</v>
      </c>
      <c r="L84" s="24">
        <v>1</v>
      </c>
      <c r="M84" s="112">
        <v>1</v>
      </c>
      <c r="N84" s="22" t="s">
        <v>158</v>
      </c>
      <c r="O84" s="25"/>
    </row>
    <row r="85" spans="1:15" ht="30" customHeight="1" thickBot="1" x14ac:dyDescent="0.3">
      <c r="A85" s="12" t="s">
        <v>159</v>
      </c>
      <c r="B85" s="13" t="s">
        <v>160</v>
      </c>
      <c r="C85" s="14"/>
      <c r="D85" s="49">
        <f>D86+D96+D98+D102+D107+D110+D114</f>
        <v>9947.2000000000007</v>
      </c>
      <c r="E85" s="49">
        <f>E86+E96+E98+E102+E107+E110+E114</f>
        <v>9947.2000000000007</v>
      </c>
      <c r="F85" s="49">
        <f>F86+F96+F98+F102+F107+F110+F114-0.1</f>
        <v>8799.2999999999993</v>
      </c>
      <c r="G85" s="49">
        <f>G86+G96+G98+G102+G107+G110+G114</f>
        <v>1147.8</v>
      </c>
      <c r="H85" s="49">
        <f>H86+H96+H98+H102+H107+H110+H114</f>
        <v>1147.8</v>
      </c>
      <c r="I85" s="66">
        <f>SUM(F85/E85)</f>
        <v>0.88460069165192201</v>
      </c>
      <c r="J85" s="263"/>
      <c r="K85" s="264"/>
      <c r="L85" s="264"/>
      <c r="M85" s="264"/>
      <c r="N85" s="264"/>
      <c r="O85" s="265"/>
    </row>
    <row r="86" spans="1:15" ht="51" x14ac:dyDescent="0.25">
      <c r="A86" s="285" t="s">
        <v>161</v>
      </c>
      <c r="B86" s="217" t="s">
        <v>162</v>
      </c>
      <c r="C86" s="17"/>
      <c r="D86" s="51">
        <f>SUM(D87:D95)</f>
        <v>5727.3</v>
      </c>
      <c r="E86" s="51">
        <f>SUM(E87:E95)</f>
        <v>5727.3</v>
      </c>
      <c r="F86" s="51">
        <f>SUM(F87:F95)</f>
        <v>5544.9999999999991</v>
      </c>
      <c r="G86" s="51">
        <f>SUM(G87:G95)</f>
        <v>182.3</v>
      </c>
      <c r="H86" s="51">
        <f>SUM(H87:H95)</f>
        <v>182.3</v>
      </c>
      <c r="I86" s="54">
        <f t="shared" ref="I86:I93" si="10">SUM(F86/E86)</f>
        <v>0.96816999284130378</v>
      </c>
      <c r="J86" s="17" t="s">
        <v>163</v>
      </c>
      <c r="K86" s="18" t="s">
        <v>19</v>
      </c>
      <c r="L86" s="18">
        <v>64</v>
      </c>
      <c r="M86" s="113">
        <v>53</v>
      </c>
      <c r="N86" s="17" t="s">
        <v>164</v>
      </c>
      <c r="O86" s="19" t="s">
        <v>1753</v>
      </c>
    </row>
    <row r="87" spans="1:15" ht="76.5" x14ac:dyDescent="0.25">
      <c r="A87" s="286"/>
      <c r="B87" s="218"/>
      <c r="C87" s="22" t="s">
        <v>165</v>
      </c>
      <c r="D87" s="53">
        <v>166</v>
      </c>
      <c r="E87" s="53">
        <v>166</v>
      </c>
      <c r="F87" s="53">
        <v>128.5</v>
      </c>
      <c r="G87" s="53">
        <v>37.5</v>
      </c>
      <c r="H87" s="53">
        <v>37.5</v>
      </c>
      <c r="I87" s="54">
        <f t="shared" si="10"/>
        <v>0.77409638554216864</v>
      </c>
      <c r="J87" s="22" t="s">
        <v>166</v>
      </c>
      <c r="K87" s="24" t="s">
        <v>19</v>
      </c>
      <c r="L87" s="24">
        <v>703</v>
      </c>
      <c r="M87" s="120">
        <v>2524</v>
      </c>
      <c r="N87" s="22" t="s">
        <v>167</v>
      </c>
      <c r="O87" s="25"/>
    </row>
    <row r="88" spans="1:15" ht="76.5" x14ac:dyDescent="0.25">
      <c r="A88" s="286"/>
      <c r="B88" s="218"/>
      <c r="C88" s="22" t="s">
        <v>168</v>
      </c>
      <c r="D88" s="53">
        <v>198.4</v>
      </c>
      <c r="E88" s="53">
        <v>198.4</v>
      </c>
      <c r="F88" s="53">
        <v>156.19999999999999</v>
      </c>
      <c r="G88" s="53">
        <v>42.2</v>
      </c>
      <c r="H88" s="53">
        <v>42.2</v>
      </c>
      <c r="I88" s="54">
        <f t="shared" si="10"/>
        <v>0.78729838709677413</v>
      </c>
      <c r="J88" s="22" t="s">
        <v>169</v>
      </c>
      <c r="K88" s="24" t="s">
        <v>19</v>
      </c>
      <c r="L88" s="24">
        <v>26</v>
      </c>
      <c r="M88" s="112">
        <v>26</v>
      </c>
      <c r="N88" s="22" t="s">
        <v>170</v>
      </c>
      <c r="O88" s="25"/>
    </row>
    <row r="89" spans="1:15" ht="25.5" x14ac:dyDescent="0.25">
      <c r="A89" s="286"/>
      <c r="B89" s="218"/>
      <c r="C89" s="22" t="s">
        <v>171</v>
      </c>
      <c r="D89" s="53">
        <v>220.9</v>
      </c>
      <c r="E89" s="53">
        <v>220.9</v>
      </c>
      <c r="F89" s="53">
        <v>196</v>
      </c>
      <c r="G89" s="53">
        <v>24.9</v>
      </c>
      <c r="H89" s="53">
        <v>24.9</v>
      </c>
      <c r="I89" s="54">
        <f t="shared" si="10"/>
        <v>0.88727931190583975</v>
      </c>
      <c r="J89" s="22" t="s">
        <v>172</v>
      </c>
      <c r="K89" s="24" t="s">
        <v>19</v>
      </c>
      <c r="L89" s="81">
        <v>12700</v>
      </c>
      <c r="M89" s="120">
        <v>37490</v>
      </c>
      <c r="N89" s="22" t="s">
        <v>173</v>
      </c>
      <c r="O89" s="25"/>
    </row>
    <row r="90" spans="1:15" ht="76.5" x14ac:dyDescent="0.25">
      <c r="A90" s="286"/>
      <c r="B90" s="218"/>
      <c r="C90" s="22" t="s">
        <v>26</v>
      </c>
      <c r="D90" s="53">
        <v>4849.6000000000004</v>
      </c>
      <c r="E90" s="53">
        <v>4849.6000000000004</v>
      </c>
      <c r="F90" s="53">
        <v>4777.7</v>
      </c>
      <c r="G90" s="53">
        <v>71.900000000000006</v>
      </c>
      <c r="H90" s="53">
        <v>71.900000000000006</v>
      </c>
      <c r="I90" s="54">
        <f t="shared" si="10"/>
        <v>0.98517403497195633</v>
      </c>
      <c r="J90" s="22" t="s">
        <v>174</v>
      </c>
      <c r="K90" s="24" t="s">
        <v>19</v>
      </c>
      <c r="L90" s="24">
        <v>609</v>
      </c>
      <c r="M90" s="120">
        <v>935</v>
      </c>
      <c r="N90" s="22" t="s">
        <v>175</v>
      </c>
      <c r="O90" s="25"/>
    </row>
    <row r="91" spans="1:15" ht="51" x14ac:dyDescent="0.25">
      <c r="A91" s="286"/>
      <c r="B91" s="218"/>
      <c r="C91" s="22" t="s">
        <v>30</v>
      </c>
      <c r="D91" s="53">
        <v>239.4</v>
      </c>
      <c r="E91" s="53">
        <v>239.4</v>
      </c>
      <c r="F91" s="53">
        <v>239.4</v>
      </c>
      <c r="G91" s="53"/>
      <c r="H91" s="53"/>
      <c r="I91" s="54">
        <f t="shared" si="10"/>
        <v>1</v>
      </c>
      <c r="J91" s="22" t="s">
        <v>176</v>
      </c>
      <c r="K91" s="24" t="s">
        <v>19</v>
      </c>
      <c r="L91" s="24">
        <v>200</v>
      </c>
      <c r="M91" s="120">
        <v>338</v>
      </c>
      <c r="N91" s="22" t="s">
        <v>177</v>
      </c>
      <c r="O91" s="25"/>
    </row>
    <row r="92" spans="1:15" ht="80.25" customHeight="1" x14ac:dyDescent="0.25">
      <c r="A92" s="286"/>
      <c r="B92" s="218"/>
      <c r="C92" s="22" t="s">
        <v>178</v>
      </c>
      <c r="D92" s="53">
        <v>14.6</v>
      </c>
      <c r="E92" s="53">
        <v>14.6</v>
      </c>
      <c r="F92" s="53">
        <v>8.8000000000000007</v>
      </c>
      <c r="G92" s="53">
        <v>5.8</v>
      </c>
      <c r="H92" s="53">
        <v>5.8</v>
      </c>
      <c r="I92" s="54">
        <f t="shared" si="10"/>
        <v>0.60273972602739734</v>
      </c>
      <c r="J92" s="22" t="s">
        <v>179</v>
      </c>
      <c r="K92" s="24" t="s">
        <v>19</v>
      </c>
      <c r="L92" s="81">
        <v>356810</v>
      </c>
      <c r="M92" s="120">
        <v>617211</v>
      </c>
      <c r="N92" s="22" t="s">
        <v>180</v>
      </c>
      <c r="O92" s="25"/>
    </row>
    <row r="93" spans="1:15" ht="89.25" x14ac:dyDescent="0.25">
      <c r="A93" s="286"/>
      <c r="B93" s="218"/>
      <c r="C93" s="22" t="s">
        <v>181</v>
      </c>
      <c r="D93" s="53">
        <v>38.4</v>
      </c>
      <c r="E93" s="53">
        <v>38.4</v>
      </c>
      <c r="F93" s="53">
        <v>38.4</v>
      </c>
      <c r="G93" s="53"/>
      <c r="H93" s="53"/>
      <c r="I93" s="54">
        <f t="shared" si="10"/>
        <v>1</v>
      </c>
      <c r="J93" s="22" t="s">
        <v>182</v>
      </c>
      <c r="K93" s="24" t="s">
        <v>19</v>
      </c>
      <c r="L93" s="81">
        <v>18655</v>
      </c>
      <c r="M93" s="120">
        <v>33764</v>
      </c>
      <c r="N93" s="22" t="s">
        <v>183</v>
      </c>
      <c r="O93" s="25"/>
    </row>
    <row r="94" spans="1:15" ht="78.75" customHeight="1" x14ac:dyDescent="0.25">
      <c r="A94" s="286"/>
      <c r="B94" s="218"/>
      <c r="C94" s="22"/>
      <c r="D94" s="53"/>
      <c r="E94" s="53"/>
      <c r="F94" s="53"/>
      <c r="G94" s="53"/>
      <c r="H94" s="53"/>
      <c r="I94" s="55"/>
      <c r="J94" s="22" t="s">
        <v>184</v>
      </c>
      <c r="K94" s="24" t="s">
        <v>19</v>
      </c>
      <c r="L94" s="81">
        <v>10130</v>
      </c>
      <c r="M94" s="120">
        <v>18897</v>
      </c>
      <c r="N94" s="22" t="s">
        <v>185</v>
      </c>
      <c r="O94" s="25"/>
    </row>
    <row r="95" spans="1:15" ht="64.5" thickBot="1" x14ac:dyDescent="0.3">
      <c r="A95" s="287"/>
      <c r="B95" s="219"/>
      <c r="C95" s="22"/>
      <c r="D95" s="53"/>
      <c r="E95" s="53"/>
      <c r="F95" s="53"/>
      <c r="G95" s="53"/>
      <c r="H95" s="53"/>
      <c r="I95" s="67"/>
      <c r="J95" s="22" t="s">
        <v>186</v>
      </c>
      <c r="K95" s="24" t="s">
        <v>19</v>
      </c>
      <c r="L95" s="81">
        <v>3600</v>
      </c>
      <c r="M95" s="120">
        <v>6520</v>
      </c>
      <c r="N95" s="22" t="s">
        <v>187</v>
      </c>
      <c r="O95" s="25"/>
    </row>
    <row r="96" spans="1:15" ht="25.5" customHeight="1" x14ac:dyDescent="0.25">
      <c r="A96" s="285" t="s">
        <v>188</v>
      </c>
      <c r="B96" s="217" t="s">
        <v>189</v>
      </c>
      <c r="C96" s="17"/>
      <c r="D96" s="51">
        <f>SUM(D97:D97)</f>
        <v>35.5</v>
      </c>
      <c r="E96" s="51">
        <f>SUM(E97:E97)</f>
        <v>35.5</v>
      </c>
      <c r="F96" s="51"/>
      <c r="G96" s="51">
        <f>SUM(G97:G97)</f>
        <v>35.5</v>
      </c>
      <c r="H96" s="51">
        <f>SUM(H97:H97)</f>
        <v>35.5</v>
      </c>
      <c r="I96" s="54">
        <f t="shared" ref="I96:I116" si="11">SUM(F96/E96)</f>
        <v>0</v>
      </c>
      <c r="J96" s="217" t="s">
        <v>190</v>
      </c>
      <c r="K96" s="220" t="s">
        <v>19</v>
      </c>
      <c r="L96" s="220">
        <v>1</v>
      </c>
      <c r="M96" s="302">
        <v>0</v>
      </c>
      <c r="N96" s="300"/>
      <c r="O96" s="235" t="s">
        <v>1767</v>
      </c>
    </row>
    <row r="97" spans="1:15" ht="15.75" thickBot="1" x14ac:dyDescent="0.3">
      <c r="A97" s="287"/>
      <c r="B97" s="219"/>
      <c r="C97" s="22" t="s">
        <v>191</v>
      </c>
      <c r="D97" s="53">
        <v>35.5</v>
      </c>
      <c r="E97" s="53">
        <v>35.5</v>
      </c>
      <c r="F97" s="53">
        <v>0</v>
      </c>
      <c r="G97" s="53">
        <v>35.5</v>
      </c>
      <c r="H97" s="53">
        <v>35.5</v>
      </c>
      <c r="I97" s="68">
        <f t="shared" si="11"/>
        <v>0</v>
      </c>
      <c r="J97" s="219"/>
      <c r="K97" s="222"/>
      <c r="L97" s="222"/>
      <c r="M97" s="303"/>
      <c r="N97" s="301"/>
      <c r="O97" s="237"/>
    </row>
    <row r="98" spans="1:15" ht="38.25" customHeight="1" x14ac:dyDescent="0.25">
      <c r="A98" s="285" t="s">
        <v>192</v>
      </c>
      <c r="B98" s="217" t="s">
        <v>193</v>
      </c>
      <c r="C98" s="17"/>
      <c r="D98" s="51">
        <f>SUM(D99:D101)</f>
        <v>1917.9</v>
      </c>
      <c r="E98" s="51">
        <f>SUM(E99:E101)</f>
        <v>1917.9</v>
      </c>
      <c r="F98" s="51">
        <f>SUM(F99:F101)</f>
        <v>1584.4</v>
      </c>
      <c r="G98" s="51">
        <f>SUM(G99:G101)</f>
        <v>333.5</v>
      </c>
      <c r="H98" s="51">
        <f>SUM(H99:H101)</f>
        <v>333.5</v>
      </c>
      <c r="I98" s="54">
        <f t="shared" si="11"/>
        <v>0.82611189321653888</v>
      </c>
      <c r="J98" s="217" t="s">
        <v>194</v>
      </c>
      <c r="K98" s="220" t="s">
        <v>25</v>
      </c>
      <c r="L98" s="220">
        <v>100</v>
      </c>
      <c r="M98" s="232">
        <v>93.69</v>
      </c>
      <c r="N98" s="217" t="s">
        <v>1869</v>
      </c>
      <c r="O98" s="235" t="s">
        <v>1868</v>
      </c>
    </row>
    <row r="99" spans="1:15" x14ac:dyDescent="0.25">
      <c r="A99" s="286"/>
      <c r="B99" s="218"/>
      <c r="C99" s="22" t="s">
        <v>26</v>
      </c>
      <c r="D99" s="53">
        <v>250</v>
      </c>
      <c r="E99" s="53">
        <v>250</v>
      </c>
      <c r="F99" s="53">
        <v>53.8</v>
      </c>
      <c r="G99" s="53">
        <v>196.2</v>
      </c>
      <c r="H99" s="53">
        <v>196.2</v>
      </c>
      <c r="I99" s="54">
        <f t="shared" si="11"/>
        <v>0.2152</v>
      </c>
      <c r="J99" s="218"/>
      <c r="K99" s="221"/>
      <c r="L99" s="221"/>
      <c r="M99" s="233"/>
      <c r="N99" s="218"/>
      <c r="O99" s="236"/>
    </row>
    <row r="100" spans="1:15" x14ac:dyDescent="0.25">
      <c r="A100" s="286"/>
      <c r="B100" s="218"/>
      <c r="C100" s="22" t="s">
        <v>30</v>
      </c>
      <c r="D100" s="53">
        <v>1089</v>
      </c>
      <c r="E100" s="53">
        <v>1089</v>
      </c>
      <c r="F100" s="53">
        <v>1089</v>
      </c>
      <c r="G100" s="53"/>
      <c r="H100" s="53"/>
      <c r="I100" s="54">
        <f t="shared" si="11"/>
        <v>1</v>
      </c>
      <c r="J100" s="218"/>
      <c r="K100" s="221"/>
      <c r="L100" s="221"/>
      <c r="M100" s="233"/>
      <c r="N100" s="218"/>
      <c r="O100" s="236"/>
    </row>
    <row r="101" spans="1:15" ht="15.75" thickBot="1" x14ac:dyDescent="0.3">
      <c r="A101" s="287"/>
      <c r="B101" s="219"/>
      <c r="C101" s="22" t="s">
        <v>178</v>
      </c>
      <c r="D101" s="53">
        <v>578.9</v>
      </c>
      <c r="E101" s="53">
        <v>578.9</v>
      </c>
      <c r="F101" s="53">
        <v>441.6</v>
      </c>
      <c r="G101" s="53">
        <v>137.30000000000001</v>
      </c>
      <c r="H101" s="53">
        <v>137.30000000000001</v>
      </c>
      <c r="I101" s="68">
        <f t="shared" si="11"/>
        <v>0.76282604940404219</v>
      </c>
      <c r="J101" s="219"/>
      <c r="K101" s="222"/>
      <c r="L101" s="222"/>
      <c r="M101" s="234"/>
      <c r="N101" s="219"/>
      <c r="O101" s="237"/>
    </row>
    <row r="102" spans="1:15" ht="86.25" customHeight="1" x14ac:dyDescent="0.25">
      <c r="A102" s="285" t="s">
        <v>195</v>
      </c>
      <c r="B102" s="217" t="s">
        <v>196</v>
      </c>
      <c r="C102" s="17"/>
      <c r="D102" s="51">
        <f>SUM(D103:D106)</f>
        <v>1277.5</v>
      </c>
      <c r="E102" s="51">
        <f>SUM(E103:E106)</f>
        <v>1277.5</v>
      </c>
      <c r="F102" s="51">
        <f>SUM(F103:F106)</f>
        <v>980.6</v>
      </c>
      <c r="G102" s="51">
        <f>SUM(G103:G106)</f>
        <v>296.89999999999998</v>
      </c>
      <c r="H102" s="51">
        <f>SUM(H103:H106)</f>
        <v>296.89999999999998</v>
      </c>
      <c r="I102" s="54">
        <f t="shared" si="11"/>
        <v>0.76759295499021529</v>
      </c>
      <c r="J102" s="217" t="s">
        <v>194</v>
      </c>
      <c r="K102" s="220" t="s">
        <v>25</v>
      </c>
      <c r="L102" s="220">
        <v>100</v>
      </c>
      <c r="M102" s="229">
        <v>100</v>
      </c>
      <c r="N102" s="217" t="s">
        <v>197</v>
      </c>
      <c r="O102" s="226"/>
    </row>
    <row r="103" spans="1:15" x14ac:dyDescent="0.25">
      <c r="A103" s="286"/>
      <c r="B103" s="218"/>
      <c r="C103" s="22" t="s">
        <v>181</v>
      </c>
      <c r="D103" s="53">
        <v>106.6</v>
      </c>
      <c r="E103" s="53">
        <v>106.6</v>
      </c>
      <c r="F103" s="53">
        <v>0</v>
      </c>
      <c r="G103" s="53">
        <v>106.6</v>
      </c>
      <c r="H103" s="53">
        <v>106.6</v>
      </c>
      <c r="I103" s="54">
        <f t="shared" si="11"/>
        <v>0</v>
      </c>
      <c r="J103" s="218"/>
      <c r="K103" s="221"/>
      <c r="L103" s="221"/>
      <c r="M103" s="230"/>
      <c r="N103" s="218"/>
      <c r="O103" s="227"/>
    </row>
    <row r="104" spans="1:15" x14ac:dyDescent="0.25">
      <c r="A104" s="286"/>
      <c r="B104" s="218"/>
      <c r="C104" s="22" t="s">
        <v>198</v>
      </c>
      <c r="D104" s="53">
        <v>355.4</v>
      </c>
      <c r="E104" s="53">
        <v>355.4</v>
      </c>
      <c r="F104" s="53">
        <v>355.4</v>
      </c>
      <c r="G104" s="53"/>
      <c r="H104" s="53"/>
      <c r="I104" s="54">
        <f t="shared" si="11"/>
        <v>1</v>
      </c>
      <c r="J104" s="218"/>
      <c r="K104" s="221"/>
      <c r="L104" s="221"/>
      <c r="M104" s="230"/>
      <c r="N104" s="218"/>
      <c r="O104" s="227"/>
    </row>
    <row r="105" spans="1:15" x14ac:dyDescent="0.25">
      <c r="A105" s="286"/>
      <c r="B105" s="218"/>
      <c r="C105" s="22" t="s">
        <v>26</v>
      </c>
      <c r="D105" s="53">
        <v>715.3</v>
      </c>
      <c r="E105" s="53">
        <v>715.3</v>
      </c>
      <c r="F105" s="53">
        <v>625.20000000000005</v>
      </c>
      <c r="G105" s="53">
        <v>90.1</v>
      </c>
      <c r="H105" s="53">
        <v>90.1</v>
      </c>
      <c r="I105" s="54">
        <f t="shared" si="11"/>
        <v>0.87403886481196713</v>
      </c>
      <c r="J105" s="218"/>
      <c r="K105" s="221"/>
      <c r="L105" s="221"/>
      <c r="M105" s="230"/>
      <c r="N105" s="218"/>
      <c r="O105" s="227"/>
    </row>
    <row r="106" spans="1:15" ht="15.75" thickBot="1" x14ac:dyDescent="0.3">
      <c r="A106" s="287"/>
      <c r="B106" s="219"/>
      <c r="C106" s="22" t="s">
        <v>30</v>
      </c>
      <c r="D106" s="53">
        <v>100.2</v>
      </c>
      <c r="E106" s="53">
        <v>100.2</v>
      </c>
      <c r="F106" s="53"/>
      <c r="G106" s="53">
        <v>100.2</v>
      </c>
      <c r="H106" s="53">
        <v>100.2</v>
      </c>
      <c r="I106" s="68">
        <f t="shared" si="11"/>
        <v>0</v>
      </c>
      <c r="J106" s="219"/>
      <c r="K106" s="222"/>
      <c r="L106" s="222"/>
      <c r="M106" s="231"/>
      <c r="N106" s="219"/>
      <c r="O106" s="228"/>
    </row>
    <row r="107" spans="1:15" ht="63.75" customHeight="1" x14ac:dyDescent="0.25">
      <c r="A107" s="285" t="s">
        <v>199</v>
      </c>
      <c r="B107" s="217" t="s">
        <v>200</v>
      </c>
      <c r="C107" s="17"/>
      <c r="D107" s="51">
        <f>SUM(D108:D109)</f>
        <v>146.5</v>
      </c>
      <c r="E107" s="51">
        <f>SUM(E108:E109)</f>
        <v>146.5</v>
      </c>
      <c r="F107" s="51">
        <f>SUM(F108:F109)</f>
        <v>145.30000000000001</v>
      </c>
      <c r="G107" s="51">
        <f>SUM(G108:G109)</f>
        <v>1.2</v>
      </c>
      <c r="H107" s="51">
        <f>SUM(H108:H109)</f>
        <v>1.2</v>
      </c>
      <c r="I107" s="54">
        <f t="shared" si="11"/>
        <v>0.9918088737201366</v>
      </c>
      <c r="J107" s="217" t="s">
        <v>194</v>
      </c>
      <c r="K107" s="220" t="s">
        <v>25</v>
      </c>
      <c r="L107" s="220">
        <v>100</v>
      </c>
      <c r="M107" s="229">
        <v>100</v>
      </c>
      <c r="N107" s="217" t="s">
        <v>201</v>
      </c>
      <c r="O107" s="226"/>
    </row>
    <row r="108" spans="1:15" x14ac:dyDescent="0.25">
      <c r="A108" s="286"/>
      <c r="B108" s="218"/>
      <c r="C108" s="22" t="s">
        <v>30</v>
      </c>
      <c r="D108" s="53">
        <v>126.5</v>
      </c>
      <c r="E108" s="53">
        <v>126.5</v>
      </c>
      <c r="F108" s="53">
        <v>125.3</v>
      </c>
      <c r="G108" s="53">
        <v>1.2</v>
      </c>
      <c r="H108" s="53">
        <v>1.2</v>
      </c>
      <c r="I108" s="54">
        <f t="shared" si="11"/>
        <v>0.99051383399209481</v>
      </c>
      <c r="J108" s="218"/>
      <c r="K108" s="221"/>
      <c r="L108" s="221"/>
      <c r="M108" s="230"/>
      <c r="N108" s="218"/>
      <c r="O108" s="227"/>
    </row>
    <row r="109" spans="1:15" ht="15.75" thickBot="1" x14ac:dyDescent="0.3">
      <c r="A109" s="287"/>
      <c r="B109" s="219"/>
      <c r="C109" s="22" t="s">
        <v>26</v>
      </c>
      <c r="D109" s="53">
        <v>20</v>
      </c>
      <c r="E109" s="53">
        <v>20</v>
      </c>
      <c r="F109" s="53">
        <v>20</v>
      </c>
      <c r="G109" s="53"/>
      <c r="H109" s="53"/>
      <c r="I109" s="68">
        <f t="shared" si="11"/>
        <v>1</v>
      </c>
      <c r="J109" s="219"/>
      <c r="K109" s="222"/>
      <c r="L109" s="222"/>
      <c r="M109" s="231"/>
      <c r="N109" s="219"/>
      <c r="O109" s="228"/>
    </row>
    <row r="110" spans="1:15" ht="51" customHeight="1" x14ac:dyDescent="0.25">
      <c r="A110" s="285" t="s">
        <v>202</v>
      </c>
      <c r="B110" s="217" t="s">
        <v>203</v>
      </c>
      <c r="C110" s="17"/>
      <c r="D110" s="51">
        <f>SUM(D111:D113)</f>
        <v>822.30000000000007</v>
      </c>
      <c r="E110" s="51">
        <f>SUM(E111:E113)</f>
        <v>822.30000000000007</v>
      </c>
      <c r="F110" s="51">
        <f>SUM(F111:F113)</f>
        <v>524.20000000000005</v>
      </c>
      <c r="G110" s="51">
        <f>SUM(G111:G113)</f>
        <v>298.10000000000002</v>
      </c>
      <c r="H110" s="51">
        <f>SUM(H111:H113)</f>
        <v>298.10000000000002</v>
      </c>
      <c r="I110" s="54">
        <f t="shared" si="11"/>
        <v>0.63748023835583123</v>
      </c>
      <c r="J110" s="217" t="s">
        <v>194</v>
      </c>
      <c r="K110" s="220" t="s">
        <v>25</v>
      </c>
      <c r="L110" s="220">
        <v>100</v>
      </c>
      <c r="M110" s="232">
        <v>88.49</v>
      </c>
      <c r="N110" s="217" t="s">
        <v>204</v>
      </c>
      <c r="O110" s="235" t="s">
        <v>1768</v>
      </c>
    </row>
    <row r="111" spans="1:15" x14ac:dyDescent="0.25">
      <c r="A111" s="286"/>
      <c r="B111" s="218"/>
      <c r="C111" s="22" t="s">
        <v>181</v>
      </c>
      <c r="D111" s="53">
        <v>74.7</v>
      </c>
      <c r="E111" s="53">
        <v>74.7</v>
      </c>
      <c r="F111" s="53">
        <v>0</v>
      </c>
      <c r="G111" s="53">
        <v>74.7</v>
      </c>
      <c r="H111" s="53">
        <v>74.7</v>
      </c>
      <c r="I111" s="54">
        <f t="shared" si="11"/>
        <v>0</v>
      </c>
      <c r="J111" s="218"/>
      <c r="K111" s="221"/>
      <c r="L111" s="221"/>
      <c r="M111" s="233"/>
      <c r="N111" s="218"/>
      <c r="O111" s="236"/>
    </row>
    <row r="112" spans="1:15" x14ac:dyDescent="0.25">
      <c r="A112" s="286"/>
      <c r="B112" s="218"/>
      <c r="C112" s="22" t="s">
        <v>26</v>
      </c>
      <c r="D112" s="53">
        <v>498.6</v>
      </c>
      <c r="E112" s="53">
        <v>498.6</v>
      </c>
      <c r="F112" s="53">
        <v>312.3</v>
      </c>
      <c r="G112" s="53">
        <v>186.3</v>
      </c>
      <c r="H112" s="53">
        <v>186.3</v>
      </c>
      <c r="I112" s="54">
        <f t="shared" si="11"/>
        <v>0.62635379061371843</v>
      </c>
      <c r="J112" s="218"/>
      <c r="K112" s="221"/>
      <c r="L112" s="221"/>
      <c r="M112" s="233"/>
      <c r="N112" s="218"/>
      <c r="O112" s="236"/>
    </row>
    <row r="113" spans="1:15" ht="15.75" thickBot="1" x14ac:dyDescent="0.3">
      <c r="A113" s="287"/>
      <c r="B113" s="219"/>
      <c r="C113" s="22" t="s">
        <v>198</v>
      </c>
      <c r="D113" s="53">
        <v>249</v>
      </c>
      <c r="E113" s="53">
        <v>249</v>
      </c>
      <c r="F113" s="53">
        <v>211.9</v>
      </c>
      <c r="G113" s="53">
        <v>37.1</v>
      </c>
      <c r="H113" s="53">
        <v>37.1</v>
      </c>
      <c r="I113" s="68">
        <f t="shared" si="11"/>
        <v>0.85100401606425702</v>
      </c>
      <c r="J113" s="219"/>
      <c r="K113" s="222"/>
      <c r="L113" s="222"/>
      <c r="M113" s="234"/>
      <c r="N113" s="219"/>
      <c r="O113" s="237"/>
    </row>
    <row r="114" spans="1:15" ht="39" thickBot="1" x14ac:dyDescent="0.3">
      <c r="A114" s="15" t="s">
        <v>205</v>
      </c>
      <c r="B114" s="16" t="s">
        <v>206</v>
      </c>
      <c r="C114" s="17"/>
      <c r="D114" s="51">
        <f>SUM(D115:D116)</f>
        <v>20.2</v>
      </c>
      <c r="E114" s="51">
        <f>SUM(E115:E116)</f>
        <v>20.2</v>
      </c>
      <c r="F114" s="51">
        <f>SUM(F115:F116)</f>
        <v>19.899999999999999</v>
      </c>
      <c r="G114" s="51">
        <f>SUM(G115:G116)</f>
        <v>0.30000000000000004</v>
      </c>
      <c r="H114" s="51">
        <f>SUM(H115:H116)</f>
        <v>0.30000000000000004</v>
      </c>
      <c r="I114" s="63">
        <f t="shared" si="11"/>
        <v>0.98514851485148514</v>
      </c>
      <c r="J114" s="17" t="s">
        <v>194</v>
      </c>
      <c r="K114" s="18" t="s">
        <v>25</v>
      </c>
      <c r="L114" s="18">
        <v>100</v>
      </c>
      <c r="M114" s="123">
        <v>100</v>
      </c>
      <c r="N114" s="17"/>
      <c r="O114" s="19"/>
    </row>
    <row r="115" spans="1:15" ht="64.5" thickBot="1" x14ac:dyDescent="0.3">
      <c r="A115" s="15" t="s">
        <v>207</v>
      </c>
      <c r="B115" s="16" t="s">
        <v>208</v>
      </c>
      <c r="C115" s="17" t="s">
        <v>26</v>
      </c>
      <c r="D115" s="61">
        <v>10</v>
      </c>
      <c r="E115" s="61">
        <v>10</v>
      </c>
      <c r="F115" s="61">
        <v>9.9</v>
      </c>
      <c r="G115" s="61">
        <v>0.1</v>
      </c>
      <c r="H115" s="61">
        <v>0.1</v>
      </c>
      <c r="I115" s="63">
        <f t="shared" si="11"/>
        <v>0.99</v>
      </c>
      <c r="J115" s="17" t="s">
        <v>194</v>
      </c>
      <c r="K115" s="18" t="s">
        <v>25</v>
      </c>
      <c r="L115" s="18">
        <v>100</v>
      </c>
      <c r="M115" s="124">
        <v>100</v>
      </c>
      <c r="N115" s="17" t="s">
        <v>209</v>
      </c>
      <c r="O115" s="19"/>
    </row>
    <row r="116" spans="1:15" ht="64.5" thickBot="1" x14ac:dyDescent="0.3">
      <c r="A116" s="15" t="s">
        <v>210</v>
      </c>
      <c r="B116" s="16" t="s">
        <v>211</v>
      </c>
      <c r="C116" s="17" t="s">
        <v>26</v>
      </c>
      <c r="D116" s="61">
        <v>10.199999999999999</v>
      </c>
      <c r="E116" s="61">
        <v>10.199999999999999</v>
      </c>
      <c r="F116" s="61">
        <v>10</v>
      </c>
      <c r="G116" s="61">
        <v>0.2</v>
      </c>
      <c r="H116" s="61">
        <v>0.2</v>
      </c>
      <c r="I116" s="54">
        <f t="shared" si="11"/>
        <v>0.98039215686274517</v>
      </c>
      <c r="J116" s="17" t="s">
        <v>194</v>
      </c>
      <c r="K116" s="18" t="s">
        <v>25</v>
      </c>
      <c r="L116" s="18">
        <v>100</v>
      </c>
      <c r="M116" s="124">
        <v>100</v>
      </c>
      <c r="N116" s="17" t="s">
        <v>212</v>
      </c>
      <c r="O116" s="19"/>
    </row>
    <row r="117" spans="1:15" ht="25.5" x14ac:dyDescent="0.25">
      <c r="A117" s="293" t="s">
        <v>213</v>
      </c>
      <c r="B117" s="296" t="s">
        <v>214</v>
      </c>
      <c r="C117" s="9"/>
      <c r="D117" s="47">
        <f>D118+D119+D129</f>
        <v>459</v>
      </c>
      <c r="E117" s="47">
        <f>E118+E119+E129</f>
        <v>459</v>
      </c>
      <c r="F117" s="47">
        <f>F118+F119+F129</f>
        <v>457.40000000000003</v>
      </c>
      <c r="G117" s="47">
        <f>G118+G119+G129</f>
        <v>1.6</v>
      </c>
      <c r="H117" s="47">
        <f>H118+H119+H129</f>
        <v>1.6</v>
      </c>
      <c r="I117" s="48">
        <f>SUM(F117/E117)</f>
        <v>0.99651416122004366</v>
      </c>
      <c r="J117" s="9" t="s">
        <v>215</v>
      </c>
      <c r="K117" s="10" t="s">
        <v>25</v>
      </c>
      <c r="L117" s="89">
        <v>3</v>
      </c>
      <c r="M117" s="90">
        <v>3</v>
      </c>
      <c r="N117" s="299"/>
      <c r="O117" s="276"/>
    </row>
    <row r="118" spans="1:15" ht="26.25" thickBot="1" x14ac:dyDescent="0.3">
      <c r="A118" s="295"/>
      <c r="B118" s="298"/>
      <c r="C118" s="35"/>
      <c r="D118" s="64"/>
      <c r="E118" s="64"/>
      <c r="F118" s="64"/>
      <c r="G118" s="64"/>
      <c r="H118" s="64"/>
      <c r="I118" s="65"/>
      <c r="J118" s="35" t="s">
        <v>216</v>
      </c>
      <c r="K118" s="36" t="s">
        <v>19</v>
      </c>
      <c r="L118" s="36">
        <v>15</v>
      </c>
      <c r="M118" s="88">
        <v>15</v>
      </c>
      <c r="N118" s="279"/>
      <c r="O118" s="280"/>
    </row>
    <row r="119" spans="1:15" ht="26.25" thickBot="1" x14ac:dyDescent="0.3">
      <c r="A119" s="12" t="s">
        <v>217</v>
      </c>
      <c r="B119" s="13" t="s">
        <v>218</v>
      </c>
      <c r="C119" s="14"/>
      <c r="D119" s="49">
        <f>D120+D124+D126+D128</f>
        <v>447.5</v>
      </c>
      <c r="E119" s="49">
        <f>E120+E124+E126+E128</f>
        <v>447.5</v>
      </c>
      <c r="F119" s="49">
        <f>F120+F124+F126+F128</f>
        <v>445.90000000000003</v>
      </c>
      <c r="G119" s="49">
        <f>G120+G124+G126+G128</f>
        <v>1.6</v>
      </c>
      <c r="H119" s="49">
        <f>H120+H124+H126+H128</f>
        <v>1.6</v>
      </c>
      <c r="I119" s="66">
        <f>SUM(F119/E119)</f>
        <v>0.99642458100558662</v>
      </c>
      <c r="J119" s="263"/>
      <c r="K119" s="264"/>
      <c r="L119" s="264"/>
      <c r="M119" s="264"/>
      <c r="N119" s="264"/>
      <c r="O119" s="265"/>
    </row>
    <row r="120" spans="1:15" ht="33.75" customHeight="1" x14ac:dyDescent="0.25">
      <c r="A120" s="285" t="s">
        <v>219</v>
      </c>
      <c r="B120" s="217" t="s">
        <v>220</v>
      </c>
      <c r="C120" s="17"/>
      <c r="D120" s="51">
        <f>SUM(D121:D123)</f>
        <v>74.100000000000009</v>
      </c>
      <c r="E120" s="51">
        <f>SUM(E121:E123)</f>
        <v>74.100000000000009</v>
      </c>
      <c r="F120" s="51">
        <f>SUM(F121:F123)</f>
        <v>72.600000000000009</v>
      </c>
      <c r="G120" s="51">
        <f>SUM(G121:G123)</f>
        <v>1.5</v>
      </c>
      <c r="H120" s="51">
        <f>SUM(H121:H123)</f>
        <v>1.5</v>
      </c>
      <c r="I120" s="54">
        <f t="shared" ref="I120:I121" si="12">SUM(F120/E120)</f>
        <v>0.97975708502024295</v>
      </c>
      <c r="J120" s="217" t="s">
        <v>221</v>
      </c>
      <c r="K120" s="220" t="s">
        <v>19</v>
      </c>
      <c r="L120" s="220">
        <v>1</v>
      </c>
      <c r="M120" s="223">
        <v>1</v>
      </c>
      <c r="N120" s="217" t="s">
        <v>222</v>
      </c>
      <c r="O120" s="226"/>
    </row>
    <row r="121" spans="1:15" x14ac:dyDescent="0.25">
      <c r="A121" s="286"/>
      <c r="B121" s="218"/>
      <c r="C121" s="22" t="s">
        <v>30</v>
      </c>
      <c r="D121" s="53">
        <v>0.2</v>
      </c>
      <c r="E121" s="53">
        <v>0.2</v>
      </c>
      <c r="F121" s="53">
        <v>0.2</v>
      </c>
      <c r="G121" s="53"/>
      <c r="H121" s="53"/>
      <c r="I121" s="54">
        <f t="shared" si="12"/>
        <v>1</v>
      </c>
      <c r="J121" s="218"/>
      <c r="K121" s="221"/>
      <c r="L121" s="221"/>
      <c r="M121" s="224"/>
      <c r="N121" s="218"/>
      <c r="O121" s="227"/>
    </row>
    <row r="122" spans="1:15" x14ac:dyDescent="0.25">
      <c r="A122" s="286"/>
      <c r="B122" s="218"/>
      <c r="C122" s="22" t="s">
        <v>191</v>
      </c>
      <c r="D122" s="53">
        <v>71.900000000000006</v>
      </c>
      <c r="E122" s="53">
        <v>71.900000000000006</v>
      </c>
      <c r="F122" s="53">
        <v>70.400000000000006</v>
      </c>
      <c r="G122" s="53">
        <v>1.5</v>
      </c>
      <c r="H122" s="53">
        <v>1.5</v>
      </c>
      <c r="I122" s="54">
        <f t="shared" ref="I122:I128" si="13">SUM(F122/E122)</f>
        <v>0.97913769123783034</v>
      </c>
      <c r="J122" s="218"/>
      <c r="K122" s="221"/>
      <c r="L122" s="221"/>
      <c r="M122" s="224"/>
      <c r="N122" s="218"/>
      <c r="O122" s="227"/>
    </row>
    <row r="123" spans="1:15" ht="15.75" thickBot="1" x14ac:dyDescent="0.3">
      <c r="A123" s="287"/>
      <c r="B123" s="219"/>
      <c r="C123" s="22" t="s">
        <v>26</v>
      </c>
      <c r="D123" s="53">
        <v>2</v>
      </c>
      <c r="E123" s="53">
        <v>2</v>
      </c>
      <c r="F123" s="53">
        <v>2</v>
      </c>
      <c r="G123" s="53"/>
      <c r="H123" s="53"/>
      <c r="I123" s="68">
        <f t="shared" si="13"/>
        <v>1</v>
      </c>
      <c r="J123" s="219"/>
      <c r="K123" s="222"/>
      <c r="L123" s="222"/>
      <c r="M123" s="225"/>
      <c r="N123" s="219"/>
      <c r="O123" s="228"/>
    </row>
    <row r="124" spans="1:15" ht="102" x14ac:dyDescent="0.25">
      <c r="A124" s="285" t="s">
        <v>223</v>
      </c>
      <c r="B124" s="217" t="s">
        <v>224</v>
      </c>
      <c r="C124" s="17"/>
      <c r="D124" s="51">
        <f>SUM(D125:D125)</f>
        <v>46</v>
      </c>
      <c r="E124" s="51">
        <f>SUM(E125:E125)</f>
        <v>46</v>
      </c>
      <c r="F124" s="51">
        <f>SUM(F125:F125)</f>
        <v>46</v>
      </c>
      <c r="G124" s="51"/>
      <c r="H124" s="51"/>
      <c r="I124" s="54">
        <f t="shared" si="13"/>
        <v>1</v>
      </c>
      <c r="J124" s="17" t="s">
        <v>225</v>
      </c>
      <c r="K124" s="18" t="s">
        <v>25</v>
      </c>
      <c r="L124" s="18">
        <v>100</v>
      </c>
      <c r="M124" s="125">
        <v>100</v>
      </c>
      <c r="N124" s="17" t="s">
        <v>226</v>
      </c>
      <c r="O124" s="19"/>
    </row>
    <row r="125" spans="1:15" ht="15.75" thickBot="1" x14ac:dyDescent="0.3">
      <c r="A125" s="287"/>
      <c r="B125" s="219"/>
      <c r="C125" s="22" t="s">
        <v>30</v>
      </c>
      <c r="D125" s="53">
        <v>46</v>
      </c>
      <c r="E125" s="53">
        <v>46</v>
      </c>
      <c r="F125" s="53">
        <v>46</v>
      </c>
      <c r="G125" s="53"/>
      <c r="H125" s="53"/>
      <c r="I125" s="68">
        <f t="shared" si="13"/>
        <v>1</v>
      </c>
      <c r="J125" s="22"/>
      <c r="K125" s="24"/>
      <c r="L125" s="81"/>
      <c r="M125" s="81"/>
      <c r="N125" s="22"/>
      <c r="O125" s="25"/>
    </row>
    <row r="126" spans="1:15" ht="127.5" x14ac:dyDescent="0.25">
      <c r="A126" s="285" t="s">
        <v>227</v>
      </c>
      <c r="B126" s="217" t="s">
        <v>228</v>
      </c>
      <c r="C126" s="17"/>
      <c r="D126" s="51">
        <f>SUM(D127:D127)</f>
        <v>170.6</v>
      </c>
      <c r="E126" s="51">
        <f>SUM(E127:E127)</f>
        <v>170.6</v>
      </c>
      <c r="F126" s="51">
        <f>SUM(F127:F127)</f>
        <v>170.5</v>
      </c>
      <c r="G126" s="51">
        <f>SUM(G127:G127)</f>
        <v>0.1</v>
      </c>
      <c r="H126" s="51">
        <f>SUM(H127:H127)</f>
        <v>0.1</v>
      </c>
      <c r="I126" s="54">
        <f t="shared" si="13"/>
        <v>0.99941383352872215</v>
      </c>
      <c r="J126" s="17" t="s">
        <v>225</v>
      </c>
      <c r="K126" s="18" t="s">
        <v>25</v>
      </c>
      <c r="L126" s="18">
        <v>100</v>
      </c>
      <c r="M126" s="125">
        <v>100</v>
      </c>
      <c r="N126" s="17" t="s">
        <v>229</v>
      </c>
      <c r="O126" s="19"/>
    </row>
    <row r="127" spans="1:15" ht="15.75" thickBot="1" x14ac:dyDescent="0.3">
      <c r="A127" s="287"/>
      <c r="B127" s="219"/>
      <c r="C127" s="22" t="s">
        <v>30</v>
      </c>
      <c r="D127" s="53">
        <v>170.6</v>
      </c>
      <c r="E127" s="53">
        <v>170.6</v>
      </c>
      <c r="F127" s="53">
        <v>170.5</v>
      </c>
      <c r="G127" s="53">
        <v>0.1</v>
      </c>
      <c r="H127" s="53">
        <v>0.1</v>
      </c>
      <c r="I127" s="68">
        <f t="shared" si="13"/>
        <v>0.99941383352872215</v>
      </c>
      <c r="J127" s="22"/>
      <c r="K127" s="24"/>
      <c r="L127" s="81"/>
      <c r="M127" s="81"/>
      <c r="N127" s="22"/>
      <c r="O127" s="25"/>
    </row>
    <row r="128" spans="1:15" ht="217.5" thickBot="1" x14ac:dyDescent="0.3">
      <c r="A128" s="15" t="s">
        <v>230</v>
      </c>
      <c r="B128" s="16" t="s">
        <v>231</v>
      </c>
      <c r="C128" s="17" t="s">
        <v>26</v>
      </c>
      <c r="D128" s="61">
        <v>156.80000000000001</v>
      </c>
      <c r="E128" s="61">
        <v>156.80000000000001</v>
      </c>
      <c r="F128" s="61">
        <v>156.80000000000001</v>
      </c>
      <c r="G128" s="61"/>
      <c r="H128" s="61"/>
      <c r="I128" s="54">
        <f t="shared" si="13"/>
        <v>1</v>
      </c>
      <c r="J128" s="17" t="s">
        <v>232</v>
      </c>
      <c r="K128" s="18" t="s">
        <v>19</v>
      </c>
      <c r="L128" s="18">
        <v>15</v>
      </c>
      <c r="M128" s="125">
        <v>15</v>
      </c>
      <c r="N128" s="17" t="s">
        <v>233</v>
      </c>
      <c r="O128" s="19"/>
    </row>
    <row r="129" spans="1:19" ht="39" thickBot="1" x14ac:dyDescent="0.3">
      <c r="A129" s="12" t="s">
        <v>234</v>
      </c>
      <c r="B129" s="13" t="s">
        <v>235</v>
      </c>
      <c r="C129" s="14"/>
      <c r="D129" s="49">
        <f>SUM(D130:D131)</f>
        <v>11.5</v>
      </c>
      <c r="E129" s="49">
        <f>SUM(E130:E131)</f>
        <v>11.5</v>
      </c>
      <c r="F129" s="49">
        <f>SUM(F130:F131)</f>
        <v>11.5</v>
      </c>
      <c r="G129" s="49"/>
      <c r="H129" s="49"/>
      <c r="I129" s="66">
        <f>SUM(F129/E129)</f>
        <v>1</v>
      </c>
      <c r="J129" s="263"/>
      <c r="K129" s="264"/>
      <c r="L129" s="264"/>
      <c r="M129" s="264"/>
      <c r="N129" s="264"/>
      <c r="O129" s="265"/>
    </row>
    <row r="130" spans="1:19" ht="102.75" thickBot="1" x14ac:dyDescent="0.3">
      <c r="A130" s="15" t="s">
        <v>236</v>
      </c>
      <c r="B130" s="16" t="s">
        <v>237</v>
      </c>
      <c r="C130" s="17" t="s">
        <v>26</v>
      </c>
      <c r="D130" s="61">
        <v>1.5</v>
      </c>
      <c r="E130" s="61">
        <v>1.5</v>
      </c>
      <c r="F130" s="61">
        <v>1.5</v>
      </c>
      <c r="G130" s="61"/>
      <c r="H130" s="61"/>
      <c r="I130" s="63">
        <f t="shared" ref="I130:I131" si="14">SUM(F130/E130)</f>
        <v>1</v>
      </c>
      <c r="J130" s="17" t="s">
        <v>238</v>
      </c>
      <c r="K130" s="18" t="s">
        <v>19</v>
      </c>
      <c r="L130" s="18">
        <v>1</v>
      </c>
      <c r="M130" s="115">
        <v>1</v>
      </c>
      <c r="N130" s="17" t="s">
        <v>239</v>
      </c>
      <c r="O130" s="19"/>
    </row>
    <row r="131" spans="1:19" ht="144.75" customHeight="1" thickBot="1" x14ac:dyDescent="0.3">
      <c r="A131" s="15" t="s">
        <v>240</v>
      </c>
      <c r="B131" s="16" t="s">
        <v>241</v>
      </c>
      <c r="C131" s="17" t="s">
        <v>26</v>
      </c>
      <c r="D131" s="61">
        <v>10</v>
      </c>
      <c r="E131" s="61">
        <v>10</v>
      </c>
      <c r="F131" s="61">
        <v>10</v>
      </c>
      <c r="G131" s="61"/>
      <c r="H131" s="61"/>
      <c r="I131" s="54">
        <f t="shared" si="14"/>
        <v>1</v>
      </c>
      <c r="J131" s="17" t="s">
        <v>242</v>
      </c>
      <c r="K131" s="18" t="s">
        <v>19</v>
      </c>
      <c r="L131" s="18">
        <v>4</v>
      </c>
      <c r="M131" s="119">
        <v>9</v>
      </c>
      <c r="N131" s="17" t="s">
        <v>243</v>
      </c>
      <c r="O131" s="19"/>
    </row>
    <row r="132" spans="1:19" ht="15.75" thickBot="1" x14ac:dyDescent="0.3">
      <c r="A132" s="4" t="s">
        <v>244</v>
      </c>
      <c r="B132" s="5" t="s">
        <v>245</v>
      </c>
      <c r="C132" s="6"/>
      <c r="D132" s="45">
        <f>SUM(D133:D133)</f>
        <v>8436.1</v>
      </c>
      <c r="E132" s="45">
        <f>SUM(E133:E133)</f>
        <v>8436.1</v>
      </c>
      <c r="F132" s="45">
        <f>SUM(F133:F133)</f>
        <v>7574</v>
      </c>
      <c r="G132" s="45">
        <f>SUM(G133:G133)</f>
        <v>862.1</v>
      </c>
      <c r="H132" s="45">
        <f>SUM(H133:H133)</f>
        <v>862.1</v>
      </c>
      <c r="I132" s="46">
        <f>SUM(F132/E132)</f>
        <v>0.8978082289209468</v>
      </c>
      <c r="J132" s="266"/>
      <c r="K132" s="267"/>
      <c r="L132" s="267"/>
      <c r="M132" s="267"/>
      <c r="N132" s="267"/>
      <c r="O132" s="268"/>
    </row>
    <row r="133" spans="1:19" ht="51.75" thickBot="1" x14ac:dyDescent="0.3">
      <c r="A133" s="7" t="s">
        <v>246</v>
      </c>
      <c r="B133" s="8" t="s">
        <v>247</v>
      </c>
      <c r="C133" s="9"/>
      <c r="D133" s="47">
        <f>D134+D151+D159+D177+D182</f>
        <v>8436.1</v>
      </c>
      <c r="E133" s="47">
        <f>E134+E151+E159+E177+E182</f>
        <v>8436.1</v>
      </c>
      <c r="F133" s="47">
        <f>F134+F151+F159+F177+F182-0.1</f>
        <v>7574</v>
      </c>
      <c r="G133" s="47">
        <f>G134+G151+G159+G177+G182</f>
        <v>862.1</v>
      </c>
      <c r="H133" s="47">
        <f>H134+H151+H159+H177+H182</f>
        <v>862.1</v>
      </c>
      <c r="I133" s="48">
        <f>SUM(F133/E133)</f>
        <v>0.8978082289209468</v>
      </c>
      <c r="J133" s="9" t="s">
        <v>248</v>
      </c>
      <c r="K133" s="10" t="s">
        <v>249</v>
      </c>
      <c r="L133" s="77">
        <v>38000</v>
      </c>
      <c r="M133" s="77">
        <v>37522.69</v>
      </c>
      <c r="N133" s="9"/>
      <c r="O133" s="177" t="s">
        <v>1915</v>
      </c>
      <c r="Q133" s="194"/>
      <c r="R133" s="195" t="s">
        <v>1</v>
      </c>
      <c r="S133" s="195" t="s">
        <v>1968</v>
      </c>
    </row>
    <row r="134" spans="1:19" ht="39" thickBot="1" x14ac:dyDescent="0.3">
      <c r="A134" s="12" t="s">
        <v>250</v>
      </c>
      <c r="B134" s="13" t="s">
        <v>251</v>
      </c>
      <c r="C134" s="14"/>
      <c r="D134" s="49">
        <f>D135+D141+D145+D148</f>
        <v>6022</v>
      </c>
      <c r="E134" s="49">
        <f>E135+E141+E145+E148</f>
        <v>6022</v>
      </c>
      <c r="F134" s="49">
        <f>F135+F141+F145+F148</f>
        <v>5505.9</v>
      </c>
      <c r="G134" s="49">
        <f>G135+G141+G145+G148+0.1</f>
        <v>516.1</v>
      </c>
      <c r="H134" s="49">
        <f>H135+H141+H145+H148+0.1</f>
        <v>516.1</v>
      </c>
      <c r="I134" s="66">
        <f>SUM(F134/E134)</f>
        <v>0.91429757555629354</v>
      </c>
      <c r="J134" s="263"/>
      <c r="K134" s="264"/>
      <c r="L134" s="264"/>
      <c r="M134" s="264"/>
      <c r="N134" s="264"/>
      <c r="O134" s="265"/>
      <c r="Q134" s="196"/>
      <c r="R134" s="197" t="s">
        <v>1961</v>
      </c>
      <c r="S134" s="198">
        <v>7</v>
      </c>
    </row>
    <row r="135" spans="1:19" ht="64.5" thickBot="1" x14ac:dyDescent="0.3">
      <c r="A135" s="15" t="s">
        <v>252</v>
      </c>
      <c r="B135" s="16" t="s">
        <v>253</v>
      </c>
      <c r="C135" s="17"/>
      <c r="D135" s="51">
        <f>D136+D137+D140</f>
        <v>5070.1000000000004</v>
      </c>
      <c r="E135" s="51">
        <f>E136+E137+E140</f>
        <v>5070.1000000000004</v>
      </c>
      <c r="F135" s="51">
        <f>F136+F137+F140</f>
        <v>4876.7000000000007</v>
      </c>
      <c r="G135" s="51">
        <f>G136+G137+G140-0.1</f>
        <v>193.29999999999998</v>
      </c>
      <c r="H135" s="51">
        <f>H136+H137+H140-0.1</f>
        <v>193.29999999999998</v>
      </c>
      <c r="I135" s="63">
        <f t="shared" ref="I135:I150" si="15">SUM(F135/E135)</f>
        <v>0.96185479576339727</v>
      </c>
      <c r="J135" s="17" t="s">
        <v>254</v>
      </c>
      <c r="K135" s="18" t="s">
        <v>249</v>
      </c>
      <c r="L135" s="79">
        <v>38000</v>
      </c>
      <c r="M135" s="126">
        <v>37522.69</v>
      </c>
      <c r="N135" s="17" t="s">
        <v>255</v>
      </c>
      <c r="O135" s="165" t="s">
        <v>1915</v>
      </c>
      <c r="Q135" s="199"/>
      <c r="R135" s="197" t="s">
        <v>1962</v>
      </c>
      <c r="S135" s="198">
        <v>1</v>
      </c>
    </row>
    <row r="136" spans="1:19" ht="32.25" thickBot="1" x14ac:dyDescent="0.3">
      <c r="A136" s="15" t="s">
        <v>256</v>
      </c>
      <c r="B136" s="16" t="s">
        <v>257</v>
      </c>
      <c r="C136" s="17" t="s">
        <v>26</v>
      </c>
      <c r="D136" s="61">
        <v>330</v>
      </c>
      <c r="E136" s="61">
        <v>330</v>
      </c>
      <c r="F136" s="61">
        <v>299.10000000000002</v>
      </c>
      <c r="G136" s="61">
        <v>30.9</v>
      </c>
      <c r="H136" s="61">
        <v>30.9</v>
      </c>
      <c r="I136" s="63">
        <f t="shared" si="15"/>
        <v>0.90636363636363648</v>
      </c>
      <c r="J136" s="17" t="s">
        <v>258</v>
      </c>
      <c r="K136" s="18" t="s">
        <v>25</v>
      </c>
      <c r="L136" s="18">
        <v>100</v>
      </c>
      <c r="M136" s="127">
        <v>100</v>
      </c>
      <c r="N136" s="17" t="s">
        <v>1769</v>
      </c>
      <c r="O136" s="116"/>
      <c r="Q136" s="200"/>
      <c r="R136" s="197" t="s">
        <v>1963</v>
      </c>
      <c r="S136" s="201">
        <v>5</v>
      </c>
    </row>
    <row r="137" spans="1:19" ht="31.5" x14ac:dyDescent="0.25">
      <c r="A137" s="285" t="s">
        <v>259</v>
      </c>
      <c r="B137" s="288" t="s">
        <v>260</v>
      </c>
      <c r="C137" s="17"/>
      <c r="D137" s="51">
        <f>SUM(D138:D139)</f>
        <v>1556.2</v>
      </c>
      <c r="E137" s="51">
        <f>SUM(E138:E139)</f>
        <v>1556.2</v>
      </c>
      <c r="F137" s="51">
        <f>SUM(F138:F139)</f>
        <v>1519.8000000000002</v>
      </c>
      <c r="G137" s="51">
        <f>SUM(G138:G139)</f>
        <v>36.4</v>
      </c>
      <c r="H137" s="51">
        <f>SUM(H138:H139)</f>
        <v>36.4</v>
      </c>
      <c r="I137" s="54">
        <f t="shared" si="15"/>
        <v>0.9766096902711735</v>
      </c>
      <c r="J137" s="17" t="s">
        <v>261</v>
      </c>
      <c r="K137" s="18" t="s">
        <v>249</v>
      </c>
      <c r="L137" s="79">
        <v>38000</v>
      </c>
      <c r="M137" s="126">
        <v>30812.14</v>
      </c>
      <c r="N137" s="143" t="s">
        <v>1916</v>
      </c>
      <c r="O137" s="165" t="s">
        <v>1916</v>
      </c>
      <c r="Q137" s="202"/>
      <c r="R137" s="197" t="s">
        <v>1964</v>
      </c>
      <c r="S137" s="201">
        <v>3</v>
      </c>
    </row>
    <row r="138" spans="1:19" ht="38.25" x14ac:dyDescent="0.25">
      <c r="A138" s="286"/>
      <c r="B138" s="289"/>
      <c r="C138" s="22" t="s">
        <v>26</v>
      </c>
      <c r="D138" s="53">
        <v>1500</v>
      </c>
      <c r="E138" s="53">
        <v>1500</v>
      </c>
      <c r="F138" s="53">
        <v>1499.9</v>
      </c>
      <c r="G138" s="53">
        <v>0.1</v>
      </c>
      <c r="H138" s="53">
        <v>0.1</v>
      </c>
      <c r="I138" s="54">
        <f t="shared" si="15"/>
        <v>0.99993333333333334</v>
      </c>
      <c r="J138" s="22" t="s">
        <v>262</v>
      </c>
      <c r="K138" s="24" t="s">
        <v>19</v>
      </c>
      <c r="L138" s="24">
        <v>1</v>
      </c>
      <c r="M138" s="128">
        <v>1</v>
      </c>
      <c r="N138" s="129"/>
      <c r="O138" s="133"/>
      <c r="Q138" s="204"/>
      <c r="R138" s="197" t="s">
        <v>1965</v>
      </c>
      <c r="S138" s="201"/>
    </row>
    <row r="139" spans="1:19" ht="16.5" thickBot="1" x14ac:dyDescent="0.3">
      <c r="A139" s="287"/>
      <c r="B139" s="290"/>
      <c r="C139" s="22" t="s">
        <v>181</v>
      </c>
      <c r="D139" s="53">
        <v>56.2</v>
      </c>
      <c r="E139" s="53">
        <v>56.2</v>
      </c>
      <c r="F139" s="53">
        <v>19.899999999999999</v>
      </c>
      <c r="G139" s="53">
        <v>36.299999999999997</v>
      </c>
      <c r="H139" s="53">
        <v>36.299999999999997</v>
      </c>
      <c r="I139" s="68">
        <f t="shared" si="15"/>
        <v>0.35409252669039143</v>
      </c>
      <c r="J139" s="22"/>
      <c r="K139" s="24"/>
      <c r="L139" s="81"/>
      <c r="M139" s="81"/>
      <c r="N139" s="22"/>
      <c r="O139" s="133"/>
      <c r="Q139" s="194"/>
      <c r="R139" s="205" t="s">
        <v>1966</v>
      </c>
      <c r="S139" s="201">
        <f>+SUM(S134:S138)</f>
        <v>16</v>
      </c>
    </row>
    <row r="140" spans="1:19" ht="26.25" thickBot="1" x14ac:dyDescent="0.3">
      <c r="A140" s="15" t="s">
        <v>263</v>
      </c>
      <c r="B140" s="16" t="s">
        <v>264</v>
      </c>
      <c r="C140" s="17" t="s">
        <v>26</v>
      </c>
      <c r="D140" s="61">
        <v>3183.9</v>
      </c>
      <c r="E140" s="61">
        <v>3183.9</v>
      </c>
      <c r="F140" s="61">
        <v>3057.8</v>
      </c>
      <c r="G140" s="61">
        <v>126.1</v>
      </c>
      <c r="H140" s="61">
        <v>126.1</v>
      </c>
      <c r="I140" s="63">
        <f t="shared" si="15"/>
        <v>0.96039448475140554</v>
      </c>
      <c r="J140" s="17" t="s">
        <v>265</v>
      </c>
      <c r="K140" s="18" t="s">
        <v>249</v>
      </c>
      <c r="L140" s="79">
        <v>38000</v>
      </c>
      <c r="M140" s="126">
        <v>37522.69</v>
      </c>
      <c r="N140" s="143" t="s">
        <v>1915</v>
      </c>
      <c r="O140" s="165" t="s">
        <v>1915</v>
      </c>
    </row>
    <row r="141" spans="1:19" x14ac:dyDescent="0.25">
      <c r="A141" s="285" t="s">
        <v>266</v>
      </c>
      <c r="B141" s="217" t="s">
        <v>267</v>
      </c>
      <c r="C141" s="17"/>
      <c r="D141" s="51">
        <f>SUM(D142:D144)</f>
        <v>41.4</v>
      </c>
      <c r="E141" s="51">
        <f>SUM(E142:E144)</f>
        <v>41.4</v>
      </c>
      <c r="F141" s="51">
        <f>SUM(F142:F144)</f>
        <v>31.4</v>
      </c>
      <c r="G141" s="51">
        <f>SUM(G142:G144)</f>
        <v>10</v>
      </c>
      <c r="H141" s="51">
        <f>SUM(H142:H144)</f>
        <v>10</v>
      </c>
      <c r="I141" s="54">
        <f t="shared" si="15"/>
        <v>0.75845410628019327</v>
      </c>
      <c r="J141" s="17" t="s">
        <v>268</v>
      </c>
      <c r="K141" s="18" t="s">
        <v>25</v>
      </c>
      <c r="L141" s="18">
        <v>100</v>
      </c>
      <c r="M141" s="127">
        <v>100</v>
      </c>
      <c r="N141" s="117"/>
      <c r="O141" s="116"/>
    </row>
    <row r="142" spans="1:19" x14ac:dyDescent="0.25">
      <c r="A142" s="286"/>
      <c r="B142" s="218"/>
      <c r="C142" s="22" t="s">
        <v>269</v>
      </c>
      <c r="D142" s="53">
        <v>5</v>
      </c>
      <c r="E142" s="53">
        <v>5</v>
      </c>
      <c r="F142" s="53">
        <v>0</v>
      </c>
      <c r="G142" s="53">
        <v>5</v>
      </c>
      <c r="H142" s="53">
        <v>5</v>
      </c>
      <c r="I142" s="54">
        <f t="shared" si="15"/>
        <v>0</v>
      </c>
      <c r="J142" s="22" t="s">
        <v>270</v>
      </c>
      <c r="K142" s="24" t="s">
        <v>249</v>
      </c>
      <c r="L142" s="24">
        <v>200</v>
      </c>
      <c r="M142" s="120">
        <v>220.16</v>
      </c>
      <c r="N142" s="22" t="s">
        <v>271</v>
      </c>
      <c r="O142" s="25"/>
    </row>
    <row r="143" spans="1:19" x14ac:dyDescent="0.25">
      <c r="A143" s="286"/>
      <c r="B143" s="218"/>
      <c r="C143" s="22" t="s">
        <v>26</v>
      </c>
      <c r="D143" s="53">
        <v>5</v>
      </c>
      <c r="E143" s="53">
        <v>5</v>
      </c>
      <c r="F143" s="53">
        <v>0</v>
      </c>
      <c r="G143" s="53">
        <v>5</v>
      </c>
      <c r="H143" s="53">
        <v>5</v>
      </c>
      <c r="I143" s="54">
        <f t="shared" si="15"/>
        <v>0</v>
      </c>
      <c r="J143" s="22"/>
      <c r="K143" s="24"/>
      <c r="L143" s="81"/>
      <c r="M143" s="81"/>
      <c r="N143" s="22"/>
      <c r="O143" s="25"/>
    </row>
    <row r="144" spans="1:19" ht="15.75" thickBot="1" x14ac:dyDescent="0.3">
      <c r="A144" s="287"/>
      <c r="B144" s="219"/>
      <c r="C144" s="22" t="s">
        <v>181</v>
      </c>
      <c r="D144" s="53">
        <v>31.4</v>
      </c>
      <c r="E144" s="53">
        <v>31.4</v>
      </c>
      <c r="F144" s="53">
        <v>31.4</v>
      </c>
      <c r="G144" s="53"/>
      <c r="H144" s="53"/>
      <c r="I144" s="68">
        <f t="shared" si="15"/>
        <v>1</v>
      </c>
      <c r="J144" s="22"/>
      <c r="K144" s="24"/>
      <c r="L144" s="81"/>
      <c r="M144" s="81"/>
      <c r="N144" s="22"/>
      <c r="O144" s="25"/>
    </row>
    <row r="145" spans="1:15" x14ac:dyDescent="0.25">
      <c r="A145" s="285" t="s">
        <v>272</v>
      </c>
      <c r="B145" s="217" t="s">
        <v>273</v>
      </c>
      <c r="C145" s="17"/>
      <c r="D145" s="51">
        <f>SUM(D146:D147)</f>
        <v>809.5</v>
      </c>
      <c r="E145" s="51">
        <f>SUM(E146:E147)</f>
        <v>809.5</v>
      </c>
      <c r="F145" s="51">
        <f>SUM(F146:F147)</f>
        <v>580.9</v>
      </c>
      <c r="G145" s="51">
        <f>SUM(G146:G147)</f>
        <v>228.6</v>
      </c>
      <c r="H145" s="51">
        <f>SUM(H146:H147)</f>
        <v>228.6</v>
      </c>
      <c r="I145" s="54">
        <f t="shared" si="15"/>
        <v>0.71760345892526245</v>
      </c>
      <c r="J145" s="17" t="s">
        <v>274</v>
      </c>
      <c r="K145" s="18" t="s">
        <v>19</v>
      </c>
      <c r="L145" s="18">
        <v>204</v>
      </c>
      <c r="M145" s="127">
        <v>204</v>
      </c>
      <c r="N145" s="117"/>
      <c r="O145" s="19"/>
    </row>
    <row r="146" spans="1:15" ht="51" customHeight="1" x14ac:dyDescent="0.25">
      <c r="A146" s="286"/>
      <c r="B146" s="218"/>
      <c r="C146" s="22" t="s">
        <v>26</v>
      </c>
      <c r="D146" s="53">
        <v>565.4</v>
      </c>
      <c r="E146" s="53">
        <v>565.4</v>
      </c>
      <c r="F146" s="53">
        <v>336.8</v>
      </c>
      <c r="G146" s="53">
        <v>228.6</v>
      </c>
      <c r="H146" s="53">
        <v>228.6</v>
      </c>
      <c r="I146" s="54">
        <f t="shared" si="15"/>
        <v>0.59568447117085255</v>
      </c>
      <c r="J146" s="22" t="s">
        <v>275</v>
      </c>
      <c r="K146" s="24" t="s">
        <v>19</v>
      </c>
      <c r="L146" s="24">
        <v>2</v>
      </c>
      <c r="M146" s="174">
        <v>2</v>
      </c>
      <c r="N146" s="144"/>
      <c r="O146" s="25"/>
    </row>
    <row r="147" spans="1:15" ht="15.75" thickBot="1" x14ac:dyDescent="0.3">
      <c r="A147" s="287"/>
      <c r="B147" s="219"/>
      <c r="C147" s="22" t="s">
        <v>30</v>
      </c>
      <c r="D147" s="53">
        <v>244.1</v>
      </c>
      <c r="E147" s="53">
        <v>244.1</v>
      </c>
      <c r="F147" s="53">
        <v>244.1</v>
      </c>
      <c r="G147" s="53"/>
      <c r="H147" s="53"/>
      <c r="I147" s="68">
        <f t="shared" si="15"/>
        <v>1</v>
      </c>
      <c r="J147" s="22"/>
      <c r="K147" s="24"/>
      <c r="L147" s="81"/>
      <c r="M147" s="81"/>
      <c r="N147" s="22"/>
      <c r="O147" s="25"/>
    </row>
    <row r="148" spans="1:15" ht="44.25" customHeight="1" x14ac:dyDescent="0.25">
      <c r="A148" s="285" t="s">
        <v>276</v>
      </c>
      <c r="B148" s="217" t="s">
        <v>277</v>
      </c>
      <c r="C148" s="17"/>
      <c r="D148" s="51">
        <f>SUM(D149:D150)</f>
        <v>101</v>
      </c>
      <c r="E148" s="51">
        <f>SUM(E149:E150)</f>
        <v>101</v>
      </c>
      <c r="F148" s="51">
        <f>SUM(F149:F150)</f>
        <v>16.899999999999999</v>
      </c>
      <c r="G148" s="51">
        <f>SUM(G149:G150)</f>
        <v>84.1</v>
      </c>
      <c r="H148" s="51">
        <f>SUM(H149:H150)</f>
        <v>84.1</v>
      </c>
      <c r="I148" s="54">
        <f t="shared" si="15"/>
        <v>0.16732673267326731</v>
      </c>
      <c r="J148" s="17" t="s">
        <v>278</v>
      </c>
      <c r="K148" s="18" t="s">
        <v>19</v>
      </c>
      <c r="L148" s="18">
        <v>1</v>
      </c>
      <c r="M148" s="173">
        <v>1</v>
      </c>
      <c r="N148" s="143" t="s">
        <v>278</v>
      </c>
      <c r="O148" s="19"/>
    </row>
    <row r="149" spans="1:15" ht="89.25" x14ac:dyDescent="0.25">
      <c r="A149" s="286"/>
      <c r="B149" s="218"/>
      <c r="C149" s="22" t="s">
        <v>26</v>
      </c>
      <c r="D149" s="53">
        <v>62</v>
      </c>
      <c r="E149" s="53">
        <v>62</v>
      </c>
      <c r="F149" s="53">
        <v>0</v>
      </c>
      <c r="G149" s="53">
        <v>62</v>
      </c>
      <c r="H149" s="53">
        <v>62</v>
      </c>
      <c r="I149" s="54">
        <f t="shared" si="15"/>
        <v>0</v>
      </c>
      <c r="J149" s="22" t="s">
        <v>279</v>
      </c>
      <c r="K149" s="24" t="s">
        <v>280</v>
      </c>
      <c r="L149" s="24">
        <v>1</v>
      </c>
      <c r="M149" s="121">
        <v>0</v>
      </c>
      <c r="N149" s="147"/>
      <c r="O149" s="22" t="s">
        <v>281</v>
      </c>
    </row>
    <row r="150" spans="1:15" ht="180" customHeight="1" thickBot="1" x14ac:dyDescent="0.3">
      <c r="A150" s="287"/>
      <c r="B150" s="219"/>
      <c r="C150" s="22" t="s">
        <v>30</v>
      </c>
      <c r="D150" s="53">
        <v>39</v>
      </c>
      <c r="E150" s="53">
        <v>39</v>
      </c>
      <c r="F150" s="53">
        <v>16.899999999999999</v>
      </c>
      <c r="G150" s="53">
        <v>22.1</v>
      </c>
      <c r="H150" s="53">
        <v>22.1</v>
      </c>
      <c r="I150" s="54">
        <f t="shared" si="15"/>
        <v>0.43333333333333329</v>
      </c>
      <c r="J150" s="22" t="s">
        <v>282</v>
      </c>
      <c r="K150" s="24" t="s">
        <v>19</v>
      </c>
      <c r="L150" s="24">
        <v>1</v>
      </c>
      <c r="M150" s="121">
        <v>0</v>
      </c>
      <c r="O150" s="144" t="s">
        <v>1903</v>
      </c>
    </row>
    <row r="151" spans="1:15" ht="26.25" thickBot="1" x14ac:dyDescent="0.3">
      <c r="A151" s="12" t="s">
        <v>283</v>
      </c>
      <c r="B151" s="13" t="s">
        <v>284</v>
      </c>
      <c r="C151" s="14"/>
      <c r="D151" s="49">
        <f>D152+D154</f>
        <v>458.2</v>
      </c>
      <c r="E151" s="49">
        <f>E152+E154</f>
        <v>458.2</v>
      </c>
      <c r="F151" s="49">
        <f>F152+F154</f>
        <v>305.09999999999997</v>
      </c>
      <c r="G151" s="49">
        <f>G152+G154</f>
        <v>153.1</v>
      </c>
      <c r="H151" s="49">
        <f>H152+H154</f>
        <v>153.1</v>
      </c>
      <c r="I151" s="66">
        <f>SUM(F151/E151)</f>
        <v>0.66586643387167166</v>
      </c>
      <c r="J151" s="263"/>
      <c r="K151" s="264"/>
      <c r="L151" s="264"/>
      <c r="M151" s="264"/>
      <c r="N151" s="264"/>
      <c r="O151" s="265"/>
    </row>
    <row r="152" spans="1:15" ht="51" x14ac:dyDescent="0.25">
      <c r="A152" s="285" t="s">
        <v>285</v>
      </c>
      <c r="B152" s="217" t="s">
        <v>286</v>
      </c>
      <c r="C152" s="17" t="s">
        <v>269</v>
      </c>
      <c r="D152" s="51">
        <f>SUM(D153:D153)+50</f>
        <v>50</v>
      </c>
      <c r="E152" s="51">
        <f>SUM(E153:E153)+50</f>
        <v>50</v>
      </c>
      <c r="F152" s="51">
        <f>SUM(F153:F153)+49.9</f>
        <v>49.9</v>
      </c>
      <c r="G152" s="51">
        <f>SUM(G153:G153)+0.1</f>
        <v>0.1</v>
      </c>
      <c r="H152" s="51">
        <f>SUM(H153:H153)+0.1</f>
        <v>0.1</v>
      </c>
      <c r="I152" s="54">
        <f t="shared" ref="I152" si="16">SUM(F152/E152)</f>
        <v>0.998</v>
      </c>
      <c r="J152" s="17" t="s">
        <v>287</v>
      </c>
      <c r="K152" s="18" t="s">
        <v>19</v>
      </c>
      <c r="L152" s="18">
        <v>1</v>
      </c>
      <c r="M152" s="125">
        <v>1</v>
      </c>
      <c r="N152" s="17" t="s">
        <v>288</v>
      </c>
      <c r="O152" s="19"/>
    </row>
    <row r="153" spans="1:15" ht="90" thickBot="1" x14ac:dyDescent="0.3">
      <c r="A153" s="287"/>
      <c r="B153" s="219"/>
      <c r="C153" s="22"/>
      <c r="D153" s="53"/>
      <c r="E153" s="53"/>
      <c r="F153" s="53"/>
      <c r="G153" s="53"/>
      <c r="H153" s="53"/>
      <c r="I153" s="67"/>
      <c r="J153" s="22" t="s">
        <v>289</v>
      </c>
      <c r="K153" s="24" t="s">
        <v>19</v>
      </c>
      <c r="L153" s="24">
        <v>3</v>
      </c>
      <c r="M153" s="130">
        <v>3</v>
      </c>
      <c r="N153" s="22" t="s">
        <v>290</v>
      </c>
      <c r="O153" s="25"/>
    </row>
    <row r="154" spans="1:15" ht="140.25" x14ac:dyDescent="0.25">
      <c r="A154" s="285" t="s">
        <v>291</v>
      </c>
      <c r="B154" s="217" t="s">
        <v>292</v>
      </c>
      <c r="C154" s="17"/>
      <c r="D154" s="51">
        <f>SUM(D155:D158)</f>
        <v>408.2</v>
      </c>
      <c r="E154" s="51">
        <f>SUM(E155:E158)</f>
        <v>408.2</v>
      </c>
      <c r="F154" s="51">
        <f>SUM(F155:F158)</f>
        <v>255.2</v>
      </c>
      <c r="G154" s="51">
        <f>SUM(G155:G158)</f>
        <v>153</v>
      </c>
      <c r="H154" s="51">
        <f>SUM(H155:H158)</f>
        <v>153</v>
      </c>
      <c r="I154" s="54">
        <f t="shared" ref="I154:I157" si="17">SUM(F154/E154)</f>
        <v>0.62518373346398826</v>
      </c>
      <c r="J154" s="17" t="s">
        <v>293</v>
      </c>
      <c r="K154" s="18" t="s">
        <v>25</v>
      </c>
      <c r="L154" s="18">
        <v>100</v>
      </c>
      <c r="M154" s="125">
        <v>100</v>
      </c>
      <c r="N154" s="17" t="s">
        <v>294</v>
      </c>
      <c r="O154" s="19"/>
    </row>
    <row r="155" spans="1:15" ht="89.25" x14ac:dyDescent="0.25">
      <c r="A155" s="286"/>
      <c r="B155" s="218"/>
      <c r="C155" s="22" t="s">
        <v>181</v>
      </c>
      <c r="D155" s="53">
        <v>2.2999999999999998</v>
      </c>
      <c r="E155" s="53">
        <v>2.2999999999999998</v>
      </c>
      <c r="F155" s="53">
        <v>2.2999999999999998</v>
      </c>
      <c r="G155" s="53"/>
      <c r="H155" s="53"/>
      <c r="I155" s="54">
        <f t="shared" si="17"/>
        <v>1</v>
      </c>
      <c r="J155" s="22" t="s">
        <v>295</v>
      </c>
      <c r="K155" s="24" t="s">
        <v>296</v>
      </c>
      <c r="L155" s="81">
        <v>9596</v>
      </c>
      <c r="M155" s="128">
        <v>9596</v>
      </c>
      <c r="N155" s="22" t="s">
        <v>297</v>
      </c>
      <c r="O155" s="25"/>
    </row>
    <row r="156" spans="1:15" ht="127.5" x14ac:dyDescent="0.25">
      <c r="A156" s="286"/>
      <c r="B156" s="218"/>
      <c r="C156" s="22" t="s">
        <v>269</v>
      </c>
      <c r="D156" s="53">
        <v>42</v>
      </c>
      <c r="E156" s="53">
        <v>42</v>
      </c>
      <c r="F156" s="53">
        <v>42</v>
      </c>
      <c r="G156" s="53"/>
      <c r="H156" s="53"/>
      <c r="I156" s="54">
        <f t="shared" si="17"/>
        <v>1</v>
      </c>
      <c r="J156" s="22" t="s">
        <v>298</v>
      </c>
      <c r="K156" s="24" t="s">
        <v>19</v>
      </c>
      <c r="L156" s="24">
        <v>100</v>
      </c>
      <c r="M156" s="131">
        <v>108</v>
      </c>
      <c r="N156" s="22" t="s">
        <v>299</v>
      </c>
      <c r="O156" s="25"/>
    </row>
    <row r="157" spans="1:15" x14ac:dyDescent="0.25">
      <c r="A157" s="286"/>
      <c r="B157" s="218"/>
      <c r="C157" s="22" t="s">
        <v>300</v>
      </c>
      <c r="D157" s="53">
        <v>363.9</v>
      </c>
      <c r="E157" s="53">
        <v>363.9</v>
      </c>
      <c r="F157" s="53">
        <v>210.9</v>
      </c>
      <c r="G157" s="53">
        <v>153</v>
      </c>
      <c r="H157" s="53">
        <v>153</v>
      </c>
      <c r="I157" s="54">
        <f t="shared" si="17"/>
        <v>0.57955482275350378</v>
      </c>
      <c r="J157" s="22" t="s">
        <v>301</v>
      </c>
      <c r="K157" s="24" t="s">
        <v>19</v>
      </c>
      <c r="L157" s="81">
        <v>2500</v>
      </c>
      <c r="M157" s="120">
        <v>4438</v>
      </c>
      <c r="N157" s="22" t="s">
        <v>1754</v>
      </c>
      <c r="O157" s="25"/>
    </row>
    <row r="158" spans="1:15" ht="15.75" thickBot="1" x14ac:dyDescent="0.3">
      <c r="A158" s="287"/>
      <c r="B158" s="219"/>
      <c r="C158" s="22"/>
      <c r="D158" s="53"/>
      <c r="E158" s="53"/>
      <c r="F158" s="53"/>
      <c r="G158" s="53"/>
      <c r="H158" s="53"/>
      <c r="I158" s="55"/>
      <c r="J158" s="22"/>
      <c r="K158" s="24"/>
      <c r="L158" s="81"/>
      <c r="M158" s="81"/>
      <c r="N158" s="22"/>
      <c r="O158" s="133"/>
    </row>
    <row r="159" spans="1:15" ht="39" thickBot="1" x14ac:dyDescent="0.3">
      <c r="A159" s="12" t="s">
        <v>304</v>
      </c>
      <c r="B159" s="13" t="s">
        <v>305</v>
      </c>
      <c r="C159" s="14"/>
      <c r="D159" s="49">
        <f>D160+D164+D168+D172+D175+D176</f>
        <v>1204</v>
      </c>
      <c r="E159" s="49">
        <f>E160+E164+E168+E172+E175+E176</f>
        <v>1204</v>
      </c>
      <c r="F159" s="49">
        <f>F160+F164+F168+F172+F175+F176</f>
        <v>1013.2</v>
      </c>
      <c r="G159" s="49">
        <f>G160+G164+G168+G172+G175+G176+0.1</f>
        <v>190.9</v>
      </c>
      <c r="H159" s="49">
        <f>H160+H164+H168+H172+H175+H176+0.1</f>
        <v>190.9</v>
      </c>
      <c r="I159" s="66">
        <f>SUM(F159/E159)</f>
        <v>0.84152823920265785</v>
      </c>
      <c r="J159" s="263"/>
      <c r="K159" s="264"/>
      <c r="L159" s="264"/>
      <c r="M159" s="264"/>
      <c r="N159" s="264"/>
      <c r="O159" s="265"/>
    </row>
    <row r="160" spans="1:15" ht="153" x14ac:dyDescent="0.25">
      <c r="A160" s="285" t="s">
        <v>306</v>
      </c>
      <c r="B160" s="217" t="s">
        <v>307</v>
      </c>
      <c r="C160" s="17"/>
      <c r="D160" s="51">
        <f>SUM(D161:D163)</f>
        <v>170</v>
      </c>
      <c r="E160" s="51">
        <f>SUM(E161:E163)</f>
        <v>170</v>
      </c>
      <c r="F160" s="51">
        <f>SUM(F161:F163)</f>
        <v>137.70000000000002</v>
      </c>
      <c r="G160" s="51">
        <f>SUM(G161:G163)</f>
        <v>32.300000000000004</v>
      </c>
      <c r="H160" s="51">
        <f>SUM(H161:H163)</f>
        <v>32.300000000000004</v>
      </c>
      <c r="I160" s="54">
        <f t="shared" ref="I160:I162" si="18">SUM(F160/E160)</f>
        <v>0.81</v>
      </c>
      <c r="J160" s="17" t="s">
        <v>308</v>
      </c>
      <c r="K160" s="18" t="s">
        <v>19</v>
      </c>
      <c r="L160" s="18">
        <v>70</v>
      </c>
      <c r="M160" s="179">
        <v>41</v>
      </c>
      <c r="N160" s="17" t="s">
        <v>1770</v>
      </c>
      <c r="O160" s="146" t="s">
        <v>1917</v>
      </c>
    </row>
    <row r="161" spans="1:15" ht="63.75" x14ac:dyDescent="0.25">
      <c r="A161" s="286"/>
      <c r="B161" s="218"/>
      <c r="C161" s="22" t="s">
        <v>26</v>
      </c>
      <c r="D161" s="53">
        <v>26</v>
      </c>
      <c r="E161" s="53">
        <v>26</v>
      </c>
      <c r="F161" s="53">
        <v>22.3</v>
      </c>
      <c r="G161" s="53">
        <v>3.7</v>
      </c>
      <c r="H161" s="53">
        <v>3.7</v>
      </c>
      <c r="I161" s="54">
        <f t="shared" si="18"/>
        <v>0.85769230769230775</v>
      </c>
      <c r="J161" s="22" t="s">
        <v>309</v>
      </c>
      <c r="K161" s="24" t="s">
        <v>25</v>
      </c>
      <c r="L161" s="24">
        <v>10</v>
      </c>
      <c r="M161" s="118">
        <v>20</v>
      </c>
      <c r="N161" s="22" t="s">
        <v>1771</v>
      </c>
      <c r="O161" s="133"/>
    </row>
    <row r="162" spans="1:15" ht="293.25" x14ac:dyDescent="0.25">
      <c r="A162" s="286"/>
      <c r="B162" s="218"/>
      <c r="C162" s="22" t="s">
        <v>269</v>
      </c>
      <c r="D162" s="53">
        <v>144</v>
      </c>
      <c r="E162" s="53">
        <v>144</v>
      </c>
      <c r="F162" s="53">
        <v>115.4</v>
      </c>
      <c r="G162" s="53">
        <v>28.6</v>
      </c>
      <c r="H162" s="53">
        <v>28.6</v>
      </c>
      <c r="I162" s="54">
        <f t="shared" si="18"/>
        <v>0.80138888888888893</v>
      </c>
      <c r="J162" s="22" t="s">
        <v>310</v>
      </c>
      <c r="K162" s="24" t="s">
        <v>19</v>
      </c>
      <c r="L162" s="24">
        <v>90</v>
      </c>
      <c r="M162" s="134">
        <v>22</v>
      </c>
      <c r="N162" s="22" t="s">
        <v>311</v>
      </c>
      <c r="O162" s="146" t="s">
        <v>1918</v>
      </c>
    </row>
    <row r="163" spans="1:15" ht="51.75" thickBot="1" x14ac:dyDescent="0.3">
      <c r="A163" s="287"/>
      <c r="B163" s="219"/>
      <c r="C163" s="22"/>
      <c r="D163" s="53"/>
      <c r="E163" s="53"/>
      <c r="F163" s="53"/>
      <c r="G163" s="53"/>
      <c r="H163" s="53"/>
      <c r="I163" s="67"/>
      <c r="J163" s="22" t="s">
        <v>302</v>
      </c>
      <c r="K163" s="24" t="s">
        <v>296</v>
      </c>
      <c r="L163" s="81">
        <v>10000</v>
      </c>
      <c r="M163" s="132">
        <v>8390</v>
      </c>
      <c r="N163" s="22" t="s">
        <v>303</v>
      </c>
      <c r="O163" s="146" t="s">
        <v>1919</v>
      </c>
    </row>
    <row r="164" spans="1:15" ht="25.5" x14ac:dyDescent="0.25">
      <c r="A164" s="285" t="s">
        <v>313</v>
      </c>
      <c r="B164" s="217" t="s">
        <v>314</v>
      </c>
      <c r="C164" s="17"/>
      <c r="D164" s="51">
        <f>SUM(D165:D167)</f>
        <v>174.4</v>
      </c>
      <c r="E164" s="51">
        <f>SUM(E165:E167)</f>
        <v>174.4</v>
      </c>
      <c r="F164" s="51">
        <f>SUM(F165:F167)</f>
        <v>108.2</v>
      </c>
      <c r="G164" s="51">
        <f>SUM(G165:G167)</f>
        <v>66.2</v>
      </c>
      <c r="H164" s="51">
        <f>SUM(H165:H167)</f>
        <v>66.2</v>
      </c>
      <c r="I164" s="54">
        <f t="shared" ref="I164:I170" si="19">SUM(F164/E164)</f>
        <v>0.62041284403669728</v>
      </c>
      <c r="J164" s="17" t="s">
        <v>315</v>
      </c>
      <c r="K164" s="18" t="s">
        <v>19</v>
      </c>
      <c r="L164" s="18">
        <v>1</v>
      </c>
      <c r="M164" s="115">
        <v>1</v>
      </c>
      <c r="N164" s="17"/>
      <c r="O164" s="19"/>
    </row>
    <row r="165" spans="1:15" x14ac:dyDescent="0.25">
      <c r="A165" s="286"/>
      <c r="B165" s="218"/>
      <c r="C165" s="22" t="s">
        <v>26</v>
      </c>
      <c r="D165" s="53">
        <v>96.7</v>
      </c>
      <c r="E165" s="53">
        <v>96.7</v>
      </c>
      <c r="F165" s="53">
        <v>95.7</v>
      </c>
      <c r="G165" s="53">
        <v>1</v>
      </c>
      <c r="H165" s="53">
        <v>1</v>
      </c>
      <c r="I165" s="54">
        <f t="shared" si="19"/>
        <v>0.98965873836608065</v>
      </c>
      <c r="J165" s="22" t="s">
        <v>316</v>
      </c>
      <c r="K165" s="24" t="s">
        <v>19</v>
      </c>
      <c r="L165" s="24">
        <v>1</v>
      </c>
      <c r="M165" s="112">
        <v>1</v>
      </c>
      <c r="N165" s="22"/>
      <c r="O165" s="25"/>
    </row>
    <row r="166" spans="1:15" x14ac:dyDescent="0.25">
      <c r="A166" s="286"/>
      <c r="B166" s="218"/>
      <c r="C166" s="22" t="s">
        <v>30</v>
      </c>
      <c r="D166" s="53">
        <v>74.7</v>
      </c>
      <c r="E166" s="53">
        <v>74.7</v>
      </c>
      <c r="F166" s="53">
        <v>9.6999999999999993</v>
      </c>
      <c r="G166" s="53">
        <v>65</v>
      </c>
      <c r="H166" s="53">
        <v>65</v>
      </c>
      <c r="I166" s="54">
        <f t="shared" si="19"/>
        <v>0.12985274431057561</v>
      </c>
      <c r="J166" s="22"/>
      <c r="K166" s="24"/>
      <c r="L166" s="81"/>
      <c r="M166" s="82"/>
      <c r="N166" s="22"/>
      <c r="O166" s="25"/>
    </row>
    <row r="167" spans="1:15" ht="15.75" thickBot="1" x14ac:dyDescent="0.3">
      <c r="A167" s="287"/>
      <c r="B167" s="219"/>
      <c r="C167" s="22" t="s">
        <v>171</v>
      </c>
      <c r="D167" s="53">
        <v>3</v>
      </c>
      <c r="E167" s="53">
        <v>3</v>
      </c>
      <c r="F167" s="53">
        <v>2.8</v>
      </c>
      <c r="G167" s="53">
        <v>0.2</v>
      </c>
      <c r="H167" s="53">
        <v>0.2</v>
      </c>
      <c r="I167" s="68">
        <f t="shared" si="19"/>
        <v>0.93333333333333324</v>
      </c>
      <c r="J167" s="22"/>
      <c r="K167" s="24"/>
      <c r="L167" s="81"/>
      <c r="M167" s="82"/>
      <c r="N167" s="22"/>
      <c r="O167" s="25"/>
    </row>
    <row r="168" spans="1:15" ht="51" customHeight="1" x14ac:dyDescent="0.25">
      <c r="A168" s="285" t="s">
        <v>317</v>
      </c>
      <c r="B168" s="217" t="s">
        <v>318</v>
      </c>
      <c r="C168" s="17"/>
      <c r="D168" s="51">
        <f>SUM(D169:D171)</f>
        <v>75</v>
      </c>
      <c r="E168" s="51">
        <f>SUM(E169:E171)</f>
        <v>75</v>
      </c>
      <c r="F168" s="51">
        <f>SUM(F169:F171)</f>
        <v>64.900000000000006</v>
      </c>
      <c r="G168" s="51">
        <f>SUM(G169:G171)</f>
        <v>10.1</v>
      </c>
      <c r="H168" s="51">
        <f>SUM(H169:H171)</f>
        <v>10.1</v>
      </c>
      <c r="I168" s="54">
        <f t="shared" si="19"/>
        <v>0.8653333333333334</v>
      </c>
      <c r="J168" s="17" t="s">
        <v>319</v>
      </c>
      <c r="K168" s="18" t="s">
        <v>249</v>
      </c>
      <c r="L168" s="18">
        <v>230</v>
      </c>
      <c r="M168" s="119">
        <v>944.46</v>
      </c>
      <c r="N168" s="17" t="s">
        <v>320</v>
      </c>
      <c r="O168" s="19"/>
    </row>
    <row r="169" spans="1:15" ht="63.75" x14ac:dyDescent="0.25">
      <c r="A169" s="286"/>
      <c r="B169" s="218"/>
      <c r="C169" s="22" t="s">
        <v>26</v>
      </c>
      <c r="D169" s="53">
        <v>10</v>
      </c>
      <c r="E169" s="53">
        <v>10</v>
      </c>
      <c r="F169" s="53">
        <v>0</v>
      </c>
      <c r="G169" s="53">
        <v>10</v>
      </c>
      <c r="H169" s="53">
        <v>10</v>
      </c>
      <c r="I169" s="54">
        <f t="shared" si="19"/>
        <v>0</v>
      </c>
      <c r="J169" s="22" t="s">
        <v>321</v>
      </c>
      <c r="K169" s="24" t="s">
        <v>19</v>
      </c>
      <c r="L169" s="24">
        <v>1</v>
      </c>
      <c r="M169" s="122">
        <v>0</v>
      </c>
      <c r="N169" s="129"/>
      <c r="O169" s="144" t="s">
        <v>322</v>
      </c>
    </row>
    <row r="170" spans="1:15" ht="38.25" x14ac:dyDescent="0.25">
      <c r="A170" s="286"/>
      <c r="B170" s="218"/>
      <c r="C170" s="22" t="s">
        <v>269</v>
      </c>
      <c r="D170" s="53">
        <v>65</v>
      </c>
      <c r="E170" s="53">
        <v>65</v>
      </c>
      <c r="F170" s="53">
        <v>64.900000000000006</v>
      </c>
      <c r="G170" s="53">
        <v>0.1</v>
      </c>
      <c r="H170" s="53">
        <v>0.1</v>
      </c>
      <c r="I170" s="54">
        <f t="shared" si="19"/>
        <v>0.99846153846153851</v>
      </c>
      <c r="J170" s="22" t="s">
        <v>323</v>
      </c>
      <c r="K170" s="24" t="s">
        <v>312</v>
      </c>
      <c r="L170" s="81">
        <v>15000</v>
      </c>
      <c r="M170" s="132">
        <v>9175</v>
      </c>
      <c r="N170" s="22" t="s">
        <v>1920</v>
      </c>
      <c r="O170" s="146" t="s">
        <v>1921</v>
      </c>
    </row>
    <row r="171" spans="1:15" ht="69.75" customHeight="1" thickBot="1" x14ac:dyDescent="0.3">
      <c r="A171" s="287"/>
      <c r="B171" s="219"/>
      <c r="C171" s="22"/>
      <c r="D171" s="53"/>
      <c r="E171" s="53"/>
      <c r="F171" s="53"/>
      <c r="G171" s="53"/>
      <c r="H171" s="53"/>
      <c r="I171" s="67"/>
      <c r="J171" s="22" t="s">
        <v>324</v>
      </c>
      <c r="K171" s="24" t="s">
        <v>19</v>
      </c>
      <c r="L171" s="24">
        <v>1</v>
      </c>
      <c r="M171" s="112">
        <v>1</v>
      </c>
      <c r="N171" s="22" t="s">
        <v>325</v>
      </c>
      <c r="O171" s="25"/>
    </row>
    <row r="172" spans="1:15" ht="25.5" x14ac:dyDescent="0.25">
      <c r="A172" s="285" t="s">
        <v>326</v>
      </c>
      <c r="B172" s="217" t="s">
        <v>327</v>
      </c>
      <c r="C172" s="17"/>
      <c r="D172" s="51">
        <f>SUM(D173:D174)</f>
        <v>771.6</v>
      </c>
      <c r="E172" s="51">
        <f>SUM(E173:E174)</f>
        <v>771.6</v>
      </c>
      <c r="F172" s="51">
        <f>SUM(F173:F174)</f>
        <v>693.9</v>
      </c>
      <c r="G172" s="51">
        <f>SUM(G173:G174)</f>
        <v>77.7</v>
      </c>
      <c r="H172" s="51">
        <f>SUM(H173:H174)</f>
        <v>77.7</v>
      </c>
      <c r="I172" s="54">
        <f t="shared" ref="I172:I176" si="20">SUM(F172/E172)</f>
        <v>0.89930015552099529</v>
      </c>
      <c r="J172" s="17" t="s">
        <v>328</v>
      </c>
      <c r="K172" s="18" t="s">
        <v>329</v>
      </c>
      <c r="L172" s="18">
        <v>13</v>
      </c>
      <c r="M172" s="115">
        <v>13</v>
      </c>
      <c r="N172" s="17" t="s">
        <v>330</v>
      </c>
      <c r="O172" s="19"/>
    </row>
    <row r="173" spans="1:15" x14ac:dyDescent="0.25">
      <c r="A173" s="286"/>
      <c r="B173" s="218"/>
      <c r="C173" s="22" t="s">
        <v>30</v>
      </c>
      <c r="D173" s="53">
        <v>146</v>
      </c>
      <c r="E173" s="53">
        <v>146</v>
      </c>
      <c r="F173" s="53">
        <v>128.9</v>
      </c>
      <c r="G173" s="53">
        <v>17.100000000000001</v>
      </c>
      <c r="H173" s="53">
        <v>17.100000000000001</v>
      </c>
      <c r="I173" s="54">
        <f t="shared" si="20"/>
        <v>0.88287671232876719</v>
      </c>
      <c r="J173" s="22" t="s">
        <v>225</v>
      </c>
      <c r="K173" s="24" t="s">
        <v>25</v>
      </c>
      <c r="L173" s="24">
        <v>100</v>
      </c>
      <c r="M173" s="112">
        <v>100</v>
      </c>
      <c r="N173" s="22"/>
      <c r="O173" s="25"/>
    </row>
    <row r="174" spans="1:15" ht="15.75" thickBot="1" x14ac:dyDescent="0.3">
      <c r="A174" s="287"/>
      <c r="B174" s="219"/>
      <c r="C174" s="22" t="s">
        <v>191</v>
      </c>
      <c r="D174" s="53">
        <v>625.6</v>
      </c>
      <c r="E174" s="53">
        <v>625.6</v>
      </c>
      <c r="F174" s="53">
        <v>565</v>
      </c>
      <c r="G174" s="53">
        <v>60.6</v>
      </c>
      <c r="H174" s="53">
        <v>60.6</v>
      </c>
      <c r="I174" s="68">
        <f t="shared" si="20"/>
        <v>0.90313299232736566</v>
      </c>
      <c r="J174" s="22"/>
      <c r="K174" s="24"/>
      <c r="L174" s="81"/>
      <c r="M174" s="82"/>
      <c r="N174" s="22"/>
      <c r="O174" s="25"/>
    </row>
    <row r="175" spans="1:15" ht="68.25" customHeight="1" thickBot="1" x14ac:dyDescent="0.3">
      <c r="A175" s="15" t="s">
        <v>331</v>
      </c>
      <c r="B175" s="16" t="s">
        <v>332</v>
      </c>
      <c r="C175" s="17" t="s">
        <v>269</v>
      </c>
      <c r="D175" s="61">
        <v>3</v>
      </c>
      <c r="E175" s="61">
        <v>3</v>
      </c>
      <c r="F175" s="61">
        <v>1.9</v>
      </c>
      <c r="G175" s="61">
        <v>1.1000000000000001</v>
      </c>
      <c r="H175" s="61">
        <v>1.1000000000000001</v>
      </c>
      <c r="I175" s="63">
        <f t="shared" si="20"/>
        <v>0.6333333333333333</v>
      </c>
      <c r="J175" s="17" t="s">
        <v>333</v>
      </c>
      <c r="K175" s="18" t="s">
        <v>25</v>
      </c>
      <c r="L175" s="18">
        <v>100</v>
      </c>
      <c r="M175" s="115">
        <v>100</v>
      </c>
      <c r="N175" s="17" t="s">
        <v>1755</v>
      </c>
      <c r="O175" s="19"/>
    </row>
    <row r="176" spans="1:15" ht="77.25" thickBot="1" x14ac:dyDescent="0.3">
      <c r="A176" s="15" t="s">
        <v>334</v>
      </c>
      <c r="B176" s="16" t="s">
        <v>335</v>
      </c>
      <c r="C176" s="17" t="s">
        <v>26</v>
      </c>
      <c r="D176" s="61">
        <v>10</v>
      </c>
      <c r="E176" s="61">
        <v>10</v>
      </c>
      <c r="F176" s="61">
        <v>6.6</v>
      </c>
      <c r="G176" s="61">
        <v>3.4</v>
      </c>
      <c r="H176" s="61">
        <v>3.4</v>
      </c>
      <c r="I176" s="54">
        <f t="shared" si="20"/>
        <v>0.65999999999999992</v>
      </c>
      <c r="J176" s="17" t="s">
        <v>336</v>
      </c>
      <c r="K176" s="18" t="s">
        <v>337</v>
      </c>
      <c r="L176" s="18">
        <v>16</v>
      </c>
      <c r="M176" s="119">
        <v>17</v>
      </c>
      <c r="N176" s="17" t="s">
        <v>338</v>
      </c>
      <c r="O176" s="19"/>
    </row>
    <row r="177" spans="1:19" ht="39" thickBot="1" x14ac:dyDescent="0.3">
      <c r="A177" s="12" t="s">
        <v>339</v>
      </c>
      <c r="B177" s="13" t="s">
        <v>340</v>
      </c>
      <c r="C177" s="14"/>
      <c r="D177" s="49">
        <f>SUM(D178:D179)</f>
        <v>11</v>
      </c>
      <c r="E177" s="49">
        <f>SUM(E178:E179)</f>
        <v>11</v>
      </c>
      <c r="F177" s="49">
        <f>SUM(F178:F179)</f>
        <v>9.1</v>
      </c>
      <c r="G177" s="49">
        <f>SUM(G178:G179)</f>
        <v>1.9000000000000001</v>
      </c>
      <c r="H177" s="49">
        <f>SUM(H178:H179)</f>
        <v>1.9000000000000001</v>
      </c>
      <c r="I177" s="66">
        <f>SUM(F177/E177)</f>
        <v>0.82727272727272727</v>
      </c>
      <c r="J177" s="263"/>
      <c r="K177" s="264"/>
      <c r="L177" s="264"/>
      <c r="M177" s="264"/>
      <c r="N177" s="264"/>
      <c r="O177" s="265"/>
    </row>
    <row r="178" spans="1:19" ht="204.75" thickBot="1" x14ac:dyDescent="0.3">
      <c r="A178" s="15" t="s">
        <v>341</v>
      </c>
      <c r="B178" s="16" t="s">
        <v>342</v>
      </c>
      <c r="C178" s="17" t="s">
        <v>269</v>
      </c>
      <c r="D178" s="61">
        <v>8</v>
      </c>
      <c r="E178" s="61">
        <v>8</v>
      </c>
      <c r="F178" s="61">
        <v>7.7</v>
      </c>
      <c r="G178" s="61">
        <v>0.3</v>
      </c>
      <c r="H178" s="61">
        <v>0.3</v>
      </c>
      <c r="I178" s="63">
        <f t="shared" ref="I178:I179" si="21">SUM(F178/E178)</f>
        <v>0.96250000000000002</v>
      </c>
      <c r="J178" s="17" t="s">
        <v>343</v>
      </c>
      <c r="K178" s="18" t="s">
        <v>19</v>
      </c>
      <c r="L178" s="18">
        <v>5</v>
      </c>
      <c r="M178" s="135">
        <v>4</v>
      </c>
      <c r="N178" s="17" t="s">
        <v>1756</v>
      </c>
      <c r="O178" s="146" t="s">
        <v>1922</v>
      </c>
    </row>
    <row r="179" spans="1:19" ht="76.5" x14ac:dyDescent="0.25">
      <c r="A179" s="285" t="s">
        <v>344</v>
      </c>
      <c r="B179" s="217" t="s">
        <v>345</v>
      </c>
      <c r="C179" s="17" t="s">
        <v>269</v>
      </c>
      <c r="D179" s="51">
        <f>SUM(D180:D181)+3</f>
        <v>3</v>
      </c>
      <c r="E179" s="51">
        <f>SUM(E180:E181)+3</f>
        <v>3</v>
      </c>
      <c r="F179" s="51">
        <f>SUM(F180:F181)+1.4</f>
        <v>1.4</v>
      </c>
      <c r="G179" s="51">
        <f>SUM(G180:G181)+1.6</f>
        <v>1.6</v>
      </c>
      <c r="H179" s="51">
        <f>SUM(H180:H181)+1.6</f>
        <v>1.6</v>
      </c>
      <c r="I179" s="54">
        <f t="shared" si="21"/>
        <v>0.46666666666666662</v>
      </c>
      <c r="J179" s="17" t="s">
        <v>346</v>
      </c>
      <c r="K179" s="18" t="s">
        <v>19</v>
      </c>
      <c r="L179" s="18">
        <v>40</v>
      </c>
      <c r="M179" s="136">
        <v>16</v>
      </c>
      <c r="N179" s="17" t="s">
        <v>347</v>
      </c>
      <c r="O179" s="146" t="s">
        <v>1923</v>
      </c>
    </row>
    <row r="180" spans="1:19" ht="244.5" customHeight="1" x14ac:dyDescent="0.25">
      <c r="A180" s="286"/>
      <c r="B180" s="218"/>
      <c r="C180" s="22"/>
      <c r="D180" s="53"/>
      <c r="E180" s="53"/>
      <c r="F180" s="53"/>
      <c r="G180" s="53"/>
      <c r="H180" s="53"/>
      <c r="I180" s="55"/>
      <c r="J180" s="22" t="s">
        <v>348</v>
      </c>
      <c r="K180" s="24" t="s">
        <v>19</v>
      </c>
      <c r="L180" s="24">
        <v>2</v>
      </c>
      <c r="M180" s="131">
        <v>3</v>
      </c>
      <c r="N180" s="22" t="s">
        <v>1757</v>
      </c>
      <c r="O180" s="25"/>
    </row>
    <row r="181" spans="1:19" ht="77.25" thickBot="1" x14ac:dyDescent="0.3">
      <c r="A181" s="287"/>
      <c r="B181" s="219"/>
      <c r="C181" s="22"/>
      <c r="D181" s="53"/>
      <c r="E181" s="53"/>
      <c r="F181" s="53"/>
      <c r="G181" s="53"/>
      <c r="H181" s="53"/>
      <c r="I181" s="55"/>
      <c r="J181" s="22" t="s">
        <v>349</v>
      </c>
      <c r="K181" s="24" t="s">
        <v>19</v>
      </c>
      <c r="L181" s="24">
        <v>2</v>
      </c>
      <c r="M181" s="130">
        <v>2</v>
      </c>
      <c r="N181" s="22" t="s">
        <v>1924</v>
      </c>
      <c r="O181" s="133"/>
    </row>
    <row r="182" spans="1:19" ht="26.25" thickBot="1" x14ac:dyDescent="0.3">
      <c r="A182" s="12" t="s">
        <v>350</v>
      </c>
      <c r="B182" s="13" t="s">
        <v>351</v>
      </c>
      <c r="C182" s="14"/>
      <c r="D182" s="49">
        <f>D183+D185</f>
        <v>740.9</v>
      </c>
      <c r="E182" s="49">
        <f>E183+E185</f>
        <v>740.9</v>
      </c>
      <c r="F182" s="49">
        <f>F183+F185</f>
        <v>740.8</v>
      </c>
      <c r="G182" s="49">
        <f>G183+G185</f>
        <v>0.1</v>
      </c>
      <c r="H182" s="49">
        <f>H183+H185</f>
        <v>0.1</v>
      </c>
      <c r="I182" s="50">
        <f>SUM(F182/E182)</f>
        <v>0.99986502901876095</v>
      </c>
      <c r="J182" s="263"/>
      <c r="K182" s="264"/>
      <c r="L182" s="264"/>
      <c r="M182" s="264"/>
      <c r="N182" s="264"/>
      <c r="O182" s="265"/>
    </row>
    <row r="183" spans="1:19" ht="38.25" x14ac:dyDescent="0.25">
      <c r="A183" s="285" t="s">
        <v>352</v>
      </c>
      <c r="B183" s="217" t="s">
        <v>353</v>
      </c>
      <c r="C183" s="17"/>
      <c r="D183" s="51">
        <f>SUM(D184:D184)</f>
        <v>24</v>
      </c>
      <c r="E183" s="51">
        <f>SUM(E184:E184)</f>
        <v>24</v>
      </c>
      <c r="F183" s="51">
        <f>SUM(F184:F184)</f>
        <v>24</v>
      </c>
      <c r="G183" s="51"/>
      <c r="H183" s="51"/>
      <c r="I183" s="54">
        <f t="shared" ref="I183:I188" si="22">SUM(F183/E183)</f>
        <v>1</v>
      </c>
      <c r="J183" s="17" t="s">
        <v>354</v>
      </c>
      <c r="K183" s="18" t="s">
        <v>19</v>
      </c>
      <c r="L183" s="18">
        <v>1</v>
      </c>
      <c r="M183" s="115">
        <v>1</v>
      </c>
      <c r="N183" s="17" t="s">
        <v>355</v>
      </c>
      <c r="O183" s="19"/>
    </row>
    <row r="184" spans="1:19" ht="15.75" thickBot="1" x14ac:dyDescent="0.3">
      <c r="A184" s="287"/>
      <c r="B184" s="219"/>
      <c r="C184" s="22" t="s">
        <v>26</v>
      </c>
      <c r="D184" s="53">
        <v>24</v>
      </c>
      <c r="E184" s="53">
        <v>24</v>
      </c>
      <c r="F184" s="53">
        <v>24</v>
      </c>
      <c r="G184" s="53"/>
      <c r="H184" s="53"/>
      <c r="I184" s="68">
        <f t="shared" si="22"/>
        <v>1</v>
      </c>
      <c r="J184" s="22"/>
      <c r="K184" s="24"/>
      <c r="L184" s="81"/>
      <c r="M184" s="82"/>
      <c r="N184" s="22"/>
      <c r="O184" s="25"/>
    </row>
    <row r="185" spans="1:19" ht="25.5" x14ac:dyDescent="0.25">
      <c r="A185" s="285" t="s">
        <v>356</v>
      </c>
      <c r="B185" s="217" t="s">
        <v>357</v>
      </c>
      <c r="C185" s="17"/>
      <c r="D185" s="51">
        <f>SUM(D186:D188)</f>
        <v>716.9</v>
      </c>
      <c r="E185" s="51">
        <f>SUM(E186:E188)</f>
        <v>716.9</v>
      </c>
      <c r="F185" s="51">
        <f>SUM(F186:F188)</f>
        <v>716.8</v>
      </c>
      <c r="G185" s="51">
        <f>SUM(G186:G188)</f>
        <v>0.1</v>
      </c>
      <c r="H185" s="51">
        <f>SUM(H186:H188)</f>
        <v>0.1</v>
      </c>
      <c r="I185" s="54">
        <f t="shared" si="22"/>
        <v>0.99986051053145486</v>
      </c>
      <c r="J185" s="17" t="s">
        <v>358</v>
      </c>
      <c r="K185" s="18" t="s">
        <v>359</v>
      </c>
      <c r="L185" s="18">
        <v>512</v>
      </c>
      <c r="M185" s="115">
        <v>512</v>
      </c>
      <c r="N185" s="17" t="s">
        <v>360</v>
      </c>
      <c r="O185" s="19"/>
      <c r="P185" s="212"/>
    </row>
    <row r="186" spans="1:19" x14ac:dyDescent="0.25">
      <c r="A186" s="286"/>
      <c r="B186" s="218"/>
      <c r="C186" s="22" t="s">
        <v>26</v>
      </c>
      <c r="D186" s="53">
        <v>525</v>
      </c>
      <c r="E186" s="53">
        <v>525</v>
      </c>
      <c r="F186" s="53">
        <v>525</v>
      </c>
      <c r="G186" s="53"/>
      <c r="H186" s="53"/>
      <c r="I186" s="54">
        <f t="shared" si="22"/>
        <v>1</v>
      </c>
      <c r="J186" s="22"/>
      <c r="K186" s="24"/>
      <c r="L186" s="81"/>
      <c r="M186" s="82"/>
      <c r="N186" s="22"/>
      <c r="O186" s="25"/>
    </row>
    <row r="187" spans="1:19" x14ac:dyDescent="0.25">
      <c r="A187" s="286"/>
      <c r="B187" s="218"/>
      <c r="C187" s="22" t="s">
        <v>30</v>
      </c>
      <c r="D187" s="53">
        <v>69.900000000000006</v>
      </c>
      <c r="E187" s="53">
        <v>69.900000000000006</v>
      </c>
      <c r="F187" s="53">
        <v>69.900000000000006</v>
      </c>
      <c r="G187" s="53"/>
      <c r="H187" s="53"/>
      <c r="I187" s="54">
        <f t="shared" si="22"/>
        <v>1</v>
      </c>
      <c r="J187" s="22"/>
      <c r="K187" s="24"/>
      <c r="L187" s="81"/>
      <c r="M187" s="82"/>
      <c r="N187" s="22"/>
      <c r="O187" s="25"/>
    </row>
    <row r="188" spans="1:19" ht="15.75" thickBot="1" x14ac:dyDescent="0.3">
      <c r="A188" s="287"/>
      <c r="B188" s="219"/>
      <c r="C188" s="22" t="s">
        <v>181</v>
      </c>
      <c r="D188" s="53">
        <v>122</v>
      </c>
      <c r="E188" s="53">
        <v>122</v>
      </c>
      <c r="F188" s="53">
        <v>121.9</v>
      </c>
      <c r="G188" s="53">
        <v>0.1</v>
      </c>
      <c r="H188" s="53">
        <v>0.1</v>
      </c>
      <c r="I188" s="54">
        <f t="shared" si="22"/>
        <v>0.99918032786885247</v>
      </c>
      <c r="J188" s="22"/>
      <c r="K188" s="24"/>
      <c r="L188" s="81"/>
      <c r="M188" s="82"/>
      <c r="N188" s="22"/>
      <c r="O188" s="25"/>
    </row>
    <row r="189" spans="1:19" ht="39" thickBot="1" x14ac:dyDescent="0.3">
      <c r="A189" s="4" t="s">
        <v>361</v>
      </c>
      <c r="B189" s="5" t="s">
        <v>362</v>
      </c>
      <c r="C189" s="6"/>
      <c r="D189" s="45">
        <f>D190+D289</f>
        <v>31775.200000000001</v>
      </c>
      <c r="E189" s="45">
        <f>E190+E289</f>
        <v>31775.200000000001</v>
      </c>
      <c r="F189" s="45">
        <f>F190+F289</f>
        <v>29158.799999999996</v>
      </c>
      <c r="G189" s="45">
        <f>G190+G289-0.1</f>
        <v>2616.4</v>
      </c>
      <c r="H189" s="45">
        <f>H190+H289-0.1</f>
        <v>2616.4</v>
      </c>
      <c r="I189" s="46">
        <f>SUM(F189/E189)</f>
        <v>0.91765905486039412</v>
      </c>
      <c r="J189" s="266"/>
      <c r="K189" s="267"/>
      <c r="L189" s="267"/>
      <c r="M189" s="267"/>
      <c r="N189" s="267"/>
      <c r="O189" s="268"/>
      <c r="Q189" s="194"/>
      <c r="R189" s="195" t="s">
        <v>1</v>
      </c>
      <c r="S189" s="195" t="s">
        <v>1969</v>
      </c>
    </row>
    <row r="190" spans="1:19" ht="64.5" thickBot="1" x14ac:dyDescent="0.3">
      <c r="A190" s="7" t="s">
        <v>363</v>
      </c>
      <c r="B190" s="8" t="s">
        <v>364</v>
      </c>
      <c r="C190" s="9"/>
      <c r="D190" s="47">
        <f>D191+D250+D260</f>
        <v>17974</v>
      </c>
      <c r="E190" s="47">
        <f>E191+E250+E260</f>
        <v>17974</v>
      </c>
      <c r="F190" s="47">
        <f>F191+F250+F260</f>
        <v>16440.899999999998</v>
      </c>
      <c r="G190" s="47">
        <f>G191+G250+G260+0.1</f>
        <v>1533.1999999999998</v>
      </c>
      <c r="H190" s="47">
        <f>H191+H250+H260+0.1</f>
        <v>1533.1999999999998</v>
      </c>
      <c r="I190" s="48">
        <f>SUM(F190/E190)</f>
        <v>0.91470457327250465</v>
      </c>
      <c r="J190" s="9" t="s">
        <v>365</v>
      </c>
      <c r="K190" s="10" t="s">
        <v>25</v>
      </c>
      <c r="L190" s="10">
        <v>100</v>
      </c>
      <c r="M190" s="78">
        <v>100</v>
      </c>
      <c r="N190" s="9"/>
      <c r="O190" s="11" t="s">
        <v>366</v>
      </c>
      <c r="Q190" s="196"/>
      <c r="R190" s="197" t="s">
        <v>1961</v>
      </c>
      <c r="S190" s="198">
        <v>5</v>
      </c>
    </row>
    <row r="191" spans="1:19" ht="32.25" thickBot="1" x14ac:dyDescent="0.3">
      <c r="A191" s="12" t="s">
        <v>367</v>
      </c>
      <c r="B191" s="13" t="s">
        <v>368</v>
      </c>
      <c r="C191" s="14"/>
      <c r="D191" s="49">
        <f>D192+D247</f>
        <v>9343.1</v>
      </c>
      <c r="E191" s="49">
        <f>E192+E247</f>
        <v>9343.1</v>
      </c>
      <c r="F191" s="49">
        <f>F192+F247</f>
        <v>9255.1999999999989</v>
      </c>
      <c r="G191" s="49">
        <f>G192+G247</f>
        <v>87.9</v>
      </c>
      <c r="H191" s="49">
        <f>H192+H247</f>
        <v>87.9</v>
      </c>
      <c r="I191" s="66">
        <f>SUM(F191/E191)</f>
        <v>0.99059198767004508</v>
      </c>
      <c r="J191" s="263"/>
      <c r="K191" s="264"/>
      <c r="L191" s="264"/>
      <c r="M191" s="264"/>
      <c r="N191" s="264"/>
      <c r="O191" s="265"/>
      <c r="Q191" s="199"/>
      <c r="R191" s="197" t="s">
        <v>1962</v>
      </c>
      <c r="S191" s="198"/>
    </row>
    <row r="192" spans="1:19" ht="89.25" x14ac:dyDescent="0.25">
      <c r="A192" s="285" t="s">
        <v>369</v>
      </c>
      <c r="B192" s="217" t="s">
        <v>370</v>
      </c>
      <c r="C192" s="17"/>
      <c r="D192" s="51">
        <f>D193+D194+D195+D196+D197+D198+D202+D205+D206+D210+D214+D215+D218+D221+D223+D224+D225+D228+D229+D231+D233+D235+D239+D242+D243+D246</f>
        <v>8843.1</v>
      </c>
      <c r="E192" s="51">
        <f>E193+E194+E195+E196+E197+E198+E202+E205+E206+E210+E214+E215+E218+E221+E223+E224+E225+E228+E229+E231+E233+E235+E239+E242+E243+E246</f>
        <v>8843.1</v>
      </c>
      <c r="F192" s="51">
        <f>F193+F194+F195+F196+F197+F198+F202+F205+F206+F210+F214+F215+F218+F221+F223+F224+F225+F228+F229+F231+F233+F235+F239+F242+F243+F246+0.3</f>
        <v>8755.1999999999989</v>
      </c>
      <c r="G192" s="51">
        <f>G193+G194+G195+G196+G197+G198+G202+G205+G206+G210+G214+G215+G218+G221+G223+G224+G225+G228+G229+G231+G233+G235+G239+G242+G243+G246-0.2</f>
        <v>87.9</v>
      </c>
      <c r="H192" s="51">
        <f>H193+H194+H195+H196+H197+H198+H202+H205+H206+H210+H214+H215+H218+H221+H223+H224+H225+H228+H229+H231+H233+H235+H239+H242+H243+H246-0.2</f>
        <v>87.9</v>
      </c>
      <c r="I192" s="54">
        <f t="shared" ref="I192" si="23">SUM(F192/E192)</f>
        <v>0.99006004681616155</v>
      </c>
      <c r="J192" s="17" t="s">
        <v>371</v>
      </c>
      <c r="K192" s="18" t="s">
        <v>25</v>
      </c>
      <c r="L192" s="18">
        <v>100</v>
      </c>
      <c r="M192" s="125">
        <v>100</v>
      </c>
      <c r="N192" s="145"/>
      <c r="O192" s="19"/>
      <c r="Q192" s="200"/>
      <c r="R192" s="197" t="s">
        <v>1963</v>
      </c>
      <c r="S192" s="198">
        <v>6</v>
      </c>
    </row>
    <row r="193" spans="1:19" ht="63.75" x14ac:dyDescent="0.25">
      <c r="A193" s="286"/>
      <c r="B193" s="218"/>
      <c r="C193" s="22"/>
      <c r="D193" s="53"/>
      <c r="E193" s="53"/>
      <c r="F193" s="53"/>
      <c r="G193" s="53"/>
      <c r="H193" s="53"/>
      <c r="I193" s="55"/>
      <c r="J193" s="22" t="s">
        <v>372</v>
      </c>
      <c r="K193" s="24" t="s">
        <v>25</v>
      </c>
      <c r="L193" s="24">
        <v>100</v>
      </c>
      <c r="M193" s="130">
        <v>100</v>
      </c>
      <c r="N193" s="22"/>
      <c r="O193" s="25"/>
      <c r="Q193" s="202"/>
      <c r="R193" s="197" t="s">
        <v>1964</v>
      </c>
      <c r="S193" s="198">
        <v>2</v>
      </c>
    </row>
    <row r="194" spans="1:19" ht="31.5" x14ac:dyDescent="0.25">
      <c r="A194" s="286"/>
      <c r="B194" s="218"/>
      <c r="C194" s="22"/>
      <c r="D194" s="53"/>
      <c r="E194" s="53"/>
      <c r="F194" s="53"/>
      <c r="G194" s="53"/>
      <c r="H194" s="53"/>
      <c r="I194" s="55"/>
      <c r="J194" s="22" t="s">
        <v>373</v>
      </c>
      <c r="K194" s="24" t="s">
        <v>296</v>
      </c>
      <c r="L194" s="81">
        <v>36000</v>
      </c>
      <c r="M194" s="132">
        <v>27000</v>
      </c>
      <c r="N194" s="22"/>
      <c r="O194" s="25" t="s">
        <v>374</v>
      </c>
      <c r="Q194" s="204"/>
      <c r="R194" s="197" t="s">
        <v>1965</v>
      </c>
      <c r="S194" s="198">
        <v>7</v>
      </c>
    </row>
    <row r="195" spans="1:19" ht="16.5" thickBot="1" x14ac:dyDescent="0.3">
      <c r="A195" s="287"/>
      <c r="B195" s="219"/>
      <c r="C195" s="22"/>
      <c r="D195" s="53"/>
      <c r="E195" s="53"/>
      <c r="F195" s="53"/>
      <c r="G195" s="53"/>
      <c r="H195" s="53"/>
      <c r="I195" s="67"/>
      <c r="J195" s="22" t="s">
        <v>375</v>
      </c>
      <c r="K195" s="24" t="s">
        <v>19</v>
      </c>
      <c r="L195" s="24">
        <v>76</v>
      </c>
      <c r="M195" s="130">
        <v>76</v>
      </c>
      <c r="N195" s="22"/>
      <c r="O195" s="25"/>
      <c r="Q195" s="194"/>
      <c r="R195" s="205" t="s">
        <v>1966</v>
      </c>
      <c r="S195" s="215">
        <f>+SUM(S190:S194)</f>
        <v>20</v>
      </c>
    </row>
    <row r="196" spans="1:19" ht="39" thickBot="1" x14ac:dyDescent="0.3">
      <c r="A196" s="15" t="s">
        <v>376</v>
      </c>
      <c r="B196" s="16" t="s">
        <v>377</v>
      </c>
      <c r="C196" s="17" t="s">
        <v>26</v>
      </c>
      <c r="D196" s="61">
        <v>14</v>
      </c>
      <c r="E196" s="61">
        <v>14</v>
      </c>
      <c r="F196" s="61">
        <v>14</v>
      </c>
      <c r="G196" s="61"/>
      <c r="H196" s="61"/>
      <c r="I196" s="63">
        <f t="shared" ref="I196:I199" si="24">SUM(F196/E196)</f>
        <v>1</v>
      </c>
      <c r="J196" s="17" t="s">
        <v>378</v>
      </c>
      <c r="K196" s="18" t="s">
        <v>25</v>
      </c>
      <c r="L196" s="18">
        <v>100</v>
      </c>
      <c r="M196" s="125">
        <v>100</v>
      </c>
      <c r="N196" s="17" t="s">
        <v>379</v>
      </c>
      <c r="O196" s="19"/>
    </row>
    <row r="197" spans="1:19" ht="39" thickBot="1" x14ac:dyDescent="0.3">
      <c r="A197" s="15" t="s">
        <v>380</v>
      </c>
      <c r="B197" s="16" t="s">
        <v>381</v>
      </c>
      <c r="C197" s="17" t="s">
        <v>26</v>
      </c>
      <c r="D197" s="61">
        <v>13</v>
      </c>
      <c r="E197" s="61">
        <v>13</v>
      </c>
      <c r="F197" s="61">
        <v>11.7</v>
      </c>
      <c r="G197" s="61">
        <v>1.3</v>
      </c>
      <c r="H197" s="61">
        <v>1.3</v>
      </c>
      <c r="I197" s="63">
        <f t="shared" si="24"/>
        <v>0.89999999999999991</v>
      </c>
      <c r="J197" s="17" t="s">
        <v>378</v>
      </c>
      <c r="K197" s="18" t="s">
        <v>25</v>
      </c>
      <c r="L197" s="18">
        <v>100</v>
      </c>
      <c r="M197" s="125">
        <v>100</v>
      </c>
      <c r="N197" s="17" t="s">
        <v>382</v>
      </c>
      <c r="O197" s="19"/>
    </row>
    <row r="198" spans="1:19" ht="165.75" x14ac:dyDescent="0.25">
      <c r="A198" s="285" t="s">
        <v>383</v>
      </c>
      <c r="B198" s="217" t="s">
        <v>384</v>
      </c>
      <c r="C198" s="17"/>
      <c r="D198" s="51">
        <f>SUM(D199:D201)</f>
        <v>1340</v>
      </c>
      <c r="E198" s="51">
        <f>SUM(E199:E201)</f>
        <v>1340</v>
      </c>
      <c r="F198" s="51">
        <f>SUM(F199:F201)</f>
        <v>1340</v>
      </c>
      <c r="G198" s="51"/>
      <c r="H198" s="51"/>
      <c r="I198" s="54">
        <f t="shared" si="24"/>
        <v>1</v>
      </c>
      <c r="J198" s="17" t="s">
        <v>385</v>
      </c>
      <c r="K198" s="18" t="s">
        <v>296</v>
      </c>
      <c r="L198" s="79">
        <v>1960</v>
      </c>
      <c r="M198" s="138">
        <v>1995.58</v>
      </c>
      <c r="N198" s="17" t="s">
        <v>386</v>
      </c>
      <c r="O198" s="19"/>
    </row>
    <row r="199" spans="1:19" x14ac:dyDescent="0.25">
      <c r="A199" s="286"/>
      <c r="B199" s="218"/>
      <c r="C199" s="22" t="s">
        <v>26</v>
      </c>
      <c r="D199" s="53">
        <v>1340</v>
      </c>
      <c r="E199" s="53">
        <v>1340</v>
      </c>
      <c r="F199" s="53">
        <v>1340</v>
      </c>
      <c r="G199" s="53"/>
      <c r="H199" s="53"/>
      <c r="I199" s="54">
        <f t="shared" si="24"/>
        <v>1</v>
      </c>
      <c r="J199" s="22" t="s">
        <v>387</v>
      </c>
      <c r="K199" s="24" t="s">
        <v>296</v>
      </c>
      <c r="L199" s="81">
        <v>5000</v>
      </c>
      <c r="M199" s="120">
        <v>6500</v>
      </c>
      <c r="N199" s="22"/>
      <c r="O199" s="25"/>
    </row>
    <row r="200" spans="1:19" ht="19.5" customHeight="1" x14ac:dyDescent="0.25">
      <c r="A200" s="286"/>
      <c r="B200" s="218"/>
      <c r="C200" s="22"/>
      <c r="D200" s="53"/>
      <c r="E200" s="53"/>
      <c r="F200" s="53"/>
      <c r="G200" s="53"/>
      <c r="H200" s="53"/>
      <c r="I200" s="55"/>
      <c r="J200" s="22" t="s">
        <v>388</v>
      </c>
      <c r="K200" s="24" t="s">
        <v>296</v>
      </c>
      <c r="L200" s="81">
        <v>90000000</v>
      </c>
      <c r="M200" s="120">
        <v>93208411</v>
      </c>
      <c r="N200" s="22"/>
      <c r="O200" s="25"/>
    </row>
    <row r="201" spans="1:19" ht="26.25" thickBot="1" x14ac:dyDescent="0.3">
      <c r="A201" s="287"/>
      <c r="B201" s="219"/>
      <c r="C201" s="22"/>
      <c r="D201" s="53"/>
      <c r="E201" s="53"/>
      <c r="F201" s="53"/>
      <c r="G201" s="53"/>
      <c r="H201" s="53"/>
      <c r="I201" s="68"/>
      <c r="J201" s="22" t="s">
        <v>389</v>
      </c>
      <c r="K201" s="24" t="s">
        <v>312</v>
      </c>
      <c r="L201" s="81">
        <v>235000</v>
      </c>
      <c r="M201" s="120">
        <v>291906</v>
      </c>
      <c r="N201" s="22" t="s">
        <v>390</v>
      </c>
      <c r="O201" s="25"/>
    </row>
    <row r="202" spans="1:19" ht="89.25" x14ac:dyDescent="0.25">
      <c r="A202" s="285" t="s">
        <v>391</v>
      </c>
      <c r="B202" s="217" t="s">
        <v>392</v>
      </c>
      <c r="C202" s="17"/>
      <c r="D202" s="51">
        <f>SUM(D203:D204)</f>
        <v>990</v>
      </c>
      <c r="E202" s="51">
        <f>SUM(E203:E204)</f>
        <v>990</v>
      </c>
      <c r="F202" s="51">
        <f>SUM(F203:F204)</f>
        <v>986.4</v>
      </c>
      <c r="G202" s="51">
        <f>SUM(G203:G204)</f>
        <v>3.6</v>
      </c>
      <c r="H202" s="51">
        <f>SUM(H203:H204)</f>
        <v>3.6</v>
      </c>
      <c r="I202" s="54">
        <f t="shared" ref="I202:I203" si="25">SUM(F202/E202)</f>
        <v>0.99636363636363634</v>
      </c>
      <c r="J202" s="17" t="s">
        <v>393</v>
      </c>
      <c r="K202" s="18" t="s">
        <v>296</v>
      </c>
      <c r="L202" s="79">
        <v>600000</v>
      </c>
      <c r="M202" s="138">
        <v>745488</v>
      </c>
      <c r="N202" s="17" t="s">
        <v>394</v>
      </c>
      <c r="O202" s="19"/>
    </row>
    <row r="203" spans="1:19" ht="38.25" x14ac:dyDescent="0.25">
      <c r="A203" s="286"/>
      <c r="B203" s="218"/>
      <c r="C203" s="22" t="s">
        <v>26</v>
      </c>
      <c r="D203" s="53">
        <v>990</v>
      </c>
      <c r="E203" s="53">
        <v>990</v>
      </c>
      <c r="F203" s="53">
        <v>986.4</v>
      </c>
      <c r="G203" s="53">
        <v>3.6</v>
      </c>
      <c r="H203" s="53">
        <v>3.6</v>
      </c>
      <c r="I203" s="54">
        <f t="shared" si="25"/>
        <v>0.99636363636363634</v>
      </c>
      <c r="J203" s="22" t="s">
        <v>395</v>
      </c>
      <c r="K203" s="24" t="s">
        <v>296</v>
      </c>
      <c r="L203" s="81">
        <v>26000000</v>
      </c>
      <c r="M203" s="132">
        <v>19360522</v>
      </c>
      <c r="N203" s="22"/>
      <c r="O203" s="25" t="s">
        <v>1925</v>
      </c>
    </row>
    <row r="204" spans="1:19" ht="15.75" thickBot="1" x14ac:dyDescent="0.3">
      <c r="A204" s="287"/>
      <c r="B204" s="219"/>
      <c r="C204" s="22"/>
      <c r="D204" s="53"/>
      <c r="E204" s="53"/>
      <c r="F204" s="53"/>
      <c r="G204" s="53"/>
      <c r="H204" s="53"/>
      <c r="I204" s="67"/>
      <c r="J204" s="22" t="s">
        <v>396</v>
      </c>
      <c r="K204" s="24" t="s">
        <v>19</v>
      </c>
      <c r="L204" s="24">
        <v>810</v>
      </c>
      <c r="M204" s="131">
        <v>971</v>
      </c>
      <c r="N204" s="22"/>
      <c r="O204" s="25"/>
    </row>
    <row r="205" spans="1:19" ht="102.75" thickBot="1" x14ac:dyDescent="0.3">
      <c r="A205" s="37" t="s">
        <v>397</v>
      </c>
      <c r="B205" s="17" t="s">
        <v>398</v>
      </c>
      <c r="C205" s="17" t="s">
        <v>26</v>
      </c>
      <c r="D205" s="61">
        <v>340</v>
      </c>
      <c r="E205" s="61">
        <v>340</v>
      </c>
      <c r="F205" s="61">
        <v>333.7</v>
      </c>
      <c r="G205" s="61">
        <v>6.3</v>
      </c>
      <c r="H205" s="61">
        <v>6.3</v>
      </c>
      <c r="I205" s="63">
        <f t="shared" ref="I205:I206" si="26">SUM(F205/E205)</f>
        <v>0.98147058823529409</v>
      </c>
      <c r="J205" s="17" t="s">
        <v>399</v>
      </c>
      <c r="K205" s="18" t="s">
        <v>296</v>
      </c>
      <c r="L205" s="79">
        <v>2200000</v>
      </c>
      <c r="M205" s="160">
        <v>2279400</v>
      </c>
      <c r="N205" s="17" t="s">
        <v>1926</v>
      </c>
      <c r="O205" s="19"/>
    </row>
    <row r="206" spans="1:19" ht="76.5" x14ac:dyDescent="0.25">
      <c r="A206" s="285" t="s">
        <v>400</v>
      </c>
      <c r="B206" s="217" t="s">
        <v>401</v>
      </c>
      <c r="C206" s="17" t="s">
        <v>26</v>
      </c>
      <c r="D206" s="51">
        <f>SUM(D207:D209)+208</f>
        <v>208</v>
      </c>
      <c r="E206" s="51">
        <f>SUM(E207:E209)+208</f>
        <v>208</v>
      </c>
      <c r="F206" s="51">
        <f>SUM(F207:F209)+207.8</f>
        <v>207.8</v>
      </c>
      <c r="G206" s="51">
        <f>SUM(G207:G209)+0.2</f>
        <v>0.2</v>
      </c>
      <c r="H206" s="51">
        <f>SUM(H207:H209)+0.2</f>
        <v>0.2</v>
      </c>
      <c r="I206" s="54">
        <f t="shared" si="26"/>
        <v>0.99903846153846154</v>
      </c>
      <c r="J206" s="17" t="s">
        <v>402</v>
      </c>
      <c r="K206" s="18" t="s">
        <v>296</v>
      </c>
      <c r="L206" s="79">
        <v>8870</v>
      </c>
      <c r="M206" s="138">
        <v>12369</v>
      </c>
      <c r="N206" s="17" t="s">
        <v>1772</v>
      </c>
      <c r="O206" s="19"/>
    </row>
    <row r="207" spans="1:19" x14ac:dyDescent="0.25">
      <c r="A207" s="286"/>
      <c r="B207" s="218"/>
      <c r="C207" s="22"/>
      <c r="D207" s="53"/>
      <c r="E207" s="53"/>
      <c r="F207" s="53"/>
      <c r="G207" s="53"/>
      <c r="H207" s="53"/>
      <c r="I207" s="55"/>
      <c r="J207" s="22" t="s">
        <v>403</v>
      </c>
      <c r="K207" s="24" t="s">
        <v>19</v>
      </c>
      <c r="L207" s="81">
        <v>60000</v>
      </c>
      <c r="M207" s="132">
        <v>34081</v>
      </c>
      <c r="N207" s="22"/>
      <c r="O207" s="25" t="s">
        <v>1927</v>
      </c>
    </row>
    <row r="208" spans="1:19" ht="51" x14ac:dyDescent="0.25">
      <c r="A208" s="286"/>
      <c r="B208" s="218"/>
      <c r="C208" s="22"/>
      <c r="D208" s="53"/>
      <c r="E208" s="53"/>
      <c r="F208" s="53"/>
      <c r="G208" s="53"/>
      <c r="H208" s="53"/>
      <c r="I208" s="55"/>
      <c r="J208" s="22" t="s">
        <v>404</v>
      </c>
      <c r="K208" s="24" t="s">
        <v>296</v>
      </c>
      <c r="L208" s="24">
        <v>50</v>
      </c>
      <c r="M208" s="120">
        <v>1270</v>
      </c>
      <c r="N208" s="22" t="s">
        <v>405</v>
      </c>
      <c r="O208" s="25"/>
    </row>
    <row r="209" spans="1:17" ht="39" thickBot="1" x14ac:dyDescent="0.3">
      <c r="A209" s="287"/>
      <c r="B209" s="219"/>
      <c r="C209" s="22"/>
      <c r="D209" s="53"/>
      <c r="E209" s="53"/>
      <c r="F209" s="53"/>
      <c r="G209" s="53"/>
      <c r="H209" s="53"/>
      <c r="I209" s="67"/>
      <c r="J209" s="22" t="s">
        <v>406</v>
      </c>
      <c r="K209" s="24" t="s">
        <v>19</v>
      </c>
      <c r="L209" s="24">
        <v>500</v>
      </c>
      <c r="M209" s="137">
        <v>334</v>
      </c>
      <c r="N209" s="22" t="s">
        <v>407</v>
      </c>
      <c r="O209" s="25" t="s">
        <v>1928</v>
      </c>
    </row>
    <row r="210" spans="1:17" ht="25.5" customHeight="1" x14ac:dyDescent="0.25">
      <c r="A210" s="285" t="s">
        <v>408</v>
      </c>
      <c r="B210" s="217" t="s">
        <v>409</v>
      </c>
      <c r="C210" s="17"/>
      <c r="D210" s="51">
        <f>SUM(D211:D213)</f>
        <v>450.8</v>
      </c>
      <c r="E210" s="51">
        <f>SUM(E211:E213)</f>
        <v>450.8</v>
      </c>
      <c r="F210" s="51">
        <f>SUM(F211:F213)</f>
        <v>405.6</v>
      </c>
      <c r="G210" s="51">
        <f>SUM(G211:G213)</f>
        <v>45.2</v>
      </c>
      <c r="H210" s="51">
        <f>SUM(H211:H213)</f>
        <v>45.2</v>
      </c>
      <c r="I210" s="54">
        <f t="shared" ref="I210:I223" si="27">SUM(F210/E210)</f>
        <v>0.89973380656610469</v>
      </c>
      <c r="J210" s="17" t="s">
        <v>410</v>
      </c>
      <c r="K210" s="18" t="s">
        <v>296</v>
      </c>
      <c r="L210" s="79">
        <v>36000</v>
      </c>
      <c r="M210" s="126">
        <v>27000</v>
      </c>
      <c r="N210" s="17" t="s">
        <v>411</v>
      </c>
      <c r="O210" s="19" t="s">
        <v>374</v>
      </c>
    </row>
    <row r="211" spans="1:17" x14ac:dyDescent="0.25">
      <c r="A211" s="286"/>
      <c r="B211" s="218"/>
      <c r="C211" s="22" t="s">
        <v>181</v>
      </c>
      <c r="D211" s="53">
        <v>10.8</v>
      </c>
      <c r="E211" s="53">
        <v>10.8</v>
      </c>
      <c r="F211" s="53">
        <v>2.5</v>
      </c>
      <c r="G211" s="53">
        <v>8.3000000000000007</v>
      </c>
      <c r="H211" s="53">
        <v>8.3000000000000007</v>
      </c>
      <c r="I211" s="54">
        <f t="shared" si="27"/>
        <v>0.23148148148148145</v>
      </c>
      <c r="J211" s="22" t="s">
        <v>412</v>
      </c>
      <c r="K211" s="24" t="s">
        <v>19</v>
      </c>
      <c r="L211" s="24">
        <v>90</v>
      </c>
      <c r="M211" s="130">
        <v>90</v>
      </c>
      <c r="N211" s="129"/>
      <c r="O211" s="25"/>
    </row>
    <row r="212" spans="1:17" x14ac:dyDescent="0.25">
      <c r="A212" s="286"/>
      <c r="B212" s="218"/>
      <c r="C212" s="22" t="s">
        <v>26</v>
      </c>
      <c r="D212" s="53">
        <v>283.7</v>
      </c>
      <c r="E212" s="53">
        <v>283.7</v>
      </c>
      <c r="F212" s="53">
        <v>283.7</v>
      </c>
      <c r="G212" s="53"/>
      <c r="H212" s="53"/>
      <c r="I212" s="54">
        <f t="shared" si="27"/>
        <v>1</v>
      </c>
      <c r="J212" s="22"/>
      <c r="K212" s="24"/>
      <c r="L212" s="81"/>
      <c r="M212" s="82"/>
      <c r="N212" s="22"/>
      <c r="O212" s="25"/>
    </row>
    <row r="213" spans="1:17" ht="15.75" thickBot="1" x14ac:dyDescent="0.3">
      <c r="A213" s="287"/>
      <c r="B213" s="219"/>
      <c r="C213" s="22" t="s">
        <v>30</v>
      </c>
      <c r="D213" s="53">
        <v>156.30000000000001</v>
      </c>
      <c r="E213" s="53">
        <v>156.30000000000001</v>
      </c>
      <c r="F213" s="53">
        <v>119.4</v>
      </c>
      <c r="G213" s="53">
        <v>36.9</v>
      </c>
      <c r="H213" s="53">
        <v>36.9</v>
      </c>
      <c r="I213" s="68">
        <f t="shared" si="27"/>
        <v>0.76391554702495201</v>
      </c>
      <c r="J213" s="22"/>
      <c r="K213" s="24"/>
      <c r="L213" s="81"/>
      <c r="M213" s="82"/>
      <c r="N213" s="22"/>
      <c r="O213" s="25"/>
    </row>
    <row r="214" spans="1:17" ht="51.75" thickBot="1" x14ac:dyDescent="0.3">
      <c r="A214" s="15" t="s">
        <v>413</v>
      </c>
      <c r="B214" s="16" t="s">
        <v>414</v>
      </c>
      <c r="C214" s="17" t="s">
        <v>26</v>
      </c>
      <c r="D214" s="61">
        <v>63.3</v>
      </c>
      <c r="E214" s="61">
        <v>63.3</v>
      </c>
      <c r="F214" s="61">
        <v>63.2</v>
      </c>
      <c r="G214" s="61">
        <v>0.1</v>
      </c>
      <c r="H214" s="61">
        <v>0.1</v>
      </c>
      <c r="I214" s="63">
        <f t="shared" si="27"/>
        <v>0.99842022116903639</v>
      </c>
      <c r="J214" s="17" t="s">
        <v>415</v>
      </c>
      <c r="K214" s="18" t="s">
        <v>19</v>
      </c>
      <c r="L214" s="18">
        <v>250</v>
      </c>
      <c r="M214" s="135">
        <v>178</v>
      </c>
      <c r="N214" s="143" t="s">
        <v>1929</v>
      </c>
      <c r="O214" s="19" t="s">
        <v>1930</v>
      </c>
    </row>
    <row r="215" spans="1:17" ht="114.75" x14ac:dyDescent="0.25">
      <c r="A215" s="285" t="s">
        <v>416</v>
      </c>
      <c r="B215" s="217" t="s">
        <v>417</v>
      </c>
      <c r="C215" s="17"/>
      <c r="D215" s="51">
        <f>SUM(D216:D217)</f>
        <v>1942</v>
      </c>
      <c r="E215" s="51">
        <f>SUM(E216:E217)</f>
        <v>1942</v>
      </c>
      <c r="F215" s="51">
        <f>SUM(F216:F217)</f>
        <v>1942</v>
      </c>
      <c r="G215" s="51"/>
      <c r="H215" s="51"/>
      <c r="I215" s="54">
        <f t="shared" si="27"/>
        <v>1</v>
      </c>
      <c r="J215" s="17" t="s">
        <v>418</v>
      </c>
      <c r="K215" s="18" t="s">
        <v>19</v>
      </c>
      <c r="L215" s="79">
        <v>14200</v>
      </c>
      <c r="M215" s="138">
        <v>15097</v>
      </c>
      <c r="N215" s="17" t="s">
        <v>1773</v>
      </c>
      <c r="O215" s="19"/>
    </row>
    <row r="216" spans="1:17" x14ac:dyDescent="0.25">
      <c r="A216" s="286"/>
      <c r="B216" s="218"/>
      <c r="C216" s="22" t="s">
        <v>30</v>
      </c>
      <c r="D216" s="53">
        <v>228</v>
      </c>
      <c r="E216" s="53">
        <v>228</v>
      </c>
      <c r="F216" s="53">
        <v>228</v>
      </c>
      <c r="G216" s="53"/>
      <c r="H216" s="53"/>
      <c r="I216" s="54">
        <f t="shared" si="27"/>
        <v>1</v>
      </c>
      <c r="J216" s="22" t="s">
        <v>419</v>
      </c>
      <c r="K216" s="24" t="s">
        <v>19</v>
      </c>
      <c r="L216" s="24">
        <v>48</v>
      </c>
      <c r="M216" s="131">
        <v>49</v>
      </c>
      <c r="N216" s="22" t="s">
        <v>420</v>
      </c>
      <c r="O216" s="25"/>
    </row>
    <row r="217" spans="1:17" ht="26.25" thickBot="1" x14ac:dyDescent="0.3">
      <c r="A217" s="287"/>
      <c r="B217" s="219"/>
      <c r="C217" s="22" t="s">
        <v>26</v>
      </c>
      <c r="D217" s="53">
        <v>1714</v>
      </c>
      <c r="E217" s="53">
        <v>1714</v>
      </c>
      <c r="F217" s="53">
        <v>1714</v>
      </c>
      <c r="G217" s="53"/>
      <c r="H217" s="53"/>
      <c r="I217" s="68">
        <f t="shared" si="27"/>
        <v>1</v>
      </c>
      <c r="J217" s="22" t="s">
        <v>421</v>
      </c>
      <c r="K217" s="24" t="s">
        <v>19</v>
      </c>
      <c r="L217" s="81">
        <v>9800</v>
      </c>
      <c r="M217" s="120">
        <v>11687</v>
      </c>
      <c r="N217" s="22" t="s">
        <v>422</v>
      </c>
      <c r="O217" s="25"/>
    </row>
    <row r="218" spans="1:17" ht="63.75" x14ac:dyDescent="0.25">
      <c r="A218" s="285" t="s">
        <v>423</v>
      </c>
      <c r="B218" s="217" t="s">
        <v>424</v>
      </c>
      <c r="C218" s="17"/>
      <c r="D218" s="51">
        <f>SUM(D219:D220)</f>
        <v>1130.7</v>
      </c>
      <c r="E218" s="51">
        <f>SUM(E219:E220)</f>
        <v>1130.7</v>
      </c>
      <c r="F218" s="51">
        <f>SUM(F219:F220)</f>
        <v>1127.0999999999999</v>
      </c>
      <c r="G218" s="51">
        <f>SUM(G219:G220)</f>
        <v>3.6</v>
      </c>
      <c r="H218" s="51">
        <f>SUM(H219:H220)</f>
        <v>3.6</v>
      </c>
      <c r="I218" s="54">
        <f t="shared" si="27"/>
        <v>0.9968161315998938</v>
      </c>
      <c r="J218" s="17" t="s">
        <v>425</v>
      </c>
      <c r="K218" s="18" t="s">
        <v>359</v>
      </c>
      <c r="L218" s="79">
        <v>5000000</v>
      </c>
      <c r="M218" s="126">
        <v>3200000</v>
      </c>
      <c r="N218" s="17"/>
      <c r="O218" s="19" t="s">
        <v>1766</v>
      </c>
    </row>
    <row r="219" spans="1:17" x14ac:dyDescent="0.25">
      <c r="A219" s="286"/>
      <c r="B219" s="218"/>
      <c r="C219" s="22" t="s">
        <v>30</v>
      </c>
      <c r="D219" s="53">
        <v>133.69999999999999</v>
      </c>
      <c r="E219" s="53">
        <v>133.69999999999999</v>
      </c>
      <c r="F219" s="53">
        <v>133.69999999999999</v>
      </c>
      <c r="G219" s="53"/>
      <c r="H219" s="53"/>
      <c r="I219" s="54">
        <f t="shared" si="27"/>
        <v>1</v>
      </c>
      <c r="J219" s="22"/>
      <c r="K219" s="24"/>
      <c r="L219" s="81"/>
      <c r="M219" s="82"/>
      <c r="N219" s="22"/>
      <c r="O219" s="25"/>
    </row>
    <row r="220" spans="1:17" ht="15.75" thickBot="1" x14ac:dyDescent="0.3">
      <c r="A220" s="287"/>
      <c r="B220" s="219"/>
      <c r="C220" s="22" t="s">
        <v>26</v>
      </c>
      <c r="D220" s="53">
        <v>997</v>
      </c>
      <c r="E220" s="53">
        <v>997</v>
      </c>
      <c r="F220" s="53">
        <v>993.4</v>
      </c>
      <c r="G220" s="53">
        <v>3.6</v>
      </c>
      <c r="H220" s="53">
        <v>3.6</v>
      </c>
      <c r="I220" s="68">
        <f t="shared" si="27"/>
        <v>0.9963891675025075</v>
      </c>
      <c r="J220" s="22"/>
      <c r="K220" s="24"/>
      <c r="L220" s="81"/>
      <c r="M220" s="82"/>
      <c r="N220" s="22"/>
      <c r="O220" s="25"/>
    </row>
    <row r="221" spans="1:17" ht="140.25" x14ac:dyDescent="0.25">
      <c r="A221" s="285" t="s">
        <v>426</v>
      </c>
      <c r="B221" s="217" t="s">
        <v>427</v>
      </c>
      <c r="C221" s="17"/>
      <c r="D221" s="51">
        <f>SUM(D222:D222)</f>
        <v>63.7</v>
      </c>
      <c r="E221" s="51">
        <f>SUM(E222:E222)</f>
        <v>63.7</v>
      </c>
      <c r="F221" s="51">
        <f>SUM(F222:F222)</f>
        <v>46.3</v>
      </c>
      <c r="G221" s="51">
        <f>SUM(G222:G222)</f>
        <v>17.399999999999999</v>
      </c>
      <c r="H221" s="51">
        <f>SUM(H222:H222)</f>
        <v>17.399999999999999</v>
      </c>
      <c r="I221" s="54">
        <f t="shared" si="27"/>
        <v>0.72684458398744101</v>
      </c>
      <c r="J221" s="17" t="s">
        <v>428</v>
      </c>
      <c r="K221" s="18" t="s">
        <v>19</v>
      </c>
      <c r="L221" s="18">
        <v>40</v>
      </c>
      <c r="M221" s="139">
        <v>50</v>
      </c>
      <c r="N221" s="17" t="s">
        <v>429</v>
      </c>
      <c r="O221" s="19"/>
    </row>
    <row r="222" spans="1:17" ht="15.75" thickBot="1" x14ac:dyDescent="0.3">
      <c r="A222" s="287"/>
      <c r="B222" s="219"/>
      <c r="C222" s="22" t="s">
        <v>26</v>
      </c>
      <c r="D222" s="53">
        <v>63.7</v>
      </c>
      <c r="E222" s="53">
        <v>63.7</v>
      </c>
      <c r="F222" s="53">
        <v>46.3</v>
      </c>
      <c r="G222" s="53">
        <v>17.399999999999999</v>
      </c>
      <c r="H222" s="53">
        <v>17.399999999999999</v>
      </c>
      <c r="I222" s="68">
        <f t="shared" si="27"/>
        <v>0.72684458398744101</v>
      </c>
      <c r="J222" s="22"/>
      <c r="K222" s="24"/>
      <c r="L222" s="81"/>
      <c r="M222" s="82"/>
      <c r="N222" s="22"/>
      <c r="O222" s="151"/>
    </row>
    <row r="223" spans="1:17" ht="39" thickBot="1" x14ac:dyDescent="0.3">
      <c r="A223" s="15" t="s">
        <v>430</v>
      </c>
      <c r="B223" s="16" t="s">
        <v>431</v>
      </c>
      <c r="C223" s="17" t="s">
        <v>26</v>
      </c>
      <c r="D223" s="61">
        <v>171.6</v>
      </c>
      <c r="E223" s="61">
        <v>171.6</v>
      </c>
      <c r="F223" s="61">
        <v>171.5</v>
      </c>
      <c r="G223" s="61">
        <v>0.1</v>
      </c>
      <c r="H223" s="61">
        <v>0.1</v>
      </c>
      <c r="I223" s="54">
        <f t="shared" si="27"/>
        <v>0.99941724941724941</v>
      </c>
      <c r="J223" s="17" t="s">
        <v>432</v>
      </c>
      <c r="K223" s="18" t="s">
        <v>433</v>
      </c>
      <c r="L223" s="79">
        <v>348000</v>
      </c>
      <c r="M223" s="138">
        <v>430617.1</v>
      </c>
      <c r="N223" s="117"/>
      <c r="O223" s="150"/>
    </row>
    <row r="224" spans="1:17" ht="26.25" thickBot="1" x14ac:dyDescent="0.3">
      <c r="A224" s="15" t="s">
        <v>434</v>
      </c>
      <c r="B224" s="16" t="s">
        <v>435</v>
      </c>
      <c r="C224" s="17" t="s">
        <v>26</v>
      </c>
      <c r="D224" s="61"/>
      <c r="E224" s="61"/>
      <c r="F224" s="61"/>
      <c r="G224" s="61"/>
      <c r="H224" s="61"/>
      <c r="I224" s="69"/>
      <c r="J224" s="17" t="s">
        <v>436</v>
      </c>
      <c r="K224" s="18" t="s">
        <v>433</v>
      </c>
      <c r="L224" s="79">
        <v>5000</v>
      </c>
      <c r="M224" s="18">
        <v>0</v>
      </c>
      <c r="N224" s="191"/>
      <c r="O224" s="207" t="s">
        <v>1970</v>
      </c>
      <c r="P224" s="213"/>
      <c r="Q224" s="192"/>
    </row>
    <row r="225" spans="1:15" x14ac:dyDescent="0.25">
      <c r="A225" s="285" t="s">
        <v>437</v>
      </c>
      <c r="B225" s="217" t="s">
        <v>438</v>
      </c>
      <c r="C225" s="17"/>
      <c r="D225" s="51">
        <f>SUM(D226:D227)</f>
        <v>833.2</v>
      </c>
      <c r="E225" s="51">
        <f>SUM(E226:E227)</f>
        <v>833.2</v>
      </c>
      <c r="F225" s="51">
        <f>SUM(F226:F227)</f>
        <v>833</v>
      </c>
      <c r="G225" s="51">
        <f>SUM(G226:G227)</f>
        <v>0.2</v>
      </c>
      <c r="H225" s="51">
        <f>SUM(H226:H227)</f>
        <v>0.2</v>
      </c>
      <c r="I225" s="54">
        <f t="shared" ref="I225:I226" si="28">SUM(F225/E225)</f>
        <v>0.99975996159385494</v>
      </c>
      <c r="J225" s="17" t="s">
        <v>439</v>
      </c>
      <c r="K225" s="18" t="s">
        <v>19</v>
      </c>
      <c r="L225" s="18">
        <v>30</v>
      </c>
      <c r="M225" s="139">
        <v>30</v>
      </c>
      <c r="N225" s="17"/>
      <c r="O225" s="149"/>
    </row>
    <row r="226" spans="1:15" ht="25.5" x14ac:dyDescent="0.25">
      <c r="A226" s="286"/>
      <c r="B226" s="218"/>
      <c r="C226" s="22" t="s">
        <v>26</v>
      </c>
      <c r="D226" s="53">
        <v>833.2</v>
      </c>
      <c r="E226" s="53">
        <v>833.2</v>
      </c>
      <c r="F226" s="53">
        <v>833</v>
      </c>
      <c r="G226" s="53">
        <v>0.2</v>
      </c>
      <c r="H226" s="53">
        <v>0.2</v>
      </c>
      <c r="I226" s="54">
        <f t="shared" si="28"/>
        <v>0.99975996159385494</v>
      </c>
      <c r="J226" s="22" t="s">
        <v>440</v>
      </c>
      <c r="K226" s="24" t="s">
        <v>441</v>
      </c>
      <c r="L226" s="81">
        <v>460000</v>
      </c>
      <c r="M226" s="148">
        <v>806727</v>
      </c>
      <c r="N226" s="22"/>
      <c r="O226" s="25"/>
    </row>
    <row r="227" spans="1:15" ht="39" thickBot="1" x14ac:dyDescent="0.3">
      <c r="A227" s="287"/>
      <c r="B227" s="219"/>
      <c r="C227" s="22"/>
      <c r="D227" s="53"/>
      <c r="E227" s="53"/>
      <c r="F227" s="53"/>
      <c r="G227" s="53"/>
      <c r="H227" s="53"/>
      <c r="I227" s="67"/>
      <c r="J227" s="22" t="s">
        <v>442</v>
      </c>
      <c r="K227" s="24" t="s">
        <v>19</v>
      </c>
      <c r="L227" s="24">
        <v>76</v>
      </c>
      <c r="M227" s="130">
        <v>76</v>
      </c>
      <c r="N227" s="152" t="s">
        <v>443</v>
      </c>
      <c r="O227" s="25"/>
    </row>
    <row r="228" spans="1:15" ht="64.5" thickBot="1" x14ac:dyDescent="0.3">
      <c r="A228" s="37" t="s">
        <v>444</v>
      </c>
      <c r="B228" s="17" t="s">
        <v>445</v>
      </c>
      <c r="C228" s="17" t="s">
        <v>26</v>
      </c>
      <c r="D228" s="61">
        <v>5</v>
      </c>
      <c r="E228" s="61">
        <v>5</v>
      </c>
      <c r="F228" s="61">
        <v>4.0999999999999996</v>
      </c>
      <c r="G228" s="61">
        <v>0.9</v>
      </c>
      <c r="H228" s="61">
        <v>0.9</v>
      </c>
      <c r="I228" s="63">
        <f t="shared" ref="I228:I229" si="29">SUM(F228/E228)</f>
        <v>0.82</v>
      </c>
      <c r="J228" s="17" t="s">
        <v>446</v>
      </c>
      <c r="K228" s="18" t="s">
        <v>19</v>
      </c>
      <c r="L228" s="18">
        <v>12</v>
      </c>
      <c r="M228" s="135">
        <v>11</v>
      </c>
      <c r="O228" s="17" t="s">
        <v>447</v>
      </c>
    </row>
    <row r="229" spans="1:15" ht="38.25" x14ac:dyDescent="0.25">
      <c r="A229" s="285" t="s">
        <v>448</v>
      </c>
      <c r="B229" s="217" t="s">
        <v>449</v>
      </c>
      <c r="C229" s="17" t="s">
        <v>26</v>
      </c>
      <c r="D229" s="51">
        <f>SUM(D230:D230)+13.5</f>
        <v>13.5</v>
      </c>
      <c r="E229" s="51">
        <f>SUM(E230:E230)+13.5</f>
        <v>13.5</v>
      </c>
      <c r="F229" s="51">
        <f>SUM(F230:F230)+13.3</f>
        <v>13.3</v>
      </c>
      <c r="G229" s="51">
        <f>SUM(G230:G230)+0.2</f>
        <v>0.2</v>
      </c>
      <c r="H229" s="51">
        <f>SUM(H230:H230)+0.2</f>
        <v>0.2</v>
      </c>
      <c r="I229" s="54">
        <f t="shared" si="29"/>
        <v>0.98518518518518527</v>
      </c>
      <c r="J229" s="17" t="s">
        <v>450</v>
      </c>
      <c r="K229" s="18" t="s">
        <v>19</v>
      </c>
      <c r="L229" s="18">
        <v>200</v>
      </c>
      <c r="M229" s="135">
        <v>176</v>
      </c>
      <c r="N229" s="17"/>
      <c r="O229" s="19" t="s">
        <v>451</v>
      </c>
    </row>
    <row r="230" spans="1:15" ht="26.25" thickBot="1" x14ac:dyDescent="0.3">
      <c r="A230" s="287"/>
      <c r="B230" s="219"/>
      <c r="C230" s="22"/>
      <c r="D230" s="53"/>
      <c r="E230" s="53"/>
      <c r="F230" s="53"/>
      <c r="G230" s="53"/>
      <c r="H230" s="53"/>
      <c r="I230" s="67"/>
      <c r="J230" s="22" t="s">
        <v>452</v>
      </c>
      <c r="K230" s="24" t="s">
        <v>453</v>
      </c>
      <c r="L230" s="81">
        <v>2200</v>
      </c>
      <c r="M230" s="120">
        <v>3322</v>
      </c>
      <c r="N230" s="22" t="s">
        <v>454</v>
      </c>
      <c r="O230" s="25"/>
    </row>
    <row r="231" spans="1:15" ht="102" x14ac:dyDescent="0.25">
      <c r="A231" s="285" t="s">
        <v>455</v>
      </c>
      <c r="B231" s="217" t="s">
        <v>456</v>
      </c>
      <c r="C231" s="17"/>
      <c r="D231" s="51">
        <f>SUM(D232:D232)</f>
        <v>102.1</v>
      </c>
      <c r="E231" s="51">
        <f>SUM(E232:E232)</f>
        <v>102.1</v>
      </c>
      <c r="F231" s="51">
        <f>SUM(F232:F232)</f>
        <v>101.9</v>
      </c>
      <c r="G231" s="51">
        <f>SUM(G232:G232)</f>
        <v>0.2</v>
      </c>
      <c r="H231" s="51">
        <f>SUM(H232:H232)</f>
        <v>0.2</v>
      </c>
      <c r="I231" s="54">
        <f t="shared" ref="I231:I249" si="30">SUM(F231/E231)</f>
        <v>0.99804113614103829</v>
      </c>
      <c r="J231" s="17" t="s">
        <v>457</v>
      </c>
      <c r="K231" s="18" t="s">
        <v>19</v>
      </c>
      <c r="L231" s="18">
        <v>37</v>
      </c>
      <c r="M231" s="139">
        <v>41</v>
      </c>
      <c r="N231" s="17" t="s">
        <v>458</v>
      </c>
      <c r="O231" s="19"/>
    </row>
    <row r="232" spans="1:15" ht="15.75" thickBot="1" x14ac:dyDescent="0.3">
      <c r="A232" s="287"/>
      <c r="B232" s="219"/>
      <c r="C232" s="22" t="s">
        <v>26</v>
      </c>
      <c r="D232" s="53">
        <v>102.1</v>
      </c>
      <c r="E232" s="53">
        <v>102.1</v>
      </c>
      <c r="F232" s="53">
        <v>101.9</v>
      </c>
      <c r="G232" s="53">
        <v>0.2</v>
      </c>
      <c r="H232" s="53">
        <v>0.2</v>
      </c>
      <c r="I232" s="68">
        <f t="shared" si="30"/>
        <v>0.99804113614103829</v>
      </c>
      <c r="J232" s="22" t="s">
        <v>459</v>
      </c>
      <c r="K232" s="24" t="s">
        <v>19</v>
      </c>
      <c r="L232" s="24">
        <v>0</v>
      </c>
      <c r="M232" s="24">
        <v>0</v>
      </c>
      <c r="N232" s="22"/>
      <c r="O232" s="25"/>
    </row>
    <row r="233" spans="1:15" ht="63.75" x14ac:dyDescent="0.25">
      <c r="A233" s="285" t="s">
        <v>460</v>
      </c>
      <c r="B233" s="217" t="s">
        <v>461</v>
      </c>
      <c r="C233" s="17"/>
      <c r="D233" s="51">
        <f>SUM(D234:D234)</f>
        <v>147.19999999999999</v>
      </c>
      <c r="E233" s="51">
        <f>SUM(E234:E234)</f>
        <v>147.19999999999999</v>
      </c>
      <c r="F233" s="51">
        <f>SUM(F234:F234)</f>
        <v>145.80000000000001</v>
      </c>
      <c r="G233" s="51">
        <f>SUM(G234:G234)</f>
        <v>1.4</v>
      </c>
      <c r="H233" s="51">
        <f>SUM(H234:H234)</f>
        <v>1.4</v>
      </c>
      <c r="I233" s="54">
        <f t="shared" si="30"/>
        <v>0.99048913043478282</v>
      </c>
      <c r="J233" s="17" t="s">
        <v>462</v>
      </c>
      <c r="K233" s="18" t="s">
        <v>19</v>
      </c>
      <c r="L233" s="18">
        <v>21</v>
      </c>
      <c r="M233" s="139">
        <v>37</v>
      </c>
      <c r="N233" s="17" t="s">
        <v>1774</v>
      </c>
      <c r="O233" s="19"/>
    </row>
    <row r="234" spans="1:15" ht="26.25" thickBot="1" x14ac:dyDescent="0.3">
      <c r="A234" s="287"/>
      <c r="B234" s="219"/>
      <c r="C234" s="22" t="s">
        <v>26</v>
      </c>
      <c r="D234" s="53">
        <v>147.19999999999999</v>
      </c>
      <c r="E234" s="53">
        <v>147.19999999999999</v>
      </c>
      <c r="F234" s="53">
        <v>145.80000000000001</v>
      </c>
      <c r="G234" s="53">
        <v>1.4</v>
      </c>
      <c r="H234" s="53">
        <v>1.4</v>
      </c>
      <c r="I234" s="68">
        <f t="shared" si="30"/>
        <v>0.99048913043478282</v>
      </c>
      <c r="J234" s="22" t="s">
        <v>463</v>
      </c>
      <c r="K234" s="24" t="s">
        <v>19</v>
      </c>
      <c r="L234" s="24">
        <v>364</v>
      </c>
      <c r="M234" s="137">
        <v>343</v>
      </c>
      <c r="N234" s="22"/>
      <c r="O234" s="25" t="s">
        <v>1931</v>
      </c>
    </row>
    <row r="235" spans="1:15" ht="25.5" x14ac:dyDescent="0.25">
      <c r="A235" s="285" t="s">
        <v>464</v>
      </c>
      <c r="B235" s="217" t="s">
        <v>465</v>
      </c>
      <c r="C235" s="17"/>
      <c r="D235" s="51">
        <f>SUM(D236:D238)</f>
        <v>560.09999999999991</v>
      </c>
      <c r="E235" s="51">
        <f>SUM(E236:E238)</f>
        <v>560.09999999999991</v>
      </c>
      <c r="F235" s="51">
        <f>SUM(F236:F238)-0.1</f>
        <v>557.4</v>
      </c>
      <c r="G235" s="51">
        <f>SUM(G236:G238)</f>
        <v>2.6</v>
      </c>
      <c r="H235" s="51">
        <f>SUM(H236:H238)</f>
        <v>2.6</v>
      </c>
      <c r="I235" s="54">
        <f t="shared" si="30"/>
        <v>0.99517943224424221</v>
      </c>
      <c r="J235" s="17" t="s">
        <v>466</v>
      </c>
      <c r="K235" s="18" t="s">
        <v>296</v>
      </c>
      <c r="L235" s="79">
        <v>20000</v>
      </c>
      <c r="M235" s="138">
        <v>37766</v>
      </c>
      <c r="N235" s="17" t="s">
        <v>467</v>
      </c>
      <c r="O235" s="19"/>
    </row>
    <row r="236" spans="1:15" x14ac:dyDescent="0.25">
      <c r="A236" s="286"/>
      <c r="B236" s="218"/>
      <c r="C236" s="22" t="s">
        <v>30</v>
      </c>
      <c r="D236" s="53">
        <v>29.2</v>
      </c>
      <c r="E236" s="53">
        <v>29.2</v>
      </c>
      <c r="F236" s="53">
        <v>29.2</v>
      </c>
      <c r="G236" s="53"/>
      <c r="H236" s="53"/>
      <c r="I236" s="54">
        <f t="shared" si="30"/>
        <v>1</v>
      </c>
      <c r="J236" s="22"/>
      <c r="K236" s="24"/>
      <c r="L236" s="81"/>
      <c r="M236" s="82"/>
      <c r="N236" s="22"/>
      <c r="O236" s="25"/>
    </row>
    <row r="237" spans="1:15" x14ac:dyDescent="0.25">
      <c r="A237" s="286"/>
      <c r="B237" s="218"/>
      <c r="C237" s="22" t="s">
        <v>26</v>
      </c>
      <c r="D237" s="53">
        <v>147.5</v>
      </c>
      <c r="E237" s="53">
        <v>147.5</v>
      </c>
      <c r="F237" s="53">
        <v>144.9</v>
      </c>
      <c r="G237" s="53">
        <v>2.6</v>
      </c>
      <c r="H237" s="53">
        <v>2.6</v>
      </c>
      <c r="I237" s="54">
        <f t="shared" si="30"/>
        <v>0.98237288135593226</v>
      </c>
      <c r="J237" s="22"/>
      <c r="K237" s="24"/>
      <c r="L237" s="81"/>
      <c r="M237" s="82"/>
      <c r="N237" s="22"/>
      <c r="O237" s="25"/>
    </row>
    <row r="238" spans="1:15" ht="15.75" thickBot="1" x14ac:dyDescent="0.3">
      <c r="A238" s="287"/>
      <c r="B238" s="219"/>
      <c r="C238" s="22" t="s">
        <v>468</v>
      </c>
      <c r="D238" s="53">
        <v>383.4</v>
      </c>
      <c r="E238" s="53">
        <v>383.4</v>
      </c>
      <c r="F238" s="53">
        <v>383.4</v>
      </c>
      <c r="G238" s="53"/>
      <c r="H238" s="53"/>
      <c r="I238" s="68">
        <f t="shared" si="30"/>
        <v>1</v>
      </c>
      <c r="J238" s="22"/>
      <c r="K238" s="24"/>
      <c r="L238" s="81"/>
      <c r="M238" s="82"/>
      <c r="N238" s="22"/>
      <c r="O238" s="25"/>
    </row>
    <row r="239" spans="1:15" ht="38.25" x14ac:dyDescent="0.25">
      <c r="A239" s="285" t="s">
        <v>469</v>
      </c>
      <c r="B239" s="217" t="s">
        <v>470</v>
      </c>
      <c r="C239" s="17"/>
      <c r="D239" s="51">
        <f>SUM(D240:D241)</f>
        <v>145</v>
      </c>
      <c r="E239" s="51">
        <f>SUM(E240:E241)</f>
        <v>145</v>
      </c>
      <c r="F239" s="51">
        <f>SUM(F240:F241)</f>
        <v>140.30000000000001</v>
      </c>
      <c r="G239" s="51">
        <f>SUM(G240:G241)</f>
        <v>4.7</v>
      </c>
      <c r="H239" s="51">
        <f>SUM(H240:H241)</f>
        <v>4.7</v>
      </c>
      <c r="I239" s="54">
        <f t="shared" si="30"/>
        <v>0.96758620689655184</v>
      </c>
      <c r="J239" s="17" t="s">
        <v>471</v>
      </c>
      <c r="K239" s="18" t="s">
        <v>19</v>
      </c>
      <c r="L239" s="18">
        <v>149</v>
      </c>
      <c r="M239" s="135">
        <v>133</v>
      </c>
      <c r="N239" s="17" t="s">
        <v>472</v>
      </c>
      <c r="O239" s="165" t="s">
        <v>1934</v>
      </c>
    </row>
    <row r="240" spans="1:15" x14ac:dyDescent="0.25">
      <c r="A240" s="286"/>
      <c r="B240" s="218"/>
      <c r="C240" s="22" t="s">
        <v>26</v>
      </c>
      <c r="D240" s="53">
        <v>10</v>
      </c>
      <c r="E240" s="53">
        <v>10</v>
      </c>
      <c r="F240" s="53">
        <v>5.3</v>
      </c>
      <c r="G240" s="53">
        <v>4.7</v>
      </c>
      <c r="H240" s="53">
        <v>4.7</v>
      </c>
      <c r="I240" s="54">
        <f t="shared" si="30"/>
        <v>0.53</v>
      </c>
      <c r="J240" s="22" t="s">
        <v>473</v>
      </c>
      <c r="K240" s="24" t="s">
        <v>474</v>
      </c>
      <c r="L240" s="24">
        <v>98</v>
      </c>
      <c r="M240" s="130">
        <v>98</v>
      </c>
      <c r="N240" s="22"/>
      <c r="O240" s="25"/>
    </row>
    <row r="241" spans="1:15" ht="15.75" thickBot="1" x14ac:dyDescent="0.3">
      <c r="A241" s="287"/>
      <c r="B241" s="219"/>
      <c r="C241" s="22" t="s">
        <v>468</v>
      </c>
      <c r="D241" s="53">
        <v>135</v>
      </c>
      <c r="E241" s="53">
        <v>135</v>
      </c>
      <c r="F241" s="53">
        <v>135</v>
      </c>
      <c r="G241" s="53"/>
      <c r="H241" s="53"/>
      <c r="I241" s="68">
        <f t="shared" si="30"/>
        <v>1</v>
      </c>
      <c r="J241" s="22"/>
      <c r="K241" s="24"/>
      <c r="L241" s="81"/>
      <c r="M241" s="82"/>
      <c r="N241" s="22"/>
      <c r="O241" s="25"/>
    </row>
    <row r="242" spans="1:15" ht="26.25" thickBot="1" x14ac:dyDescent="0.3">
      <c r="A242" s="37" t="s">
        <v>475</v>
      </c>
      <c r="B242" s="17" t="s">
        <v>476</v>
      </c>
      <c r="C242" s="17" t="s">
        <v>468</v>
      </c>
      <c r="D242" s="61">
        <v>100</v>
      </c>
      <c r="E242" s="61">
        <v>100</v>
      </c>
      <c r="F242" s="61">
        <v>100</v>
      </c>
      <c r="G242" s="61"/>
      <c r="H242" s="61"/>
      <c r="I242" s="63">
        <f t="shared" si="30"/>
        <v>1</v>
      </c>
      <c r="J242" s="17" t="s">
        <v>477</v>
      </c>
      <c r="K242" s="18" t="s">
        <v>296</v>
      </c>
      <c r="L242" s="79">
        <v>19000</v>
      </c>
      <c r="M242" s="138">
        <v>20073</v>
      </c>
      <c r="N242" s="17"/>
      <c r="O242" s="19"/>
    </row>
    <row r="243" spans="1:15" ht="25.5" x14ac:dyDescent="0.25">
      <c r="A243" s="285" t="s">
        <v>478</v>
      </c>
      <c r="B243" s="217" t="s">
        <v>479</v>
      </c>
      <c r="C243" s="17"/>
      <c r="D243" s="51">
        <f>SUM(D244:D245)</f>
        <v>121.5</v>
      </c>
      <c r="E243" s="51">
        <f>SUM(E244:E245)</f>
        <v>121.5</v>
      </c>
      <c r="F243" s="51">
        <f>SUM(F244:F245)</f>
        <v>121.4</v>
      </c>
      <c r="G243" s="51">
        <f>SUM(G244:G245)</f>
        <v>0.1</v>
      </c>
      <c r="H243" s="51">
        <f>SUM(H244:H245)</f>
        <v>0.1</v>
      </c>
      <c r="I243" s="54">
        <f t="shared" si="30"/>
        <v>0.99917695473251034</v>
      </c>
      <c r="J243" s="17" t="s">
        <v>480</v>
      </c>
      <c r="K243" s="18" t="s">
        <v>19</v>
      </c>
      <c r="L243" s="18">
        <v>600</v>
      </c>
      <c r="M243" s="138">
        <v>1550</v>
      </c>
      <c r="N243" s="17" t="s">
        <v>481</v>
      </c>
      <c r="O243" s="19"/>
    </row>
    <row r="244" spans="1:15" ht="191.25" x14ac:dyDescent="0.25">
      <c r="A244" s="286"/>
      <c r="B244" s="218"/>
      <c r="C244" s="22" t="s">
        <v>26</v>
      </c>
      <c r="D244" s="53">
        <v>86.5</v>
      </c>
      <c r="E244" s="53">
        <v>86.5</v>
      </c>
      <c r="F244" s="53">
        <v>86.4</v>
      </c>
      <c r="G244" s="53">
        <v>0.1</v>
      </c>
      <c r="H244" s="53">
        <v>0.1</v>
      </c>
      <c r="I244" s="54">
        <f t="shared" si="30"/>
        <v>0.99884393063583821</v>
      </c>
      <c r="J244" s="22" t="s">
        <v>482</v>
      </c>
      <c r="K244" s="24" t="s">
        <v>19</v>
      </c>
      <c r="L244" s="24">
        <v>10</v>
      </c>
      <c r="M244" s="131">
        <v>30</v>
      </c>
      <c r="N244" s="22" t="s">
        <v>483</v>
      </c>
      <c r="O244" s="25"/>
    </row>
    <row r="245" spans="1:15" ht="15.75" thickBot="1" x14ac:dyDescent="0.3">
      <c r="A245" s="287"/>
      <c r="B245" s="219"/>
      <c r="C245" s="22" t="s">
        <v>468</v>
      </c>
      <c r="D245" s="53">
        <v>35</v>
      </c>
      <c r="E245" s="53">
        <v>35</v>
      </c>
      <c r="F245" s="53">
        <v>35</v>
      </c>
      <c r="G245" s="53"/>
      <c r="H245" s="53"/>
      <c r="I245" s="68">
        <f t="shared" si="30"/>
        <v>1</v>
      </c>
      <c r="J245" s="22"/>
      <c r="K245" s="24"/>
      <c r="L245" s="81"/>
      <c r="M245" s="82"/>
      <c r="N245" s="22"/>
      <c r="O245" s="25"/>
    </row>
    <row r="246" spans="1:15" ht="319.5" thickBot="1" x14ac:dyDescent="0.3">
      <c r="A246" s="15" t="s">
        <v>484</v>
      </c>
      <c r="B246" s="16" t="s">
        <v>485</v>
      </c>
      <c r="C246" s="17" t="s">
        <v>468</v>
      </c>
      <c r="D246" s="61">
        <v>88.4</v>
      </c>
      <c r="E246" s="61">
        <v>88.4</v>
      </c>
      <c r="F246" s="61">
        <v>88.4</v>
      </c>
      <c r="G246" s="61"/>
      <c r="H246" s="61"/>
      <c r="I246" s="63">
        <f t="shared" si="30"/>
        <v>1</v>
      </c>
      <c r="J246" s="17" t="s">
        <v>486</v>
      </c>
      <c r="K246" s="18" t="s">
        <v>19</v>
      </c>
      <c r="L246" s="18">
        <v>10</v>
      </c>
      <c r="M246" s="139">
        <v>20</v>
      </c>
      <c r="N246" s="17" t="s">
        <v>487</v>
      </c>
      <c r="O246" s="19"/>
    </row>
    <row r="247" spans="1:15" ht="25.5" x14ac:dyDescent="0.25">
      <c r="A247" s="285" t="s">
        <v>488</v>
      </c>
      <c r="B247" s="217" t="s">
        <v>489</v>
      </c>
      <c r="C247" s="17"/>
      <c r="D247" s="51">
        <f>SUM(D248:D249)</f>
        <v>500</v>
      </c>
      <c r="E247" s="51">
        <f>SUM(E248:E249)</f>
        <v>500</v>
      </c>
      <c r="F247" s="51">
        <f>SUM(F248:F249)</f>
        <v>500</v>
      </c>
      <c r="G247" s="51"/>
      <c r="H247" s="51"/>
      <c r="I247" s="54">
        <f t="shared" si="30"/>
        <v>1</v>
      </c>
      <c r="J247" s="17" t="s">
        <v>490</v>
      </c>
      <c r="K247" s="18" t="s">
        <v>19</v>
      </c>
      <c r="L247" s="18">
        <v>100</v>
      </c>
      <c r="M247" s="135">
        <v>85</v>
      </c>
      <c r="N247" s="17" t="s">
        <v>491</v>
      </c>
      <c r="O247" s="19" t="s">
        <v>1932</v>
      </c>
    </row>
    <row r="248" spans="1:15" x14ac:dyDescent="0.25">
      <c r="A248" s="286"/>
      <c r="B248" s="218"/>
      <c r="C248" s="22" t="s">
        <v>198</v>
      </c>
      <c r="D248" s="53">
        <v>200</v>
      </c>
      <c r="E248" s="53">
        <v>200</v>
      </c>
      <c r="F248" s="53">
        <v>200</v>
      </c>
      <c r="G248" s="53"/>
      <c r="H248" s="53"/>
      <c r="I248" s="54">
        <f t="shared" si="30"/>
        <v>1</v>
      </c>
      <c r="J248" s="22"/>
      <c r="K248" s="24"/>
      <c r="L248" s="81"/>
      <c r="M248" s="82"/>
      <c r="N248" s="22"/>
      <c r="O248" s="25"/>
    </row>
    <row r="249" spans="1:15" ht="15.75" thickBot="1" x14ac:dyDescent="0.3">
      <c r="A249" s="287"/>
      <c r="B249" s="219"/>
      <c r="C249" s="22" t="s">
        <v>26</v>
      </c>
      <c r="D249" s="53">
        <v>300</v>
      </c>
      <c r="E249" s="53">
        <v>300</v>
      </c>
      <c r="F249" s="53">
        <v>300</v>
      </c>
      <c r="G249" s="53"/>
      <c r="H249" s="53"/>
      <c r="I249" s="54">
        <f t="shared" si="30"/>
        <v>1</v>
      </c>
      <c r="J249" s="22"/>
      <c r="K249" s="24"/>
      <c r="L249" s="81"/>
      <c r="M249" s="82"/>
      <c r="N249" s="22"/>
      <c r="O249" s="25"/>
    </row>
    <row r="250" spans="1:15" ht="26.25" thickBot="1" x14ac:dyDescent="0.3">
      <c r="A250" s="12" t="s">
        <v>492</v>
      </c>
      <c r="B250" s="13" t="s">
        <v>493</v>
      </c>
      <c r="C250" s="14"/>
      <c r="D250" s="49">
        <f>D251+D254+D256+D259</f>
        <v>1130.3999999999999</v>
      </c>
      <c r="E250" s="49">
        <f>E251+E254+E256+E259</f>
        <v>1130.3999999999999</v>
      </c>
      <c r="F250" s="49">
        <f>F251+F254+F256+F259</f>
        <v>872.9</v>
      </c>
      <c r="G250" s="49">
        <f>G251+G254+G256+G259+0.1</f>
        <v>257.5</v>
      </c>
      <c r="H250" s="49">
        <f>H251+H254+H256+H259+0.1</f>
        <v>257.5</v>
      </c>
      <c r="I250" s="66">
        <f>SUM(F250/E250)</f>
        <v>0.77220452937013451</v>
      </c>
      <c r="J250" s="263"/>
      <c r="K250" s="264"/>
      <c r="L250" s="264"/>
      <c r="M250" s="264"/>
      <c r="N250" s="264"/>
      <c r="O250" s="265"/>
    </row>
    <row r="251" spans="1:15" ht="38.25" customHeight="1" thickBot="1" x14ac:dyDescent="0.3">
      <c r="A251" s="285" t="s">
        <v>494</v>
      </c>
      <c r="B251" s="217" t="s">
        <v>495</v>
      </c>
      <c r="C251" s="17" t="s">
        <v>26</v>
      </c>
      <c r="D251" s="51">
        <f>SUM(D252:D253)+333</f>
        <v>333</v>
      </c>
      <c r="E251" s="51">
        <f>SUM(E252:E253)+333</f>
        <v>333</v>
      </c>
      <c r="F251" s="51">
        <f>SUM(F252:F253)+311.5</f>
        <v>311.5</v>
      </c>
      <c r="G251" s="51">
        <f>SUM(G252:G253)+21.5</f>
        <v>21.5</v>
      </c>
      <c r="H251" s="51">
        <f>SUM(H252:H253)+21.5</f>
        <v>21.5</v>
      </c>
      <c r="I251" s="54">
        <f t="shared" ref="I251" si="31">SUM(F251/E251)</f>
        <v>0.93543543543543539</v>
      </c>
      <c r="J251" s="17" t="s">
        <v>496</v>
      </c>
      <c r="K251" s="18" t="s">
        <v>19</v>
      </c>
      <c r="L251" s="18">
        <v>1</v>
      </c>
      <c r="M251" s="125">
        <v>1</v>
      </c>
      <c r="N251" s="17"/>
      <c r="O251" s="19"/>
    </row>
    <row r="252" spans="1:15" x14ac:dyDescent="0.25">
      <c r="A252" s="286"/>
      <c r="B252" s="218"/>
      <c r="C252" s="22"/>
      <c r="D252" s="53"/>
      <c r="E252" s="53"/>
      <c r="F252" s="53"/>
      <c r="G252" s="53"/>
      <c r="H252" s="53"/>
      <c r="I252" s="55"/>
      <c r="J252" s="22" t="s">
        <v>497</v>
      </c>
      <c r="K252" s="24" t="s">
        <v>474</v>
      </c>
      <c r="L252" s="24">
        <v>0.5</v>
      </c>
      <c r="M252" s="155">
        <v>0.127</v>
      </c>
      <c r="N252" s="22" t="s">
        <v>1935</v>
      </c>
      <c r="O252" s="165" t="s">
        <v>1936</v>
      </c>
    </row>
    <row r="253" spans="1:15" ht="77.25" thickBot="1" x14ac:dyDescent="0.3">
      <c r="A253" s="287"/>
      <c r="B253" s="219"/>
      <c r="C253" s="22"/>
      <c r="D253" s="53"/>
      <c r="E253" s="53"/>
      <c r="F253" s="53"/>
      <c r="G253" s="53"/>
      <c r="H253" s="53"/>
      <c r="I253" s="67"/>
      <c r="J253" s="22" t="s">
        <v>498</v>
      </c>
      <c r="K253" s="24" t="s">
        <v>25</v>
      </c>
      <c r="L253" s="24">
        <v>100</v>
      </c>
      <c r="M253" s="130">
        <v>100</v>
      </c>
      <c r="N253" s="22" t="s">
        <v>499</v>
      </c>
      <c r="O253" s="25"/>
    </row>
    <row r="254" spans="1:15" ht="76.5" x14ac:dyDescent="0.25">
      <c r="A254" s="285" t="s">
        <v>500</v>
      </c>
      <c r="B254" s="217" t="s">
        <v>501</v>
      </c>
      <c r="C254" s="17"/>
      <c r="D254" s="51">
        <f>SUM(D255:D255)</f>
        <v>147.9</v>
      </c>
      <c r="E254" s="51">
        <f>SUM(E255:E255)</f>
        <v>147.9</v>
      </c>
      <c r="F254" s="51">
        <f>SUM(F255:F255)</f>
        <v>6.5</v>
      </c>
      <c r="G254" s="51">
        <f>SUM(G255:G255)</f>
        <v>141.30000000000001</v>
      </c>
      <c r="H254" s="51">
        <f>SUM(H255:H255)</f>
        <v>141.30000000000001</v>
      </c>
      <c r="I254" s="54">
        <f t="shared" ref="I254:I259" si="32">SUM(F254/E254)</f>
        <v>4.3948613928329952E-2</v>
      </c>
      <c r="J254" s="17" t="s">
        <v>502</v>
      </c>
      <c r="K254" s="18" t="s">
        <v>25</v>
      </c>
      <c r="L254" s="18">
        <v>100</v>
      </c>
      <c r="M254" s="161">
        <v>0</v>
      </c>
      <c r="N254" s="17"/>
      <c r="O254" s="19" t="s">
        <v>503</v>
      </c>
    </row>
    <row r="255" spans="1:15" ht="26.25" thickBot="1" x14ac:dyDescent="0.3">
      <c r="A255" s="287"/>
      <c r="B255" s="219"/>
      <c r="C255" s="22" t="s">
        <v>30</v>
      </c>
      <c r="D255" s="53">
        <v>147.9</v>
      </c>
      <c r="E255" s="53">
        <v>147.9</v>
      </c>
      <c r="F255" s="53">
        <v>6.5</v>
      </c>
      <c r="G255" s="53">
        <v>141.30000000000001</v>
      </c>
      <c r="H255" s="53">
        <v>141.30000000000001</v>
      </c>
      <c r="I255" s="68">
        <f t="shared" si="32"/>
        <v>4.3948613928329952E-2</v>
      </c>
      <c r="J255" s="22" t="s">
        <v>504</v>
      </c>
      <c r="K255" s="24" t="s">
        <v>25</v>
      </c>
      <c r="L255" s="24">
        <v>100</v>
      </c>
      <c r="M255" s="130">
        <v>100</v>
      </c>
      <c r="N255" s="22"/>
      <c r="O255" s="25"/>
    </row>
    <row r="256" spans="1:15" ht="114.75" x14ac:dyDescent="0.25">
      <c r="A256" s="285" t="s">
        <v>505</v>
      </c>
      <c r="B256" s="217" t="s">
        <v>506</v>
      </c>
      <c r="C256" s="17"/>
      <c r="D256" s="51">
        <f>SUM(D257:D258)</f>
        <v>513.4</v>
      </c>
      <c r="E256" s="51">
        <f>SUM(E257:E258)</f>
        <v>513.4</v>
      </c>
      <c r="F256" s="51">
        <f>SUM(F257:F258)</f>
        <v>512.4</v>
      </c>
      <c r="G256" s="51">
        <f>SUM(G257:G258)</f>
        <v>1</v>
      </c>
      <c r="H256" s="51">
        <f>SUM(H257:H258)</f>
        <v>1</v>
      </c>
      <c r="I256" s="54">
        <f t="shared" si="32"/>
        <v>0.99805220101285552</v>
      </c>
      <c r="J256" s="17" t="s">
        <v>507</v>
      </c>
      <c r="K256" s="18" t="s">
        <v>25</v>
      </c>
      <c r="L256" s="18">
        <v>100</v>
      </c>
      <c r="M256" s="125">
        <v>100</v>
      </c>
      <c r="N256" s="17" t="s">
        <v>508</v>
      </c>
      <c r="O256" s="19"/>
    </row>
    <row r="257" spans="1:15" x14ac:dyDescent="0.25">
      <c r="A257" s="286"/>
      <c r="B257" s="218"/>
      <c r="C257" s="22" t="s">
        <v>30</v>
      </c>
      <c r="D257" s="53">
        <v>287.39999999999998</v>
      </c>
      <c r="E257" s="53">
        <v>287.39999999999998</v>
      </c>
      <c r="F257" s="53">
        <v>287.39999999999998</v>
      </c>
      <c r="G257" s="53"/>
      <c r="H257" s="53"/>
      <c r="I257" s="54">
        <f t="shared" si="32"/>
        <v>1</v>
      </c>
      <c r="J257" s="22"/>
      <c r="K257" s="24"/>
      <c r="L257" s="81"/>
      <c r="M257" s="82"/>
      <c r="N257" s="22"/>
      <c r="O257" s="25"/>
    </row>
    <row r="258" spans="1:15" ht="15.75" thickBot="1" x14ac:dyDescent="0.3">
      <c r="A258" s="287"/>
      <c r="B258" s="219"/>
      <c r="C258" s="22" t="s">
        <v>26</v>
      </c>
      <c r="D258" s="53">
        <v>226</v>
      </c>
      <c r="E258" s="53">
        <v>226</v>
      </c>
      <c r="F258" s="53">
        <v>225</v>
      </c>
      <c r="G258" s="53">
        <v>1</v>
      </c>
      <c r="H258" s="53">
        <v>1</v>
      </c>
      <c r="I258" s="68">
        <f t="shared" si="32"/>
        <v>0.99557522123893805</v>
      </c>
      <c r="J258" s="22"/>
      <c r="K258" s="24"/>
      <c r="L258" s="81"/>
      <c r="M258" s="82"/>
      <c r="N258" s="22"/>
      <c r="O258" s="25"/>
    </row>
    <row r="259" spans="1:15" ht="156.75" customHeight="1" thickBot="1" x14ac:dyDescent="0.3">
      <c r="A259" s="15" t="s">
        <v>509</v>
      </c>
      <c r="B259" s="16" t="s">
        <v>510</v>
      </c>
      <c r="C259" s="17" t="s">
        <v>181</v>
      </c>
      <c r="D259" s="61">
        <v>136.1</v>
      </c>
      <c r="E259" s="61">
        <v>136.1</v>
      </c>
      <c r="F259" s="61">
        <v>42.5</v>
      </c>
      <c r="G259" s="61">
        <v>93.6</v>
      </c>
      <c r="H259" s="61">
        <v>93.6</v>
      </c>
      <c r="I259" s="54">
        <f t="shared" si="32"/>
        <v>0.31227038941954449</v>
      </c>
      <c r="J259" s="17" t="s">
        <v>511</v>
      </c>
      <c r="K259" s="18" t="s">
        <v>19</v>
      </c>
      <c r="L259" s="18">
        <v>1</v>
      </c>
      <c r="M259" s="125">
        <v>1</v>
      </c>
      <c r="N259" s="17" t="s">
        <v>512</v>
      </c>
      <c r="O259" s="19"/>
    </row>
    <row r="260" spans="1:15" ht="15.75" thickBot="1" x14ac:dyDescent="0.3">
      <c r="A260" s="12" t="s">
        <v>513</v>
      </c>
      <c r="B260" s="13" t="s">
        <v>514</v>
      </c>
      <c r="C260" s="14"/>
      <c r="D260" s="49">
        <f>D261+D265+D269+D273+D277+D282+D285</f>
        <v>7500.5000000000009</v>
      </c>
      <c r="E260" s="49">
        <f>E261+E265+E269+E273+E277+E282+E285</f>
        <v>7500.5000000000009</v>
      </c>
      <c r="F260" s="49">
        <f>F261+F265+F269+F273+F277+F282+F285+0.1</f>
        <v>6312.8</v>
      </c>
      <c r="G260" s="49">
        <f>G261+G265+G269+G273+G277+G282+G285-0.1</f>
        <v>1187.7</v>
      </c>
      <c r="H260" s="49">
        <f>H261+H265+H269+H273+H277+H282+H285-0.1</f>
        <v>1187.7</v>
      </c>
      <c r="I260" s="66">
        <f>SUM(F260/E260)</f>
        <v>0.8416505566295579</v>
      </c>
      <c r="J260" s="263"/>
      <c r="K260" s="264"/>
      <c r="L260" s="264"/>
      <c r="M260" s="264"/>
      <c r="N260" s="264"/>
      <c r="O260" s="265"/>
    </row>
    <row r="261" spans="1:15" ht="25.5" x14ac:dyDescent="0.25">
      <c r="A261" s="285" t="s">
        <v>515</v>
      </c>
      <c r="B261" s="217" t="s">
        <v>516</v>
      </c>
      <c r="C261" s="17"/>
      <c r="D261" s="51">
        <f>SUM(D262:D264)</f>
        <v>1735</v>
      </c>
      <c r="E261" s="51">
        <f>SUM(E262:E264)</f>
        <v>1735</v>
      </c>
      <c r="F261" s="51">
        <f>SUM(F262:F264)</f>
        <v>1160.8</v>
      </c>
      <c r="G261" s="51">
        <f>SUM(G262:G264)+0.1</f>
        <v>574.19999999999993</v>
      </c>
      <c r="H261" s="51">
        <f>SUM(H262:H264)+0.1</f>
        <v>574.19999999999993</v>
      </c>
      <c r="I261" s="54">
        <f t="shared" ref="I261:I287" si="33">SUM(F261/E261)</f>
        <v>0.66904899135446683</v>
      </c>
      <c r="J261" s="17" t="s">
        <v>221</v>
      </c>
      <c r="K261" s="18" t="s">
        <v>19</v>
      </c>
      <c r="L261" s="18">
        <v>1</v>
      </c>
      <c r="M261" s="161">
        <v>0</v>
      </c>
      <c r="N261" s="17"/>
      <c r="O261" s="19" t="s">
        <v>517</v>
      </c>
    </row>
    <row r="262" spans="1:15" x14ac:dyDescent="0.25">
      <c r="A262" s="286"/>
      <c r="B262" s="218"/>
      <c r="C262" s="22" t="s">
        <v>30</v>
      </c>
      <c r="D262" s="53">
        <v>209.6</v>
      </c>
      <c r="E262" s="53">
        <v>209.6</v>
      </c>
      <c r="F262" s="53">
        <v>209.2</v>
      </c>
      <c r="G262" s="53">
        <v>0.3</v>
      </c>
      <c r="H262" s="53">
        <v>0.3</v>
      </c>
      <c r="I262" s="54">
        <f t="shared" si="33"/>
        <v>0.99809160305343514</v>
      </c>
      <c r="J262" s="22"/>
      <c r="K262" s="24"/>
      <c r="L262" s="81"/>
      <c r="M262" s="82"/>
      <c r="N262" s="22"/>
      <c r="O262" s="25"/>
    </row>
    <row r="263" spans="1:15" x14ac:dyDescent="0.25">
      <c r="A263" s="286"/>
      <c r="B263" s="218"/>
      <c r="C263" s="22" t="s">
        <v>181</v>
      </c>
      <c r="D263" s="53">
        <v>123.7</v>
      </c>
      <c r="E263" s="53">
        <v>123.7</v>
      </c>
      <c r="F263" s="53">
        <v>77.2</v>
      </c>
      <c r="G263" s="53">
        <v>46.5</v>
      </c>
      <c r="H263" s="53">
        <v>46.5</v>
      </c>
      <c r="I263" s="54">
        <f t="shared" si="33"/>
        <v>0.62409054163298305</v>
      </c>
      <c r="J263" s="22"/>
      <c r="K263" s="24"/>
      <c r="L263" s="81"/>
      <c r="M263" s="82"/>
      <c r="N263" s="22"/>
      <c r="O263" s="25"/>
    </row>
    <row r="264" spans="1:15" ht="15.75" thickBot="1" x14ac:dyDescent="0.3">
      <c r="A264" s="287"/>
      <c r="B264" s="219"/>
      <c r="C264" s="22" t="s">
        <v>191</v>
      </c>
      <c r="D264" s="53">
        <v>1401.7</v>
      </c>
      <c r="E264" s="53">
        <v>1401.7</v>
      </c>
      <c r="F264" s="53">
        <v>874.4</v>
      </c>
      <c r="G264" s="53">
        <v>527.29999999999995</v>
      </c>
      <c r="H264" s="53">
        <v>527.29999999999995</v>
      </c>
      <c r="I264" s="68">
        <f t="shared" si="33"/>
        <v>0.62381394021545267</v>
      </c>
      <c r="J264" s="22"/>
      <c r="K264" s="24"/>
      <c r="L264" s="81"/>
      <c r="M264" s="82"/>
      <c r="N264" s="22"/>
      <c r="O264" s="25"/>
    </row>
    <row r="265" spans="1:15" ht="38.25" x14ac:dyDescent="0.25">
      <c r="A265" s="285" t="s">
        <v>518</v>
      </c>
      <c r="B265" s="217" t="s">
        <v>519</v>
      </c>
      <c r="C265" s="17"/>
      <c r="D265" s="51">
        <f>SUM(D266:D268)</f>
        <v>683.59999999999991</v>
      </c>
      <c r="E265" s="51">
        <f>SUM(E266:E268)</f>
        <v>683.59999999999991</v>
      </c>
      <c r="F265" s="51">
        <f>SUM(F266:F268)+0.1</f>
        <v>680.5</v>
      </c>
      <c r="G265" s="51">
        <f>SUM(G266:G268)-0.1</f>
        <v>3.1</v>
      </c>
      <c r="H265" s="51">
        <f>SUM(H266:H268)-0.1</f>
        <v>3.1</v>
      </c>
      <c r="I265" s="54">
        <f t="shared" si="33"/>
        <v>0.99546518431831499</v>
      </c>
      <c r="J265" s="17" t="s">
        <v>221</v>
      </c>
      <c r="K265" s="18" t="s">
        <v>19</v>
      </c>
      <c r="L265" s="18">
        <v>1</v>
      </c>
      <c r="M265" s="161">
        <v>0</v>
      </c>
      <c r="N265" s="17"/>
      <c r="O265" s="19" t="s">
        <v>520</v>
      </c>
    </row>
    <row r="266" spans="1:15" x14ac:dyDescent="0.25">
      <c r="A266" s="286"/>
      <c r="B266" s="218"/>
      <c r="C266" s="22" t="s">
        <v>181</v>
      </c>
      <c r="D266" s="53">
        <v>55.3</v>
      </c>
      <c r="E266" s="53">
        <v>55.3</v>
      </c>
      <c r="F266" s="53">
        <v>55</v>
      </c>
      <c r="G266" s="53">
        <v>0.3</v>
      </c>
      <c r="H266" s="53">
        <v>0.3</v>
      </c>
      <c r="I266" s="54">
        <f t="shared" si="33"/>
        <v>0.9945750452079567</v>
      </c>
      <c r="J266" s="22"/>
      <c r="K266" s="24"/>
      <c r="L266" s="81"/>
      <c r="M266" s="82"/>
      <c r="N266" s="22"/>
      <c r="O266" s="25"/>
    </row>
    <row r="267" spans="1:15" x14ac:dyDescent="0.25">
      <c r="A267" s="286"/>
      <c r="B267" s="218"/>
      <c r="C267" s="22" t="s">
        <v>26</v>
      </c>
      <c r="D267" s="53">
        <v>2</v>
      </c>
      <c r="E267" s="53">
        <v>2</v>
      </c>
      <c r="F267" s="53">
        <v>1.8</v>
      </c>
      <c r="G267" s="53">
        <v>0.2</v>
      </c>
      <c r="H267" s="53">
        <v>0.2</v>
      </c>
      <c r="I267" s="54">
        <f t="shared" si="33"/>
        <v>0.9</v>
      </c>
      <c r="J267" s="22"/>
      <c r="K267" s="24"/>
      <c r="L267" s="81"/>
      <c r="M267" s="82"/>
      <c r="N267" s="22"/>
      <c r="O267" s="25"/>
    </row>
    <row r="268" spans="1:15" ht="15.75" thickBot="1" x14ac:dyDescent="0.3">
      <c r="A268" s="287"/>
      <c r="B268" s="219"/>
      <c r="C268" s="22" t="s">
        <v>191</v>
      </c>
      <c r="D268" s="53">
        <v>626.29999999999995</v>
      </c>
      <c r="E268" s="53">
        <v>626.29999999999995</v>
      </c>
      <c r="F268" s="53">
        <v>623.6</v>
      </c>
      <c r="G268" s="53">
        <v>2.7</v>
      </c>
      <c r="H268" s="53">
        <v>2.7</v>
      </c>
      <c r="I268" s="68">
        <f t="shared" si="33"/>
        <v>0.99568896694874676</v>
      </c>
      <c r="J268" s="22"/>
      <c r="K268" s="24"/>
      <c r="L268" s="81"/>
      <c r="M268" s="82"/>
      <c r="N268" s="22"/>
      <c r="O268" s="25"/>
    </row>
    <row r="269" spans="1:15" ht="76.5" customHeight="1" x14ac:dyDescent="0.25">
      <c r="A269" s="285" t="s">
        <v>521</v>
      </c>
      <c r="B269" s="217" t="s">
        <v>522</v>
      </c>
      <c r="C269" s="17"/>
      <c r="D269" s="51">
        <f>SUM(D270:D272)</f>
        <v>1946.5</v>
      </c>
      <c r="E269" s="51">
        <f>SUM(E270:E272)</f>
        <v>1946.5</v>
      </c>
      <c r="F269" s="51">
        <f>SUM(F270:F272)-0.1</f>
        <v>1779.7</v>
      </c>
      <c r="G269" s="51">
        <f>SUM(G270:G272)+0.1</f>
        <v>166.79999999999998</v>
      </c>
      <c r="H269" s="51">
        <f>SUM(H270:H272)+0.1</f>
        <v>166.79999999999998</v>
      </c>
      <c r="I269" s="54">
        <f t="shared" si="33"/>
        <v>0.91430773182635505</v>
      </c>
      <c r="J269" s="17" t="s">
        <v>221</v>
      </c>
      <c r="K269" s="18" t="s">
        <v>19</v>
      </c>
      <c r="L269" s="18">
        <v>1</v>
      </c>
      <c r="M269" s="161">
        <v>0</v>
      </c>
      <c r="N269" s="17"/>
      <c r="O269" s="19" t="s">
        <v>523</v>
      </c>
    </row>
    <row r="270" spans="1:15" x14ac:dyDescent="0.25">
      <c r="A270" s="286"/>
      <c r="B270" s="218"/>
      <c r="C270" s="22" t="s">
        <v>30</v>
      </c>
      <c r="D270" s="53">
        <v>0.3</v>
      </c>
      <c r="E270" s="53">
        <v>0.3</v>
      </c>
      <c r="F270" s="53">
        <v>0.2</v>
      </c>
      <c r="G270" s="53">
        <v>0.1</v>
      </c>
      <c r="H270" s="53">
        <v>0.1</v>
      </c>
      <c r="I270" s="54">
        <f t="shared" si="33"/>
        <v>0.66666666666666674</v>
      </c>
      <c r="J270" s="22"/>
      <c r="K270" s="24"/>
      <c r="L270" s="81"/>
      <c r="M270" s="82"/>
      <c r="N270" s="22"/>
      <c r="O270" s="25"/>
    </row>
    <row r="271" spans="1:15" x14ac:dyDescent="0.25">
      <c r="A271" s="286"/>
      <c r="B271" s="218"/>
      <c r="C271" s="22" t="s">
        <v>181</v>
      </c>
      <c r="D271" s="53">
        <v>157.9</v>
      </c>
      <c r="E271" s="53">
        <v>157.9</v>
      </c>
      <c r="F271" s="53">
        <v>144.30000000000001</v>
      </c>
      <c r="G271" s="53">
        <v>13.6</v>
      </c>
      <c r="H271" s="53">
        <v>13.6</v>
      </c>
      <c r="I271" s="54">
        <f t="shared" si="33"/>
        <v>0.91386953768207735</v>
      </c>
      <c r="J271" s="22"/>
      <c r="K271" s="24"/>
      <c r="L271" s="81"/>
      <c r="M271" s="82"/>
      <c r="N271" s="22"/>
      <c r="O271" s="25"/>
    </row>
    <row r="272" spans="1:15" ht="15.75" thickBot="1" x14ac:dyDescent="0.3">
      <c r="A272" s="287"/>
      <c r="B272" s="219"/>
      <c r="C272" s="22" t="s">
        <v>191</v>
      </c>
      <c r="D272" s="53">
        <v>1788.3</v>
      </c>
      <c r="E272" s="53">
        <v>1788.3</v>
      </c>
      <c r="F272" s="53">
        <v>1635.3</v>
      </c>
      <c r="G272" s="53">
        <v>153</v>
      </c>
      <c r="H272" s="53">
        <v>153</v>
      </c>
      <c r="I272" s="68">
        <f t="shared" si="33"/>
        <v>0.91444388525415199</v>
      </c>
      <c r="J272" s="22"/>
      <c r="K272" s="24"/>
      <c r="L272" s="81"/>
      <c r="M272" s="82"/>
      <c r="N272" s="22"/>
      <c r="O272" s="25"/>
    </row>
    <row r="273" spans="1:15" ht="38.25" x14ac:dyDescent="0.25">
      <c r="A273" s="285" t="s">
        <v>524</v>
      </c>
      <c r="B273" s="217" t="s">
        <v>525</v>
      </c>
      <c r="C273" s="17"/>
      <c r="D273" s="51">
        <f>SUM(D274:D276)</f>
        <v>695.19999999999993</v>
      </c>
      <c r="E273" s="51">
        <f>SUM(E274:E276)</f>
        <v>695.19999999999993</v>
      </c>
      <c r="F273" s="51">
        <f>SUM(F274:F276)</f>
        <v>648</v>
      </c>
      <c r="G273" s="51">
        <f>SUM(G274:G276)</f>
        <v>47.2</v>
      </c>
      <c r="H273" s="51">
        <f>SUM(H274:H276)</f>
        <v>47.2</v>
      </c>
      <c r="I273" s="54">
        <f t="shared" si="33"/>
        <v>0.93210586881472968</v>
      </c>
      <c r="J273" s="17" t="s">
        <v>221</v>
      </c>
      <c r="K273" s="18" t="s">
        <v>19</v>
      </c>
      <c r="L273" s="18">
        <v>1</v>
      </c>
      <c r="M273" s="161">
        <v>0</v>
      </c>
      <c r="N273" s="17"/>
      <c r="O273" s="19" t="s">
        <v>523</v>
      </c>
    </row>
    <row r="274" spans="1:15" x14ac:dyDescent="0.25">
      <c r="A274" s="286"/>
      <c r="B274" s="218"/>
      <c r="C274" s="22" t="s">
        <v>191</v>
      </c>
      <c r="D274" s="53">
        <v>638.4</v>
      </c>
      <c r="E274" s="53">
        <v>638.4</v>
      </c>
      <c r="F274" s="53">
        <v>595.20000000000005</v>
      </c>
      <c r="G274" s="53">
        <v>43.2</v>
      </c>
      <c r="H274" s="53">
        <v>43.2</v>
      </c>
      <c r="I274" s="54">
        <f t="shared" si="33"/>
        <v>0.93233082706766923</v>
      </c>
      <c r="J274" s="22"/>
      <c r="K274" s="24"/>
      <c r="L274" s="81"/>
      <c r="M274" s="82"/>
      <c r="N274" s="22"/>
      <c r="O274" s="25"/>
    </row>
    <row r="275" spans="1:15" x14ac:dyDescent="0.25">
      <c r="A275" s="286"/>
      <c r="B275" s="218"/>
      <c r="C275" s="22" t="s">
        <v>30</v>
      </c>
      <c r="D275" s="53">
        <v>0.3</v>
      </c>
      <c r="E275" s="53">
        <v>0.3</v>
      </c>
      <c r="F275" s="53">
        <v>0.3</v>
      </c>
      <c r="G275" s="53"/>
      <c r="H275" s="53"/>
      <c r="I275" s="54">
        <f t="shared" si="33"/>
        <v>1</v>
      </c>
      <c r="J275" s="22"/>
      <c r="K275" s="24"/>
      <c r="L275" s="81"/>
      <c r="M275" s="82"/>
      <c r="N275" s="22"/>
      <c r="O275" s="25"/>
    </row>
    <row r="276" spans="1:15" ht="15.75" thickBot="1" x14ac:dyDescent="0.3">
      <c r="A276" s="287"/>
      <c r="B276" s="219"/>
      <c r="C276" s="22" t="s">
        <v>181</v>
      </c>
      <c r="D276" s="53">
        <v>56.5</v>
      </c>
      <c r="E276" s="53">
        <v>56.5</v>
      </c>
      <c r="F276" s="53">
        <v>52.5</v>
      </c>
      <c r="G276" s="53">
        <v>4</v>
      </c>
      <c r="H276" s="53">
        <v>4</v>
      </c>
      <c r="I276" s="68">
        <f t="shared" si="33"/>
        <v>0.92920353982300885</v>
      </c>
      <c r="J276" s="22"/>
      <c r="K276" s="24"/>
      <c r="L276" s="81"/>
      <c r="M276" s="82"/>
      <c r="N276" s="22"/>
      <c r="O276" s="25"/>
    </row>
    <row r="277" spans="1:15" ht="76.5" x14ac:dyDescent="0.25">
      <c r="A277" s="285" t="s">
        <v>526</v>
      </c>
      <c r="B277" s="217" t="s">
        <v>527</v>
      </c>
      <c r="C277" s="17"/>
      <c r="D277" s="51">
        <f>SUM(D278:D281)</f>
        <v>1521.1000000000001</v>
      </c>
      <c r="E277" s="51">
        <f>SUM(E278:E281)</f>
        <v>1521.1000000000001</v>
      </c>
      <c r="F277" s="51">
        <f>SUM(F278:F281)</f>
        <v>1159.5</v>
      </c>
      <c r="G277" s="51">
        <f>SUM(G278:G281)</f>
        <v>361.6</v>
      </c>
      <c r="H277" s="51">
        <f>SUM(H278:H281)</f>
        <v>361.6</v>
      </c>
      <c r="I277" s="54">
        <f t="shared" si="33"/>
        <v>0.76227729932285837</v>
      </c>
      <c r="J277" s="17" t="s">
        <v>528</v>
      </c>
      <c r="K277" s="18" t="s">
        <v>25</v>
      </c>
      <c r="L277" s="18">
        <v>100</v>
      </c>
      <c r="M277" s="125">
        <v>100</v>
      </c>
      <c r="N277" s="17" t="s">
        <v>529</v>
      </c>
      <c r="O277" s="19"/>
    </row>
    <row r="278" spans="1:15" ht="38.25" x14ac:dyDescent="0.25">
      <c r="A278" s="286"/>
      <c r="B278" s="218"/>
      <c r="C278" s="22" t="s">
        <v>30</v>
      </c>
      <c r="D278" s="53">
        <v>339</v>
      </c>
      <c r="E278" s="53">
        <v>339</v>
      </c>
      <c r="F278" s="53">
        <v>294.10000000000002</v>
      </c>
      <c r="G278" s="53">
        <v>44.9</v>
      </c>
      <c r="H278" s="53">
        <v>44.9</v>
      </c>
      <c r="I278" s="54">
        <f t="shared" si="33"/>
        <v>0.86755162241887918</v>
      </c>
      <c r="J278" s="22" t="s">
        <v>221</v>
      </c>
      <c r="K278" s="24" t="s">
        <v>19</v>
      </c>
      <c r="L278" s="24">
        <v>1</v>
      </c>
      <c r="M278" s="162">
        <v>0</v>
      </c>
      <c r="N278" s="22"/>
      <c r="O278" s="25" t="s">
        <v>1902</v>
      </c>
    </row>
    <row r="279" spans="1:15" x14ac:dyDescent="0.25">
      <c r="A279" s="286"/>
      <c r="B279" s="218"/>
      <c r="C279" s="22" t="s">
        <v>191</v>
      </c>
      <c r="D279" s="53">
        <v>649.70000000000005</v>
      </c>
      <c r="E279" s="53">
        <v>649.70000000000005</v>
      </c>
      <c r="F279" s="53">
        <v>648.79999999999995</v>
      </c>
      <c r="G279" s="53">
        <v>0.9</v>
      </c>
      <c r="H279" s="53">
        <v>0.9</v>
      </c>
      <c r="I279" s="54">
        <f t="shared" si="33"/>
        <v>0.99861474526704619</v>
      </c>
      <c r="J279" s="22"/>
      <c r="K279" s="24"/>
      <c r="L279" s="81"/>
      <c r="M279" s="82"/>
      <c r="N279" s="22"/>
      <c r="O279" s="25"/>
    </row>
    <row r="280" spans="1:15" x14ac:dyDescent="0.25">
      <c r="A280" s="286"/>
      <c r="B280" s="218"/>
      <c r="C280" s="22" t="s">
        <v>26</v>
      </c>
      <c r="D280" s="53">
        <v>475</v>
      </c>
      <c r="E280" s="53">
        <v>475</v>
      </c>
      <c r="F280" s="53">
        <v>159.4</v>
      </c>
      <c r="G280" s="53">
        <v>315.60000000000002</v>
      </c>
      <c r="H280" s="53">
        <v>315.60000000000002</v>
      </c>
      <c r="I280" s="54">
        <f t="shared" si="33"/>
        <v>0.33557894736842109</v>
      </c>
      <c r="J280" s="22"/>
      <c r="K280" s="24"/>
      <c r="L280" s="81"/>
      <c r="M280" s="82"/>
      <c r="N280" s="22"/>
      <c r="O280" s="25"/>
    </row>
    <row r="281" spans="1:15" ht="15.75" thickBot="1" x14ac:dyDescent="0.3">
      <c r="A281" s="287"/>
      <c r="B281" s="219"/>
      <c r="C281" s="22" t="s">
        <v>181</v>
      </c>
      <c r="D281" s="53">
        <v>57.4</v>
      </c>
      <c r="E281" s="53">
        <v>57.4</v>
      </c>
      <c r="F281" s="53">
        <v>57.2</v>
      </c>
      <c r="G281" s="53">
        <v>0.2</v>
      </c>
      <c r="H281" s="53">
        <v>0.2</v>
      </c>
      <c r="I281" s="68">
        <f t="shared" si="33"/>
        <v>0.99651567944250874</v>
      </c>
      <c r="J281" s="22"/>
      <c r="K281" s="24"/>
      <c r="L281" s="81"/>
      <c r="M281" s="82"/>
      <c r="N281" s="22"/>
      <c r="O281" s="25"/>
    </row>
    <row r="282" spans="1:15" ht="51" customHeight="1" x14ac:dyDescent="0.25">
      <c r="A282" s="285" t="s">
        <v>530</v>
      </c>
      <c r="B282" s="217" t="s">
        <v>531</v>
      </c>
      <c r="C282" s="17"/>
      <c r="D282" s="51">
        <f>SUM(D283:D284)</f>
        <v>618.6</v>
      </c>
      <c r="E282" s="51">
        <f>SUM(E283:E284)</f>
        <v>618.6</v>
      </c>
      <c r="F282" s="51">
        <f>SUM(F283:F284)</f>
        <v>615.79999999999995</v>
      </c>
      <c r="G282" s="51">
        <f>SUM(G283:G284)</f>
        <v>2.8000000000000003</v>
      </c>
      <c r="H282" s="51">
        <f>SUM(H283:H284)</f>
        <v>2.8000000000000003</v>
      </c>
      <c r="I282" s="54">
        <f t="shared" si="33"/>
        <v>0.99547365017782075</v>
      </c>
      <c r="J282" s="17" t="s">
        <v>221</v>
      </c>
      <c r="K282" s="18" t="s">
        <v>19</v>
      </c>
      <c r="L282" s="18">
        <v>1</v>
      </c>
      <c r="M282" s="161">
        <v>0</v>
      </c>
      <c r="N282" s="17"/>
      <c r="O282" s="19" t="s">
        <v>523</v>
      </c>
    </row>
    <row r="283" spans="1:15" x14ac:dyDescent="0.25">
      <c r="A283" s="286"/>
      <c r="B283" s="218"/>
      <c r="C283" s="22" t="s">
        <v>191</v>
      </c>
      <c r="D283" s="53">
        <v>568.4</v>
      </c>
      <c r="E283" s="53">
        <v>568.4</v>
      </c>
      <c r="F283" s="53">
        <v>565.79999999999995</v>
      </c>
      <c r="G283" s="53">
        <v>2.6</v>
      </c>
      <c r="H283" s="53">
        <v>2.6</v>
      </c>
      <c r="I283" s="54">
        <f t="shared" si="33"/>
        <v>0.99542575650950027</v>
      </c>
      <c r="J283" s="22"/>
      <c r="K283" s="24"/>
      <c r="L283" s="81"/>
      <c r="M283" s="82"/>
      <c r="N283" s="22"/>
      <c r="O283" s="25"/>
    </row>
    <row r="284" spans="1:15" ht="15.75" thickBot="1" x14ac:dyDescent="0.3">
      <c r="A284" s="287"/>
      <c r="B284" s="219"/>
      <c r="C284" s="22" t="s">
        <v>181</v>
      </c>
      <c r="D284" s="53">
        <v>50.2</v>
      </c>
      <c r="E284" s="53">
        <v>50.2</v>
      </c>
      <c r="F284" s="53">
        <v>50</v>
      </c>
      <c r="G284" s="53">
        <v>0.2</v>
      </c>
      <c r="H284" s="53">
        <v>0.2</v>
      </c>
      <c r="I284" s="68">
        <f t="shared" si="33"/>
        <v>0.99601593625497997</v>
      </c>
      <c r="J284" s="22"/>
      <c r="K284" s="24"/>
      <c r="L284" s="81"/>
      <c r="M284" s="82"/>
      <c r="N284" s="22"/>
      <c r="O284" s="25"/>
    </row>
    <row r="285" spans="1:15" ht="165.75" x14ac:dyDescent="0.25">
      <c r="A285" s="285" t="s">
        <v>532</v>
      </c>
      <c r="B285" s="217" t="s">
        <v>533</v>
      </c>
      <c r="C285" s="17"/>
      <c r="D285" s="51">
        <f>SUM(D286:D288)</f>
        <v>300.5</v>
      </c>
      <c r="E285" s="51">
        <f>SUM(E286:E288)</f>
        <v>300.5</v>
      </c>
      <c r="F285" s="51">
        <f>SUM(F286:F288)</f>
        <v>268.39999999999998</v>
      </c>
      <c r="G285" s="51">
        <f>SUM(G286:G288)</f>
        <v>32.1</v>
      </c>
      <c r="H285" s="51">
        <f>SUM(H286:H288)</f>
        <v>32.1</v>
      </c>
      <c r="I285" s="54">
        <f t="shared" si="33"/>
        <v>0.8931780366056572</v>
      </c>
      <c r="J285" s="17" t="s">
        <v>534</v>
      </c>
      <c r="K285" s="18" t="s">
        <v>337</v>
      </c>
      <c r="L285" s="18">
        <v>21</v>
      </c>
      <c r="M285" s="139">
        <v>24</v>
      </c>
      <c r="N285" s="17" t="s">
        <v>1776</v>
      </c>
      <c r="O285" s="19"/>
    </row>
    <row r="286" spans="1:15" ht="140.25" x14ac:dyDescent="0.25">
      <c r="A286" s="286"/>
      <c r="B286" s="218"/>
      <c r="C286" s="22" t="s">
        <v>26</v>
      </c>
      <c r="D286" s="53">
        <v>200</v>
      </c>
      <c r="E286" s="53">
        <v>200</v>
      </c>
      <c r="F286" s="53">
        <v>168</v>
      </c>
      <c r="G286" s="53">
        <v>32</v>
      </c>
      <c r="H286" s="53">
        <v>32</v>
      </c>
      <c r="I286" s="54">
        <f t="shared" si="33"/>
        <v>0.84</v>
      </c>
      <c r="J286" s="22" t="s">
        <v>535</v>
      </c>
      <c r="K286" s="24" t="s">
        <v>337</v>
      </c>
      <c r="L286" s="24">
        <v>81</v>
      </c>
      <c r="M286" s="130">
        <v>81</v>
      </c>
      <c r="N286" s="22" t="s">
        <v>1777</v>
      </c>
      <c r="O286" s="25"/>
    </row>
    <row r="287" spans="1:15" ht="132" customHeight="1" x14ac:dyDescent="0.25">
      <c r="A287" s="286"/>
      <c r="B287" s="218"/>
      <c r="C287" s="22" t="s">
        <v>30</v>
      </c>
      <c r="D287" s="53">
        <v>100.5</v>
      </c>
      <c r="E287" s="53">
        <v>100.5</v>
      </c>
      <c r="F287" s="53">
        <v>100.4</v>
      </c>
      <c r="G287" s="53">
        <v>0.1</v>
      </c>
      <c r="H287" s="53">
        <v>0.1</v>
      </c>
      <c r="I287" s="54">
        <f t="shared" si="33"/>
        <v>0.99900497512437814</v>
      </c>
      <c r="J287" s="22" t="s">
        <v>536</v>
      </c>
      <c r="K287" s="24" t="s">
        <v>337</v>
      </c>
      <c r="L287" s="24">
        <v>1</v>
      </c>
      <c r="M287" s="130">
        <v>1</v>
      </c>
      <c r="N287" s="22" t="s">
        <v>1778</v>
      </c>
      <c r="O287" s="25"/>
    </row>
    <row r="288" spans="1:15" ht="192" thickBot="1" x14ac:dyDescent="0.3">
      <c r="A288" s="287"/>
      <c r="B288" s="219"/>
      <c r="C288" s="22"/>
      <c r="D288" s="53"/>
      <c r="E288" s="53"/>
      <c r="F288" s="53"/>
      <c r="G288" s="53"/>
      <c r="H288" s="53"/>
      <c r="I288" s="55"/>
      <c r="J288" s="22" t="s">
        <v>537</v>
      </c>
      <c r="K288" s="24" t="s">
        <v>337</v>
      </c>
      <c r="L288" s="24">
        <v>5</v>
      </c>
      <c r="M288" s="131">
        <v>9</v>
      </c>
      <c r="N288" s="22" t="s">
        <v>1779</v>
      </c>
      <c r="O288" s="25"/>
    </row>
    <row r="289" spans="1:15" ht="26.25" thickBot="1" x14ac:dyDescent="0.3">
      <c r="A289" s="7" t="s">
        <v>538</v>
      </c>
      <c r="B289" s="8" t="s">
        <v>539</v>
      </c>
      <c r="C289" s="9"/>
      <c r="D289" s="47">
        <f>D290+D319</f>
        <v>13801.2</v>
      </c>
      <c r="E289" s="47">
        <f>E290+E319</f>
        <v>13801.2</v>
      </c>
      <c r="F289" s="47">
        <f>F290+F319</f>
        <v>12717.899999999998</v>
      </c>
      <c r="G289" s="47">
        <f>G290+G319</f>
        <v>1083.3</v>
      </c>
      <c r="H289" s="47">
        <f>H290+H319</f>
        <v>1083.3</v>
      </c>
      <c r="I289" s="48">
        <f>SUM(F289/E289)</f>
        <v>0.9215068254934351</v>
      </c>
      <c r="J289" s="9" t="s">
        <v>540</v>
      </c>
      <c r="K289" s="10" t="s">
        <v>474</v>
      </c>
      <c r="L289" s="10">
        <v>3</v>
      </c>
      <c r="M289" s="84">
        <v>3.7</v>
      </c>
      <c r="N289" s="273"/>
      <c r="O289" s="274"/>
    </row>
    <row r="290" spans="1:15" ht="26.25" thickBot="1" x14ac:dyDescent="0.3">
      <c r="A290" s="12" t="s">
        <v>541</v>
      </c>
      <c r="B290" s="13" t="s">
        <v>542</v>
      </c>
      <c r="C290" s="14"/>
      <c r="D290" s="49">
        <f>D291+D308+D311+D317+D318</f>
        <v>11386.4</v>
      </c>
      <c r="E290" s="49">
        <f>E291+E308+E311+E317+E318</f>
        <v>11386.4</v>
      </c>
      <c r="F290" s="49">
        <f>F291+F308+F311+F317+F318</f>
        <v>10721.999999999998</v>
      </c>
      <c r="G290" s="49">
        <f>G291+G308+G311+G317+G318</f>
        <v>664.4</v>
      </c>
      <c r="H290" s="49">
        <f>H291+H308+H311+H317+H318</f>
        <v>664.4</v>
      </c>
      <c r="I290" s="66">
        <f>SUM(F290/E290)</f>
        <v>0.94164968734630772</v>
      </c>
      <c r="J290" s="263"/>
      <c r="K290" s="264"/>
      <c r="L290" s="264"/>
      <c r="M290" s="264"/>
      <c r="N290" s="264"/>
      <c r="O290" s="265"/>
    </row>
    <row r="291" spans="1:15" ht="63.75" x14ac:dyDescent="0.25">
      <c r="A291" s="285" t="s">
        <v>543</v>
      </c>
      <c r="B291" s="217" t="s">
        <v>544</v>
      </c>
      <c r="C291" s="17"/>
      <c r="D291" s="51">
        <f>D292+D293+D294+D297+D303+D307</f>
        <v>9096.2000000000007</v>
      </c>
      <c r="E291" s="51">
        <f>E292+E293+E294+E297+E303+E307</f>
        <v>9096.2000000000007</v>
      </c>
      <c r="F291" s="51">
        <f>F292+F293+F294+F297+F303+F307</f>
        <v>8848.9</v>
      </c>
      <c r="G291" s="51">
        <f>G292+G293+G294+G297+G303+G307</f>
        <v>247.3</v>
      </c>
      <c r="H291" s="51">
        <f>H292+H293+H294+H297+H303+H307</f>
        <v>247.3</v>
      </c>
      <c r="I291" s="54">
        <f t="shared" ref="I291" si="34">SUM(F291/E291)</f>
        <v>0.97281282293705051</v>
      </c>
      <c r="J291" s="17" t="s">
        <v>545</v>
      </c>
      <c r="K291" s="18" t="s">
        <v>25</v>
      </c>
      <c r="L291" s="18">
        <v>100</v>
      </c>
      <c r="M291" s="125">
        <v>100</v>
      </c>
      <c r="N291" s="17"/>
      <c r="O291" s="19"/>
    </row>
    <row r="292" spans="1:15" ht="25.5" x14ac:dyDescent="0.25">
      <c r="A292" s="286"/>
      <c r="B292" s="218"/>
      <c r="C292" s="22"/>
      <c r="D292" s="53"/>
      <c r="E292" s="53"/>
      <c r="F292" s="53"/>
      <c r="G292" s="53"/>
      <c r="H292" s="53"/>
      <c r="I292" s="55"/>
      <c r="J292" s="22" t="s">
        <v>546</v>
      </c>
      <c r="K292" s="24" t="s">
        <v>25</v>
      </c>
      <c r="L292" s="24">
        <v>100</v>
      </c>
      <c r="M292" s="130">
        <v>100</v>
      </c>
      <c r="N292" s="22"/>
      <c r="O292" s="25"/>
    </row>
    <row r="293" spans="1:15" ht="26.25" thickBot="1" x14ac:dyDescent="0.3">
      <c r="A293" s="287"/>
      <c r="B293" s="219"/>
      <c r="C293" s="22"/>
      <c r="D293" s="53"/>
      <c r="E293" s="53"/>
      <c r="F293" s="53"/>
      <c r="G293" s="53"/>
      <c r="H293" s="53"/>
      <c r="I293" s="67"/>
      <c r="J293" s="22" t="s">
        <v>547</v>
      </c>
      <c r="K293" s="24" t="s">
        <v>312</v>
      </c>
      <c r="L293" s="24">
        <v>281</v>
      </c>
      <c r="M293" s="130">
        <v>281</v>
      </c>
      <c r="N293" s="22"/>
      <c r="O293" s="25"/>
    </row>
    <row r="294" spans="1:15" ht="51" x14ac:dyDescent="0.25">
      <c r="A294" s="285" t="s">
        <v>548</v>
      </c>
      <c r="B294" s="217" t="s">
        <v>549</v>
      </c>
      <c r="C294" s="17"/>
      <c r="D294" s="51">
        <f>SUM(D295:D296)</f>
        <v>110</v>
      </c>
      <c r="E294" s="51">
        <f>SUM(E295:E296)</f>
        <v>110</v>
      </c>
      <c r="F294" s="51">
        <f>SUM(F295:F296)</f>
        <v>102.10000000000001</v>
      </c>
      <c r="G294" s="51">
        <f>SUM(G295:G296)</f>
        <v>7.9</v>
      </c>
      <c r="H294" s="51">
        <f>SUM(H295:H296)</f>
        <v>7.9</v>
      </c>
      <c r="I294" s="54">
        <f t="shared" ref="I294:I306" si="35">SUM(F294/E294)</f>
        <v>0.92818181818181822</v>
      </c>
      <c r="J294" s="17" t="s">
        <v>550</v>
      </c>
      <c r="K294" s="18" t="s">
        <v>19</v>
      </c>
      <c r="L294" s="18">
        <v>400</v>
      </c>
      <c r="M294" s="139">
        <v>708</v>
      </c>
      <c r="N294" s="17" t="s">
        <v>551</v>
      </c>
      <c r="O294" s="19"/>
    </row>
    <row r="295" spans="1:15" x14ac:dyDescent="0.25">
      <c r="A295" s="286"/>
      <c r="B295" s="218"/>
      <c r="C295" s="22" t="s">
        <v>26</v>
      </c>
      <c r="D295" s="53">
        <v>81.8</v>
      </c>
      <c r="E295" s="53">
        <v>81.8</v>
      </c>
      <c r="F295" s="53">
        <v>73.900000000000006</v>
      </c>
      <c r="G295" s="53">
        <v>7.9</v>
      </c>
      <c r="H295" s="53">
        <v>7.9</v>
      </c>
      <c r="I295" s="54">
        <f t="shared" si="35"/>
        <v>0.90342298288508571</v>
      </c>
      <c r="J295" s="22"/>
      <c r="K295" s="24"/>
      <c r="L295" s="81"/>
      <c r="M295" s="82"/>
      <c r="N295" s="22"/>
      <c r="O295" s="25"/>
    </row>
    <row r="296" spans="1:15" ht="15.75" thickBot="1" x14ac:dyDescent="0.3">
      <c r="A296" s="287"/>
      <c r="B296" s="219"/>
      <c r="C296" s="22" t="s">
        <v>30</v>
      </c>
      <c r="D296" s="53">
        <v>28.2</v>
      </c>
      <c r="E296" s="53">
        <v>28.2</v>
      </c>
      <c r="F296" s="53">
        <v>28.2</v>
      </c>
      <c r="G296" s="53"/>
      <c r="H296" s="53"/>
      <c r="I296" s="68">
        <f t="shared" si="35"/>
        <v>1</v>
      </c>
      <c r="J296" s="22"/>
      <c r="K296" s="24"/>
      <c r="L296" s="81"/>
      <c r="M296" s="82"/>
      <c r="N296" s="22"/>
      <c r="O296" s="25"/>
    </row>
    <row r="297" spans="1:15" ht="140.25" x14ac:dyDescent="0.25">
      <c r="A297" s="285" t="s">
        <v>552</v>
      </c>
      <c r="B297" s="217" t="s">
        <v>553</v>
      </c>
      <c r="C297" s="17"/>
      <c r="D297" s="51">
        <f>SUM(D298:D302)</f>
        <v>8261.2000000000007</v>
      </c>
      <c r="E297" s="51">
        <f>SUM(E298:E302)</f>
        <v>8261.2000000000007</v>
      </c>
      <c r="F297" s="51">
        <f>SUM(F298:F302)</f>
        <v>8068.5</v>
      </c>
      <c r="G297" s="51">
        <f>SUM(G298:G302)</f>
        <v>192.7</v>
      </c>
      <c r="H297" s="51">
        <f>SUM(H298:H302)</f>
        <v>192.7</v>
      </c>
      <c r="I297" s="54">
        <f t="shared" si="35"/>
        <v>0.97667409093109947</v>
      </c>
      <c r="J297" s="17" t="s">
        <v>554</v>
      </c>
      <c r="K297" s="18" t="s">
        <v>19</v>
      </c>
      <c r="L297" s="18">
        <v>1</v>
      </c>
      <c r="M297" s="135">
        <v>0.75</v>
      </c>
      <c r="N297" s="143" t="s">
        <v>1957</v>
      </c>
      <c r="O297" s="19"/>
    </row>
    <row r="298" spans="1:15" ht="63.75" x14ac:dyDescent="0.25">
      <c r="A298" s="286"/>
      <c r="B298" s="218"/>
      <c r="C298" s="22" t="s">
        <v>30</v>
      </c>
      <c r="D298" s="53">
        <v>80</v>
      </c>
      <c r="E298" s="53">
        <v>80</v>
      </c>
      <c r="F298" s="53">
        <v>80</v>
      </c>
      <c r="G298" s="53"/>
      <c r="H298" s="53"/>
      <c r="I298" s="54">
        <f t="shared" si="35"/>
        <v>1</v>
      </c>
      <c r="J298" s="22" t="s">
        <v>555</v>
      </c>
      <c r="K298" s="24" t="s">
        <v>19</v>
      </c>
      <c r="L298" s="24">
        <v>1</v>
      </c>
      <c r="M298" s="130">
        <v>1</v>
      </c>
      <c r="N298" s="22" t="s">
        <v>1780</v>
      </c>
      <c r="O298" s="25"/>
    </row>
    <row r="299" spans="1:15" ht="63.75" x14ac:dyDescent="0.25">
      <c r="A299" s="286"/>
      <c r="B299" s="218"/>
      <c r="C299" s="22" t="s">
        <v>181</v>
      </c>
      <c r="D299" s="53">
        <v>1427</v>
      </c>
      <c r="E299" s="53">
        <v>1427</v>
      </c>
      <c r="F299" s="53">
        <v>1427</v>
      </c>
      <c r="G299" s="53"/>
      <c r="H299" s="53"/>
      <c r="I299" s="54">
        <f t="shared" si="35"/>
        <v>1</v>
      </c>
      <c r="J299" s="22" t="s">
        <v>556</v>
      </c>
      <c r="K299" s="24" t="s">
        <v>19</v>
      </c>
      <c r="L299" s="24">
        <v>1</v>
      </c>
      <c r="M299" s="112">
        <v>1</v>
      </c>
      <c r="N299" s="22" t="s">
        <v>557</v>
      </c>
      <c r="O299" s="25"/>
    </row>
    <row r="300" spans="1:15" x14ac:dyDescent="0.25">
      <c r="A300" s="286"/>
      <c r="B300" s="218"/>
      <c r="C300" s="22" t="s">
        <v>468</v>
      </c>
      <c r="D300" s="53">
        <v>5090.3</v>
      </c>
      <c r="E300" s="53">
        <v>5090.3</v>
      </c>
      <c r="F300" s="53">
        <v>5090.3</v>
      </c>
      <c r="G300" s="53"/>
      <c r="H300" s="53"/>
      <c r="I300" s="54">
        <f t="shared" si="35"/>
        <v>1</v>
      </c>
      <c r="J300" s="22"/>
      <c r="K300" s="24"/>
      <c r="L300" s="81"/>
      <c r="M300" s="82"/>
      <c r="N300" s="22"/>
      <c r="O300" s="25"/>
    </row>
    <row r="301" spans="1:15" x14ac:dyDescent="0.25">
      <c r="A301" s="286"/>
      <c r="B301" s="218"/>
      <c r="C301" s="22" t="s">
        <v>26</v>
      </c>
      <c r="D301" s="53">
        <v>643.9</v>
      </c>
      <c r="E301" s="53">
        <v>643.9</v>
      </c>
      <c r="F301" s="53">
        <v>451.4</v>
      </c>
      <c r="G301" s="53">
        <v>192.5</v>
      </c>
      <c r="H301" s="53">
        <v>192.5</v>
      </c>
      <c r="I301" s="54">
        <f t="shared" si="35"/>
        <v>0.7010405342444479</v>
      </c>
      <c r="J301" s="22"/>
      <c r="K301" s="24"/>
      <c r="L301" s="81"/>
      <c r="M301" s="82"/>
      <c r="N301" s="22"/>
      <c r="O301" s="25"/>
    </row>
    <row r="302" spans="1:15" ht="15.75" thickBot="1" x14ac:dyDescent="0.3">
      <c r="A302" s="287"/>
      <c r="B302" s="219"/>
      <c r="C302" s="22" t="s">
        <v>198</v>
      </c>
      <c r="D302" s="53">
        <v>1020</v>
      </c>
      <c r="E302" s="53">
        <v>1020</v>
      </c>
      <c r="F302" s="53">
        <v>1019.8</v>
      </c>
      <c r="G302" s="53">
        <v>0.2</v>
      </c>
      <c r="H302" s="53">
        <v>0.2</v>
      </c>
      <c r="I302" s="68">
        <f t="shared" si="35"/>
        <v>0.99980392156862741</v>
      </c>
      <c r="J302" s="22"/>
      <c r="K302" s="24"/>
      <c r="L302" s="81"/>
      <c r="M302" s="82"/>
      <c r="N302" s="22"/>
      <c r="O302" s="25"/>
    </row>
    <row r="303" spans="1:15" ht="25.5" x14ac:dyDescent="0.25">
      <c r="A303" s="285" t="s">
        <v>558</v>
      </c>
      <c r="B303" s="217" t="s">
        <v>559</v>
      </c>
      <c r="C303" s="17"/>
      <c r="D303" s="51">
        <f>SUM(D304:D306)</f>
        <v>725</v>
      </c>
      <c r="E303" s="51">
        <f>SUM(E304:E306)</f>
        <v>725</v>
      </c>
      <c r="F303" s="51">
        <f>SUM(F304:F306)</f>
        <v>678.3</v>
      </c>
      <c r="G303" s="51">
        <f>SUM(G304:G306)</f>
        <v>46.7</v>
      </c>
      <c r="H303" s="51">
        <f>SUM(H304:H306)</f>
        <v>46.7</v>
      </c>
      <c r="I303" s="54">
        <f t="shared" si="35"/>
        <v>0.9355862068965517</v>
      </c>
      <c r="J303" s="17" t="s">
        <v>560</v>
      </c>
      <c r="K303" s="18" t="s">
        <v>19</v>
      </c>
      <c r="L303" s="18">
        <v>1</v>
      </c>
      <c r="M303" s="115">
        <v>1</v>
      </c>
      <c r="N303" s="17" t="s">
        <v>561</v>
      </c>
      <c r="O303" s="19"/>
    </row>
    <row r="304" spans="1:15" ht="89.25" x14ac:dyDescent="0.25">
      <c r="A304" s="286"/>
      <c r="B304" s="218"/>
      <c r="C304" s="22" t="s">
        <v>26</v>
      </c>
      <c r="D304" s="53">
        <v>244.3</v>
      </c>
      <c r="E304" s="53">
        <v>244.3</v>
      </c>
      <c r="F304" s="53">
        <v>197.6</v>
      </c>
      <c r="G304" s="53">
        <v>46.7</v>
      </c>
      <c r="H304" s="53">
        <v>46.7</v>
      </c>
      <c r="I304" s="54">
        <f t="shared" si="35"/>
        <v>0.80884158821121566</v>
      </c>
      <c r="J304" s="22" t="s">
        <v>562</v>
      </c>
      <c r="K304" s="24" t="s">
        <v>25</v>
      </c>
      <c r="L304" s="24">
        <v>100</v>
      </c>
      <c r="M304" s="112">
        <v>100</v>
      </c>
      <c r="N304" s="22" t="s">
        <v>563</v>
      </c>
      <c r="O304" s="25"/>
    </row>
    <row r="305" spans="1:15" x14ac:dyDescent="0.25">
      <c r="A305" s="286"/>
      <c r="B305" s="218"/>
      <c r="C305" s="22" t="s">
        <v>198</v>
      </c>
      <c r="D305" s="53">
        <v>280</v>
      </c>
      <c r="E305" s="53">
        <v>280</v>
      </c>
      <c r="F305" s="53">
        <v>280</v>
      </c>
      <c r="G305" s="53"/>
      <c r="H305" s="53"/>
      <c r="I305" s="54">
        <f t="shared" si="35"/>
        <v>1</v>
      </c>
      <c r="J305" s="22"/>
      <c r="K305" s="24"/>
      <c r="L305" s="81"/>
      <c r="M305" s="82"/>
      <c r="N305" s="22"/>
      <c r="O305" s="25"/>
    </row>
    <row r="306" spans="1:15" ht="15" customHeight="1" thickBot="1" x14ac:dyDescent="0.3">
      <c r="A306" s="287"/>
      <c r="B306" s="219"/>
      <c r="C306" s="22" t="s">
        <v>30</v>
      </c>
      <c r="D306" s="53">
        <v>200.7</v>
      </c>
      <c r="E306" s="53">
        <v>200.7</v>
      </c>
      <c r="F306" s="53">
        <v>200.7</v>
      </c>
      <c r="G306" s="53"/>
      <c r="H306" s="53"/>
      <c r="I306" s="54">
        <f t="shared" si="35"/>
        <v>1</v>
      </c>
      <c r="J306" s="22"/>
      <c r="K306" s="24"/>
      <c r="L306" s="81"/>
      <c r="M306" s="82"/>
      <c r="N306" s="22"/>
      <c r="O306" s="25"/>
    </row>
    <row r="307" spans="1:15" ht="26.25" hidden="1" thickBot="1" x14ac:dyDescent="0.3">
      <c r="A307" s="15" t="s">
        <v>564</v>
      </c>
      <c r="B307" s="16" t="s">
        <v>565</v>
      </c>
      <c r="C307" s="17"/>
      <c r="D307" s="61"/>
      <c r="E307" s="61"/>
      <c r="F307" s="61"/>
      <c r="G307" s="61"/>
      <c r="H307" s="61"/>
      <c r="I307" s="69"/>
      <c r="J307" s="17" t="s">
        <v>566</v>
      </c>
      <c r="K307" s="18" t="s">
        <v>25</v>
      </c>
      <c r="L307" s="18">
        <v>100</v>
      </c>
      <c r="M307" s="107">
        <v>0</v>
      </c>
      <c r="N307" s="17"/>
      <c r="O307" s="166"/>
    </row>
    <row r="308" spans="1:15" ht="38.25" x14ac:dyDescent="0.25">
      <c r="A308" s="285" t="s">
        <v>567</v>
      </c>
      <c r="B308" s="217" t="s">
        <v>568</v>
      </c>
      <c r="C308" s="17"/>
      <c r="D308" s="51">
        <f>SUM(D309:D310)+0.1</f>
        <v>878.90000000000009</v>
      </c>
      <c r="E308" s="51">
        <f>SUM(E309:E310)+0.1</f>
        <v>878.90000000000009</v>
      </c>
      <c r="F308" s="51">
        <f>SUM(F309:F310)+0.1</f>
        <v>878.80000000000007</v>
      </c>
      <c r="G308" s="51">
        <f>SUM(G309:G310)</f>
        <v>0.1</v>
      </c>
      <c r="H308" s="51">
        <f>SUM(H309:H310)</f>
        <v>0.1</v>
      </c>
      <c r="I308" s="54">
        <f t="shared" ref="I308:I318" si="36">SUM(F308/E308)</f>
        <v>0.99988622141312999</v>
      </c>
      <c r="J308" s="17" t="s">
        <v>221</v>
      </c>
      <c r="K308" s="18" t="s">
        <v>19</v>
      </c>
      <c r="L308" s="18">
        <v>1</v>
      </c>
      <c r="M308" s="107">
        <v>0</v>
      </c>
      <c r="N308" s="17"/>
      <c r="O308" s="19" t="s">
        <v>569</v>
      </c>
    </row>
    <row r="309" spans="1:15" x14ac:dyDescent="0.25">
      <c r="A309" s="286"/>
      <c r="B309" s="218"/>
      <c r="C309" s="22" t="s">
        <v>26</v>
      </c>
      <c r="D309" s="53">
        <v>37.1</v>
      </c>
      <c r="E309" s="53">
        <v>37.1</v>
      </c>
      <c r="F309" s="53">
        <v>37</v>
      </c>
      <c r="G309" s="53">
        <v>0.1</v>
      </c>
      <c r="H309" s="53">
        <v>0.1</v>
      </c>
      <c r="I309" s="54">
        <f t="shared" si="36"/>
        <v>0.99730458221024254</v>
      </c>
      <c r="J309" s="22"/>
      <c r="K309" s="24"/>
      <c r="L309" s="81"/>
      <c r="M309" s="82"/>
      <c r="N309" s="22"/>
      <c r="O309" s="25"/>
    </row>
    <row r="310" spans="1:15" ht="15.75" thickBot="1" x14ac:dyDescent="0.3">
      <c r="A310" s="287"/>
      <c r="B310" s="219"/>
      <c r="C310" s="22" t="s">
        <v>30</v>
      </c>
      <c r="D310" s="53">
        <v>841.7</v>
      </c>
      <c r="E310" s="53">
        <v>841.7</v>
      </c>
      <c r="F310" s="53">
        <v>841.7</v>
      </c>
      <c r="G310" s="53"/>
      <c r="H310" s="53"/>
      <c r="I310" s="68">
        <f t="shared" si="36"/>
        <v>1</v>
      </c>
      <c r="J310" s="22"/>
      <c r="K310" s="24"/>
      <c r="L310" s="81"/>
      <c r="M310" s="82"/>
      <c r="N310" s="22"/>
      <c r="O310" s="25"/>
    </row>
    <row r="311" spans="1:15" ht="51.75" thickBot="1" x14ac:dyDescent="0.3">
      <c r="A311" s="15" t="s">
        <v>570</v>
      </c>
      <c r="B311" s="16" t="s">
        <v>571</v>
      </c>
      <c r="C311" s="17"/>
      <c r="D311" s="51">
        <f>D312+D316</f>
        <v>332.8</v>
      </c>
      <c r="E311" s="51">
        <f>E312+E316</f>
        <v>332.8</v>
      </c>
      <c r="F311" s="51">
        <f>F312+F316</f>
        <v>297</v>
      </c>
      <c r="G311" s="51">
        <f>G312+G316</f>
        <v>35.799999999999997</v>
      </c>
      <c r="H311" s="51">
        <f>H312+H316</f>
        <v>35.799999999999997</v>
      </c>
      <c r="I311" s="63">
        <f t="shared" si="36"/>
        <v>0.89242788461538458</v>
      </c>
      <c r="J311" s="17" t="s">
        <v>572</v>
      </c>
      <c r="K311" s="18" t="s">
        <v>19</v>
      </c>
      <c r="L311" s="18">
        <v>4</v>
      </c>
      <c r="M311" s="113">
        <v>2</v>
      </c>
      <c r="N311" s="17" t="s">
        <v>573</v>
      </c>
      <c r="O311" s="165" t="s">
        <v>1937</v>
      </c>
    </row>
    <row r="312" spans="1:15" ht="38.25" customHeight="1" x14ac:dyDescent="0.25">
      <c r="A312" s="285" t="s">
        <v>574</v>
      </c>
      <c r="B312" s="217" t="s">
        <v>575</v>
      </c>
      <c r="C312" s="17"/>
      <c r="D312" s="51">
        <f>SUM(D313:D315)</f>
        <v>332.8</v>
      </c>
      <c r="E312" s="51">
        <f>SUM(E313:E315)</f>
        <v>332.8</v>
      </c>
      <c r="F312" s="51">
        <f>SUM(F313:F315)</f>
        <v>297</v>
      </c>
      <c r="G312" s="51">
        <f>SUM(G313:G315)</f>
        <v>35.799999999999997</v>
      </c>
      <c r="H312" s="51">
        <f>SUM(H313:H315)</f>
        <v>35.799999999999997</v>
      </c>
      <c r="I312" s="54">
        <f t="shared" si="36"/>
        <v>0.89242788461538458</v>
      </c>
      <c r="J312" s="17"/>
      <c r="K312" s="18"/>
      <c r="L312" s="79"/>
      <c r="M312" s="80"/>
      <c r="N312" s="17"/>
      <c r="O312" s="19"/>
    </row>
    <row r="313" spans="1:15" x14ac:dyDescent="0.25">
      <c r="A313" s="286"/>
      <c r="B313" s="218"/>
      <c r="C313" s="22" t="s">
        <v>198</v>
      </c>
      <c r="D313" s="53">
        <v>200</v>
      </c>
      <c r="E313" s="53">
        <v>200</v>
      </c>
      <c r="F313" s="53">
        <v>200</v>
      </c>
      <c r="G313" s="53"/>
      <c r="H313" s="53"/>
      <c r="I313" s="54">
        <f t="shared" si="36"/>
        <v>1</v>
      </c>
      <c r="J313" s="22"/>
      <c r="K313" s="24"/>
      <c r="L313" s="81"/>
      <c r="M313" s="82"/>
      <c r="N313" s="22"/>
      <c r="O313" s="25"/>
    </row>
    <row r="314" spans="1:15" x14ac:dyDescent="0.25">
      <c r="A314" s="286"/>
      <c r="B314" s="218"/>
      <c r="C314" s="22" t="s">
        <v>26</v>
      </c>
      <c r="D314" s="53">
        <v>100</v>
      </c>
      <c r="E314" s="53">
        <v>100</v>
      </c>
      <c r="F314" s="53">
        <v>97</v>
      </c>
      <c r="G314" s="53">
        <v>3</v>
      </c>
      <c r="H314" s="53">
        <v>3</v>
      </c>
      <c r="I314" s="54">
        <f t="shared" si="36"/>
        <v>0.97</v>
      </c>
      <c r="J314" s="22"/>
      <c r="K314" s="24"/>
      <c r="L314" s="81"/>
      <c r="M314" s="82"/>
      <c r="N314" s="22"/>
      <c r="O314" s="25"/>
    </row>
    <row r="315" spans="1:15" ht="15.75" thickBot="1" x14ac:dyDescent="0.3">
      <c r="A315" s="287"/>
      <c r="B315" s="219"/>
      <c r="C315" s="22" t="s">
        <v>30</v>
      </c>
      <c r="D315" s="53">
        <v>32.799999999999997</v>
      </c>
      <c r="E315" s="53">
        <v>32.799999999999997</v>
      </c>
      <c r="F315" s="53">
        <v>0</v>
      </c>
      <c r="G315" s="53">
        <v>32.799999999999997</v>
      </c>
      <c r="H315" s="53">
        <v>32.799999999999997</v>
      </c>
      <c r="I315" s="68">
        <f t="shared" si="36"/>
        <v>0</v>
      </c>
      <c r="J315" s="22"/>
      <c r="K315" s="24"/>
      <c r="L315" s="81"/>
      <c r="M315" s="82"/>
      <c r="N315" s="22"/>
      <c r="O315" s="25"/>
    </row>
    <row r="316" spans="1:15" ht="39" thickBot="1" x14ac:dyDescent="0.3">
      <c r="A316" s="15" t="s">
        <v>576</v>
      </c>
      <c r="B316" s="16" t="s">
        <v>577</v>
      </c>
      <c r="C316" s="17"/>
      <c r="D316" s="61"/>
      <c r="E316" s="61"/>
      <c r="F316" s="61"/>
      <c r="G316" s="61"/>
      <c r="H316" s="61"/>
      <c r="I316" s="63"/>
      <c r="J316" s="17"/>
      <c r="K316" s="18"/>
      <c r="L316" s="79"/>
      <c r="M316" s="80"/>
      <c r="N316" s="17"/>
      <c r="O316" s="19"/>
    </row>
    <row r="317" spans="1:15" ht="64.5" thickBot="1" x14ac:dyDescent="0.3">
      <c r="A317" s="15" t="s">
        <v>578</v>
      </c>
      <c r="B317" s="16" t="s">
        <v>579</v>
      </c>
      <c r="C317" s="17" t="s">
        <v>191</v>
      </c>
      <c r="D317" s="61">
        <v>383.7</v>
      </c>
      <c r="E317" s="61">
        <v>383.7</v>
      </c>
      <c r="F317" s="61">
        <v>51.5</v>
      </c>
      <c r="G317" s="61">
        <v>332.2</v>
      </c>
      <c r="H317" s="61">
        <v>332.2</v>
      </c>
      <c r="I317" s="63">
        <f t="shared" si="36"/>
        <v>0.13421944227260882</v>
      </c>
      <c r="J317" s="17" t="s">
        <v>221</v>
      </c>
      <c r="K317" s="18" t="s">
        <v>19</v>
      </c>
      <c r="L317" s="18">
        <v>1</v>
      </c>
      <c r="M317" s="107">
        <v>0</v>
      </c>
      <c r="N317" s="17"/>
      <c r="O317" s="19" t="s">
        <v>580</v>
      </c>
    </row>
    <row r="318" spans="1:15" ht="39" thickBot="1" x14ac:dyDescent="0.3">
      <c r="A318" s="15" t="s">
        <v>581</v>
      </c>
      <c r="B318" s="16" t="s">
        <v>582</v>
      </c>
      <c r="C318" s="17" t="s">
        <v>26</v>
      </c>
      <c r="D318" s="61">
        <v>694.8</v>
      </c>
      <c r="E318" s="61">
        <v>694.8</v>
      </c>
      <c r="F318" s="61">
        <v>645.79999999999995</v>
      </c>
      <c r="G318" s="61">
        <v>49</v>
      </c>
      <c r="H318" s="61">
        <v>49</v>
      </c>
      <c r="I318" s="54">
        <f t="shared" si="36"/>
        <v>0.92947610823258486</v>
      </c>
      <c r="J318" s="17" t="s">
        <v>583</v>
      </c>
      <c r="K318" s="18" t="s">
        <v>474</v>
      </c>
      <c r="L318" s="79">
        <v>600000</v>
      </c>
      <c r="M318" s="126">
        <v>579057.25</v>
      </c>
      <c r="N318" s="17" t="s">
        <v>584</v>
      </c>
      <c r="O318" s="19"/>
    </row>
    <row r="319" spans="1:15" ht="26.25" thickBot="1" x14ac:dyDescent="0.3">
      <c r="A319" s="12" t="s">
        <v>585</v>
      </c>
      <c r="B319" s="13" t="s">
        <v>586</v>
      </c>
      <c r="C319" s="14"/>
      <c r="D319" s="49">
        <f>D320+D328</f>
        <v>2414.8000000000002</v>
      </c>
      <c r="E319" s="49">
        <f>E320+E328</f>
        <v>2414.8000000000002</v>
      </c>
      <c r="F319" s="49">
        <f>F320+F328</f>
        <v>1995.9</v>
      </c>
      <c r="G319" s="49">
        <f>G320+G328</f>
        <v>418.90000000000003</v>
      </c>
      <c r="H319" s="49">
        <f>H320+H328</f>
        <v>418.90000000000003</v>
      </c>
      <c r="I319" s="66">
        <f>SUM(F319/E319)</f>
        <v>0.82652807685936724</v>
      </c>
      <c r="J319" s="263"/>
      <c r="K319" s="264"/>
      <c r="L319" s="264"/>
      <c r="M319" s="264"/>
      <c r="N319" s="264"/>
      <c r="O319" s="265"/>
    </row>
    <row r="320" spans="1:15" ht="93" customHeight="1" x14ac:dyDescent="0.25">
      <c r="A320" s="285" t="s">
        <v>587</v>
      </c>
      <c r="B320" s="217" t="s">
        <v>588</v>
      </c>
      <c r="C320" s="17"/>
      <c r="D320" s="51">
        <f>SUM(D321:D327)</f>
        <v>2000</v>
      </c>
      <c r="E320" s="51">
        <f>SUM(E321:E327)</f>
        <v>2000</v>
      </c>
      <c r="F320" s="51">
        <f>SUM(F321:F327)</f>
        <v>1995.9</v>
      </c>
      <c r="G320" s="51">
        <f>SUM(G321:G327)</f>
        <v>4.0999999999999996</v>
      </c>
      <c r="H320" s="51">
        <f>SUM(H321:H327)</f>
        <v>4.0999999999999996</v>
      </c>
      <c r="I320" s="54">
        <f t="shared" ref="I320:I323" si="37">SUM(F320/E320)</f>
        <v>0.99795</v>
      </c>
      <c r="J320" s="17" t="s">
        <v>589</v>
      </c>
      <c r="K320" s="18" t="s">
        <v>19</v>
      </c>
      <c r="L320" s="18">
        <v>6</v>
      </c>
      <c r="M320" s="125">
        <v>6</v>
      </c>
      <c r="N320" s="17" t="s">
        <v>590</v>
      </c>
      <c r="O320" s="19"/>
    </row>
    <row r="321" spans="1:19" x14ac:dyDescent="0.25">
      <c r="A321" s="286"/>
      <c r="B321" s="218"/>
      <c r="C321" s="22" t="s">
        <v>26</v>
      </c>
      <c r="D321" s="53">
        <v>250</v>
      </c>
      <c r="E321" s="53">
        <v>250</v>
      </c>
      <c r="F321" s="53">
        <v>250</v>
      </c>
      <c r="G321" s="53"/>
      <c r="H321" s="53"/>
      <c r="I321" s="54">
        <f t="shared" si="37"/>
        <v>1</v>
      </c>
      <c r="J321" s="22" t="s">
        <v>591</v>
      </c>
      <c r="K321" s="24" t="s">
        <v>19</v>
      </c>
      <c r="L321" s="24">
        <v>1</v>
      </c>
      <c r="M321" s="130">
        <v>1</v>
      </c>
      <c r="N321" s="22" t="s">
        <v>592</v>
      </c>
      <c r="O321" s="25"/>
    </row>
    <row r="322" spans="1:19" x14ac:dyDescent="0.25">
      <c r="A322" s="286"/>
      <c r="B322" s="218"/>
      <c r="C322" s="22" t="s">
        <v>30</v>
      </c>
      <c r="D322" s="53">
        <v>322.8</v>
      </c>
      <c r="E322" s="53">
        <v>322.8</v>
      </c>
      <c r="F322" s="53">
        <v>318.7</v>
      </c>
      <c r="G322" s="53">
        <v>4.0999999999999996</v>
      </c>
      <c r="H322" s="53">
        <v>4.0999999999999996</v>
      </c>
      <c r="I322" s="54">
        <f t="shared" si="37"/>
        <v>0.98729863692688968</v>
      </c>
      <c r="J322" s="22" t="s">
        <v>593</v>
      </c>
      <c r="K322" s="24" t="s">
        <v>19</v>
      </c>
      <c r="L322" s="24">
        <v>1</v>
      </c>
      <c r="M322" s="130">
        <v>1</v>
      </c>
      <c r="N322" s="22" t="s">
        <v>594</v>
      </c>
      <c r="O322" s="25"/>
    </row>
    <row r="323" spans="1:19" x14ac:dyDescent="0.25">
      <c r="A323" s="286"/>
      <c r="B323" s="218"/>
      <c r="C323" s="22" t="s">
        <v>468</v>
      </c>
      <c r="D323" s="53">
        <v>1427.2</v>
      </c>
      <c r="E323" s="53">
        <v>1427.2</v>
      </c>
      <c r="F323" s="53">
        <v>1427.2</v>
      </c>
      <c r="G323" s="53"/>
      <c r="H323" s="53"/>
      <c r="I323" s="54">
        <f t="shared" si="37"/>
        <v>1</v>
      </c>
      <c r="J323" s="22" t="s">
        <v>595</v>
      </c>
      <c r="K323" s="24" t="s">
        <v>19</v>
      </c>
      <c r="L323" s="24">
        <v>1</v>
      </c>
      <c r="M323" s="130">
        <v>1</v>
      </c>
      <c r="N323" s="22" t="s">
        <v>596</v>
      </c>
      <c r="O323" s="25"/>
    </row>
    <row r="324" spans="1:19" x14ac:dyDescent="0.25">
      <c r="A324" s="286"/>
      <c r="B324" s="218"/>
      <c r="C324" s="22"/>
      <c r="D324" s="53"/>
      <c r="E324" s="53"/>
      <c r="F324" s="53"/>
      <c r="G324" s="53"/>
      <c r="H324" s="53"/>
      <c r="I324" s="55"/>
      <c r="J324" s="22" t="s">
        <v>597</v>
      </c>
      <c r="K324" s="24" t="s">
        <v>19</v>
      </c>
      <c r="L324" s="24">
        <v>1</v>
      </c>
      <c r="M324" s="130">
        <v>1</v>
      </c>
      <c r="N324" s="22" t="s">
        <v>598</v>
      </c>
      <c r="O324" s="25"/>
    </row>
    <row r="325" spans="1:19" x14ac:dyDescent="0.25">
      <c r="A325" s="286"/>
      <c r="B325" s="218"/>
      <c r="C325" s="22"/>
      <c r="D325" s="53"/>
      <c r="E325" s="53"/>
      <c r="F325" s="53"/>
      <c r="G325" s="53"/>
      <c r="H325" s="53"/>
      <c r="I325" s="55"/>
      <c r="J325" s="22" t="s">
        <v>599</v>
      </c>
      <c r="K325" s="24" t="s">
        <v>19</v>
      </c>
      <c r="L325" s="24">
        <v>1</v>
      </c>
      <c r="M325" s="162">
        <v>0</v>
      </c>
      <c r="N325" s="22"/>
      <c r="O325" s="25" t="s">
        <v>600</v>
      </c>
    </row>
    <row r="326" spans="1:19" x14ac:dyDescent="0.25">
      <c r="A326" s="286"/>
      <c r="B326" s="218"/>
      <c r="C326" s="22"/>
      <c r="D326" s="53"/>
      <c r="E326" s="53"/>
      <c r="F326" s="53"/>
      <c r="G326" s="53"/>
      <c r="H326" s="53"/>
      <c r="I326" s="55"/>
      <c r="J326" s="22" t="s">
        <v>601</v>
      </c>
      <c r="K326" s="24" t="s">
        <v>19</v>
      </c>
      <c r="L326" s="24">
        <v>1</v>
      </c>
      <c r="M326" s="130">
        <v>1</v>
      </c>
      <c r="N326" s="22" t="s">
        <v>602</v>
      </c>
      <c r="O326" s="25"/>
    </row>
    <row r="327" spans="1:19" ht="15.75" thickBot="1" x14ac:dyDescent="0.3">
      <c r="A327" s="287"/>
      <c r="B327" s="219"/>
      <c r="C327" s="22"/>
      <c r="D327" s="53"/>
      <c r="E327" s="53"/>
      <c r="F327" s="53"/>
      <c r="G327" s="53"/>
      <c r="H327" s="53"/>
      <c r="I327" s="67"/>
      <c r="J327" s="22" t="s">
        <v>603</v>
      </c>
      <c r="K327" s="24" t="s">
        <v>19</v>
      </c>
      <c r="L327" s="24">
        <v>0</v>
      </c>
      <c r="M327" s="131">
        <v>1</v>
      </c>
      <c r="N327" s="22" t="s">
        <v>604</v>
      </c>
      <c r="O327" s="25"/>
    </row>
    <row r="328" spans="1:19" ht="104.25" customHeight="1" x14ac:dyDescent="0.25">
      <c r="A328" s="285" t="s">
        <v>605</v>
      </c>
      <c r="B328" s="217" t="s">
        <v>606</v>
      </c>
      <c r="C328" s="17"/>
      <c r="D328" s="51">
        <f>SUM(D329:D330)</f>
        <v>414.8</v>
      </c>
      <c r="E328" s="51">
        <f>SUM(E329:E330)</f>
        <v>414.8</v>
      </c>
      <c r="F328" s="51">
        <v>0</v>
      </c>
      <c r="G328" s="51">
        <f>SUM(G329:G330)</f>
        <v>414.8</v>
      </c>
      <c r="H328" s="51">
        <f>SUM(H329:H330)</f>
        <v>414.8</v>
      </c>
      <c r="I328" s="54">
        <f t="shared" ref="I328:I330" si="38">SUM(F328/E328)</f>
        <v>0</v>
      </c>
      <c r="J328" s="17" t="s">
        <v>607</v>
      </c>
      <c r="K328" s="18" t="s">
        <v>19</v>
      </c>
      <c r="L328" s="18">
        <v>9</v>
      </c>
      <c r="M328" s="139">
        <v>21</v>
      </c>
      <c r="N328" s="17" t="s">
        <v>608</v>
      </c>
      <c r="O328" s="19"/>
    </row>
    <row r="329" spans="1:19" x14ac:dyDescent="0.25">
      <c r="A329" s="286"/>
      <c r="B329" s="218"/>
      <c r="C329" s="22" t="s">
        <v>30</v>
      </c>
      <c r="D329" s="53">
        <v>314.8</v>
      </c>
      <c r="E329" s="53">
        <v>314.8</v>
      </c>
      <c r="F329" s="53">
        <v>0</v>
      </c>
      <c r="G329" s="53">
        <v>314.8</v>
      </c>
      <c r="H329" s="53">
        <v>314.8</v>
      </c>
      <c r="I329" s="54">
        <f t="shared" si="38"/>
        <v>0</v>
      </c>
      <c r="J329" s="22"/>
      <c r="K329" s="24"/>
      <c r="L329" s="81"/>
      <c r="M329" s="82"/>
      <c r="N329" s="22"/>
      <c r="O329" s="25"/>
    </row>
    <row r="330" spans="1:19" ht="15.75" thickBot="1" x14ac:dyDescent="0.3">
      <c r="A330" s="287"/>
      <c r="B330" s="219"/>
      <c r="C330" s="22" t="s">
        <v>26</v>
      </c>
      <c r="D330" s="53">
        <v>100</v>
      </c>
      <c r="E330" s="53">
        <v>100</v>
      </c>
      <c r="F330" s="53">
        <v>0</v>
      </c>
      <c r="G330" s="53">
        <v>100</v>
      </c>
      <c r="H330" s="53">
        <v>100</v>
      </c>
      <c r="I330" s="54">
        <f t="shared" si="38"/>
        <v>0</v>
      </c>
      <c r="J330" s="22"/>
      <c r="K330" s="24"/>
      <c r="L330" s="81"/>
      <c r="M330" s="82"/>
      <c r="N330" s="22"/>
      <c r="O330" s="25"/>
    </row>
    <row r="331" spans="1:19" ht="26.25" thickBot="1" x14ac:dyDescent="0.3">
      <c r="A331" s="4" t="s">
        <v>609</v>
      </c>
      <c r="B331" s="5" t="s">
        <v>610</v>
      </c>
      <c r="C331" s="6"/>
      <c r="D331" s="45">
        <f>SUM(D332:D332)</f>
        <v>21008.2</v>
      </c>
      <c r="E331" s="45">
        <f>SUM(E332:E332)</f>
        <v>21008.2</v>
      </c>
      <c r="F331" s="45">
        <f>SUM(F332:F332)</f>
        <v>15170.599999999999</v>
      </c>
      <c r="G331" s="45">
        <f>SUM(G332:G332)</f>
        <v>5837.5999999999995</v>
      </c>
      <c r="H331" s="45">
        <f>SUM(H332:H332)</f>
        <v>5837.5999999999995</v>
      </c>
      <c r="I331" s="46">
        <f>SUM(F331/E331)</f>
        <v>0.72212755019468577</v>
      </c>
      <c r="J331" s="266"/>
      <c r="K331" s="267"/>
      <c r="L331" s="267"/>
      <c r="M331" s="267"/>
      <c r="N331" s="267"/>
      <c r="O331" s="268"/>
      <c r="Q331" s="194"/>
      <c r="R331" s="195" t="s">
        <v>1</v>
      </c>
      <c r="S331" s="195" t="s">
        <v>1971</v>
      </c>
    </row>
    <row r="332" spans="1:19" ht="38.25" customHeight="1" x14ac:dyDescent="0.25">
      <c r="A332" s="293" t="s">
        <v>611</v>
      </c>
      <c r="B332" s="296" t="s">
        <v>612</v>
      </c>
      <c r="C332" s="9"/>
      <c r="D332" s="47">
        <f>D333+D334+D335+D336+D343</f>
        <v>21008.2</v>
      </c>
      <c r="E332" s="47">
        <f>E333+E334+E335+E336+E343</f>
        <v>21008.2</v>
      </c>
      <c r="F332" s="47">
        <f>F333+F334+F335+F336+F343</f>
        <v>15170.599999999999</v>
      </c>
      <c r="G332" s="47">
        <f>G333+G334+G335+G336+G343</f>
        <v>5837.5999999999995</v>
      </c>
      <c r="H332" s="47">
        <f>H333+H334+H335+H336+H343</f>
        <v>5837.5999999999995</v>
      </c>
      <c r="I332" s="48">
        <f>SUM(F332/E332)</f>
        <v>0.72212755019468577</v>
      </c>
      <c r="J332" s="9" t="s">
        <v>613</v>
      </c>
      <c r="K332" s="10" t="s">
        <v>25</v>
      </c>
      <c r="L332" s="10">
        <v>2</v>
      </c>
      <c r="M332" s="84">
        <v>9</v>
      </c>
      <c r="N332" s="275"/>
      <c r="O332" s="276"/>
      <c r="Q332" s="196"/>
      <c r="R332" s="197" t="s">
        <v>1961</v>
      </c>
      <c r="S332" s="198">
        <v>3</v>
      </c>
    </row>
    <row r="333" spans="1:19" ht="31.5" x14ac:dyDescent="0.25">
      <c r="A333" s="294"/>
      <c r="B333" s="297"/>
      <c r="C333" s="35"/>
      <c r="D333" s="64"/>
      <c r="E333" s="64"/>
      <c r="F333" s="64"/>
      <c r="G333" s="64"/>
      <c r="H333" s="64"/>
      <c r="I333" s="65"/>
      <c r="J333" s="35" t="s">
        <v>614</v>
      </c>
      <c r="K333" s="36" t="s">
        <v>19</v>
      </c>
      <c r="L333" s="40">
        <v>12</v>
      </c>
      <c r="M333" s="86">
        <v>7</v>
      </c>
      <c r="N333" s="277"/>
      <c r="O333" s="278"/>
      <c r="Q333" s="199"/>
      <c r="R333" s="197" t="s">
        <v>1962</v>
      </c>
      <c r="S333" s="198">
        <v>1</v>
      </c>
    </row>
    <row r="334" spans="1:19" ht="31.5" x14ac:dyDescent="0.25">
      <c r="A334" s="294"/>
      <c r="B334" s="297"/>
      <c r="C334" s="35"/>
      <c r="D334" s="64"/>
      <c r="E334" s="64"/>
      <c r="F334" s="64"/>
      <c r="G334" s="64"/>
      <c r="H334" s="64"/>
      <c r="I334" s="65"/>
      <c r="J334" s="35" t="s">
        <v>615</v>
      </c>
      <c r="K334" s="36" t="s">
        <v>25</v>
      </c>
      <c r="L334" s="40">
        <v>4.2</v>
      </c>
      <c r="M334" s="86">
        <v>2</v>
      </c>
      <c r="N334" s="277"/>
      <c r="O334" s="278"/>
      <c r="Q334" s="200"/>
      <c r="R334" s="197" t="s">
        <v>1963</v>
      </c>
      <c r="S334" s="198">
        <v>3</v>
      </c>
    </row>
    <row r="335" spans="1:19" ht="32.25" thickBot="1" x14ac:dyDescent="0.3">
      <c r="A335" s="295"/>
      <c r="B335" s="298"/>
      <c r="C335" s="35"/>
      <c r="D335" s="64"/>
      <c r="E335" s="64"/>
      <c r="F335" s="64"/>
      <c r="G335" s="64"/>
      <c r="H335" s="64"/>
      <c r="I335" s="65"/>
      <c r="J335" s="35" t="s">
        <v>616</v>
      </c>
      <c r="K335" s="36" t="s">
        <v>25</v>
      </c>
      <c r="L335" s="36">
        <v>10</v>
      </c>
      <c r="M335" s="88">
        <v>1</v>
      </c>
      <c r="N335" s="279"/>
      <c r="O335" s="280"/>
      <c r="Q335" s="202"/>
      <c r="R335" s="197" t="s">
        <v>1964</v>
      </c>
      <c r="S335" s="198">
        <v>2</v>
      </c>
    </row>
    <row r="336" spans="1:19" ht="32.25" thickBot="1" x14ac:dyDescent="0.3">
      <c r="A336" s="12" t="s">
        <v>617</v>
      </c>
      <c r="B336" s="13" t="s">
        <v>618</v>
      </c>
      <c r="C336" s="14"/>
      <c r="D336" s="49">
        <f>D337+D338+D341</f>
        <v>115.4</v>
      </c>
      <c r="E336" s="49">
        <f>E337+E338+E341</f>
        <v>115.4</v>
      </c>
      <c r="F336" s="49">
        <f>F337+F338+F341</f>
        <v>108</v>
      </c>
      <c r="G336" s="49">
        <f>G337+G338+G341</f>
        <v>7.4</v>
      </c>
      <c r="H336" s="49">
        <f>H337+H338+H341</f>
        <v>7.4</v>
      </c>
      <c r="I336" s="66">
        <f>SUM(F336/E336)</f>
        <v>0.93587521663778162</v>
      </c>
      <c r="J336" s="263"/>
      <c r="K336" s="264"/>
      <c r="L336" s="264"/>
      <c r="M336" s="264"/>
      <c r="N336" s="264"/>
      <c r="O336" s="265"/>
      <c r="Q336" s="204"/>
      <c r="R336" s="197" t="s">
        <v>1965</v>
      </c>
      <c r="S336" s="198"/>
    </row>
    <row r="337" spans="1:19" ht="153.75" thickBot="1" x14ac:dyDescent="0.3">
      <c r="A337" s="15" t="s">
        <v>619</v>
      </c>
      <c r="B337" s="16" t="s">
        <v>620</v>
      </c>
      <c r="C337" s="17" t="s">
        <v>26</v>
      </c>
      <c r="D337" s="61">
        <v>48.7</v>
      </c>
      <c r="E337" s="61">
        <v>48.7</v>
      </c>
      <c r="F337" s="61">
        <v>41.3</v>
      </c>
      <c r="G337" s="61">
        <v>7.4</v>
      </c>
      <c r="H337" s="61">
        <v>7.4</v>
      </c>
      <c r="I337" s="63">
        <f t="shared" ref="I337:I338" si="39">SUM(F337/E337)</f>
        <v>0.84804928131416824</v>
      </c>
      <c r="J337" s="17" t="s">
        <v>621</v>
      </c>
      <c r="K337" s="18" t="s">
        <v>19</v>
      </c>
      <c r="L337" s="18">
        <v>8</v>
      </c>
      <c r="M337" s="115">
        <v>8</v>
      </c>
      <c r="N337" s="17" t="s">
        <v>622</v>
      </c>
      <c r="O337" s="19"/>
      <c r="Q337" s="194"/>
      <c r="R337" s="205" t="s">
        <v>1966</v>
      </c>
      <c r="S337" s="198">
        <f>+SUM(S332:S336)</f>
        <v>9</v>
      </c>
    </row>
    <row r="338" spans="1:19" ht="140.25" x14ac:dyDescent="0.25">
      <c r="A338" s="285" t="s">
        <v>623</v>
      </c>
      <c r="B338" s="217" t="s">
        <v>624</v>
      </c>
      <c r="C338" s="17" t="s">
        <v>26</v>
      </c>
      <c r="D338" s="51">
        <f>SUM(D339:D340)+22.2</f>
        <v>22.2</v>
      </c>
      <c r="E338" s="51">
        <f>SUM(E339:E340)+22.2</f>
        <v>22.2</v>
      </c>
      <c r="F338" s="51">
        <f>SUM(F339:F340)+22.2</f>
        <v>22.2</v>
      </c>
      <c r="G338" s="51"/>
      <c r="H338" s="51"/>
      <c r="I338" s="54">
        <f t="shared" si="39"/>
        <v>1</v>
      </c>
      <c r="J338" s="17" t="s">
        <v>625</v>
      </c>
      <c r="K338" s="18" t="s">
        <v>19</v>
      </c>
      <c r="L338" s="18">
        <v>5</v>
      </c>
      <c r="M338" s="125">
        <v>5</v>
      </c>
      <c r="N338" s="17" t="s">
        <v>626</v>
      </c>
      <c r="O338" s="19"/>
    </row>
    <row r="339" spans="1:19" ht="25.5" x14ac:dyDescent="0.25">
      <c r="A339" s="286"/>
      <c r="B339" s="218"/>
      <c r="C339" s="22"/>
      <c r="D339" s="53"/>
      <c r="E339" s="53"/>
      <c r="F339" s="53"/>
      <c r="G339" s="53"/>
      <c r="H339" s="53"/>
      <c r="I339" s="55"/>
      <c r="J339" s="22" t="s">
        <v>627</v>
      </c>
      <c r="K339" s="24" t="s">
        <v>19</v>
      </c>
      <c r="L339" s="24">
        <v>6</v>
      </c>
      <c r="M339" s="130">
        <v>6</v>
      </c>
      <c r="N339" s="22" t="s">
        <v>628</v>
      </c>
      <c r="O339" s="25"/>
    </row>
    <row r="340" spans="1:19" ht="77.25" thickBot="1" x14ac:dyDescent="0.3">
      <c r="A340" s="287"/>
      <c r="B340" s="219"/>
      <c r="C340" s="22"/>
      <c r="D340" s="53"/>
      <c r="E340" s="53"/>
      <c r="F340" s="53"/>
      <c r="G340" s="53"/>
      <c r="H340" s="53"/>
      <c r="I340" s="67"/>
      <c r="J340" s="22" t="s">
        <v>629</v>
      </c>
      <c r="K340" s="24" t="s">
        <v>453</v>
      </c>
      <c r="L340" s="24">
        <v>280</v>
      </c>
      <c r="M340" s="130">
        <v>280</v>
      </c>
      <c r="N340" s="22" t="s">
        <v>630</v>
      </c>
      <c r="O340" s="25"/>
    </row>
    <row r="341" spans="1:19" ht="51" x14ac:dyDescent="0.25">
      <c r="A341" s="285" t="s">
        <v>631</v>
      </c>
      <c r="B341" s="217" t="s">
        <v>632</v>
      </c>
      <c r="C341" s="17" t="s">
        <v>26</v>
      </c>
      <c r="D341" s="51">
        <f>SUM(D342:D342)+44.5</f>
        <v>44.5</v>
      </c>
      <c r="E341" s="51">
        <f>SUM(E342:E342)+44.5</f>
        <v>44.5</v>
      </c>
      <c r="F341" s="51">
        <f>SUM(F342:F342)+44.5</f>
        <v>44.5</v>
      </c>
      <c r="G341" s="51"/>
      <c r="H341" s="51"/>
      <c r="I341" s="54">
        <f t="shared" ref="I341" si="40">SUM(F341/E341)</f>
        <v>1</v>
      </c>
      <c r="J341" s="17" t="s">
        <v>633</v>
      </c>
      <c r="K341" s="18" t="s">
        <v>337</v>
      </c>
      <c r="L341" s="18">
        <v>35</v>
      </c>
      <c r="M341" s="139">
        <v>41</v>
      </c>
      <c r="N341" s="17" t="s">
        <v>634</v>
      </c>
      <c r="O341" s="19"/>
    </row>
    <row r="342" spans="1:19" ht="233.25" customHeight="1" thickBot="1" x14ac:dyDescent="0.3">
      <c r="A342" s="287"/>
      <c r="B342" s="219"/>
      <c r="C342" s="22"/>
      <c r="D342" s="53"/>
      <c r="E342" s="53"/>
      <c r="F342" s="53"/>
      <c r="G342" s="53"/>
      <c r="H342" s="53"/>
      <c r="I342" s="55"/>
      <c r="J342" s="22" t="s">
        <v>635</v>
      </c>
      <c r="K342" s="24" t="s">
        <v>19</v>
      </c>
      <c r="L342" s="24">
        <v>15</v>
      </c>
      <c r="M342" s="130">
        <v>15</v>
      </c>
      <c r="N342" s="22" t="s">
        <v>1972</v>
      </c>
      <c r="O342" s="25"/>
    </row>
    <row r="343" spans="1:19" ht="15.75" thickBot="1" x14ac:dyDescent="0.3">
      <c r="A343" s="12" t="s">
        <v>636</v>
      </c>
      <c r="B343" s="13" t="s">
        <v>637</v>
      </c>
      <c r="C343" s="14"/>
      <c r="D343" s="49">
        <f>D344+D347+D367+D369+D372+D381</f>
        <v>20892.8</v>
      </c>
      <c r="E343" s="49">
        <f>E344+E347+E367+E369+E372+E381</f>
        <v>20892.8</v>
      </c>
      <c r="F343" s="49">
        <f>F344+F347+F367+F369+F372+F381</f>
        <v>15062.599999999999</v>
      </c>
      <c r="G343" s="49">
        <f>G344+G347+G367+G369+G372+G381</f>
        <v>5830.2</v>
      </c>
      <c r="H343" s="49">
        <f>H344+H347+H367+H369+H372+H381</f>
        <v>5830.2</v>
      </c>
      <c r="I343" s="66">
        <f>SUM(F343/E343)</f>
        <v>0.72094692908561797</v>
      </c>
      <c r="J343" s="263"/>
      <c r="K343" s="264"/>
      <c r="L343" s="264"/>
      <c r="M343" s="264"/>
      <c r="N343" s="264"/>
      <c r="O343" s="265"/>
    </row>
    <row r="344" spans="1:19" ht="63.75" x14ac:dyDescent="0.25">
      <c r="A344" s="285" t="s">
        <v>638</v>
      </c>
      <c r="B344" s="217" t="s">
        <v>639</v>
      </c>
      <c r="C344" s="17"/>
      <c r="D344" s="51">
        <f>SUM(D345:D346)</f>
        <v>114</v>
      </c>
      <c r="E344" s="51">
        <f>SUM(E345:E346)</f>
        <v>114</v>
      </c>
      <c r="F344" s="51">
        <f>SUM(F345:F346)</f>
        <v>62</v>
      </c>
      <c r="G344" s="51">
        <f>SUM(G345:G346)</f>
        <v>52</v>
      </c>
      <c r="H344" s="51">
        <f>SUM(H345:H346)</f>
        <v>52</v>
      </c>
      <c r="I344" s="54">
        <f t="shared" ref="I344:I347" si="41">SUM(F344/E344)</f>
        <v>0.54385964912280704</v>
      </c>
      <c r="J344" s="17" t="s">
        <v>640</v>
      </c>
      <c r="K344" s="18" t="s">
        <v>19</v>
      </c>
      <c r="L344" s="18">
        <v>10</v>
      </c>
      <c r="M344" s="139">
        <v>32</v>
      </c>
      <c r="N344" s="17" t="s">
        <v>1781</v>
      </c>
      <c r="O344" s="19"/>
    </row>
    <row r="345" spans="1:19" x14ac:dyDescent="0.25">
      <c r="A345" s="286"/>
      <c r="B345" s="218"/>
      <c r="C345" s="22" t="s">
        <v>30</v>
      </c>
      <c r="D345" s="53">
        <v>64</v>
      </c>
      <c r="E345" s="53">
        <v>64</v>
      </c>
      <c r="F345" s="53">
        <v>36.200000000000003</v>
      </c>
      <c r="G345" s="53">
        <v>27.8</v>
      </c>
      <c r="H345" s="53">
        <v>27.8</v>
      </c>
      <c r="I345" s="54">
        <f t="shared" si="41"/>
        <v>0.56562500000000004</v>
      </c>
      <c r="J345" s="22"/>
      <c r="K345" s="24"/>
      <c r="L345" s="81"/>
      <c r="M345" s="82"/>
      <c r="N345" s="22"/>
      <c r="O345" s="25"/>
    </row>
    <row r="346" spans="1:19" ht="15.75" thickBot="1" x14ac:dyDescent="0.3">
      <c r="A346" s="287"/>
      <c r="B346" s="219"/>
      <c r="C346" s="22" t="s">
        <v>26</v>
      </c>
      <c r="D346" s="53">
        <v>50</v>
      </c>
      <c r="E346" s="53">
        <v>50</v>
      </c>
      <c r="F346" s="53">
        <v>25.8</v>
      </c>
      <c r="G346" s="53">
        <v>24.2</v>
      </c>
      <c r="H346" s="53">
        <v>24.2</v>
      </c>
      <c r="I346" s="68">
        <f t="shared" si="41"/>
        <v>0.51600000000000001</v>
      </c>
      <c r="J346" s="22"/>
      <c r="K346" s="24"/>
      <c r="L346" s="81"/>
      <c r="M346" s="82"/>
      <c r="N346" s="22"/>
      <c r="O346" s="25"/>
    </row>
    <row r="347" spans="1:19" ht="51" customHeight="1" x14ac:dyDescent="0.25">
      <c r="A347" s="285" t="s">
        <v>641</v>
      </c>
      <c r="B347" s="217" t="s">
        <v>642</v>
      </c>
      <c r="C347" s="17"/>
      <c r="D347" s="51">
        <f>D348+D349+D350+D352+D353+D359+D360+D361+D362</f>
        <v>20434.400000000001</v>
      </c>
      <c r="E347" s="51">
        <f>E348+E349+E350+E352+E353+E359+E360+E361+E362</f>
        <v>20434.400000000001</v>
      </c>
      <c r="F347" s="51">
        <f>F348+F349+F350+F352+F353+F359+F360+F361+F362+0.1</f>
        <v>14700.6</v>
      </c>
      <c r="G347" s="51">
        <f>G348+G349+G350+G352+G353+G359+G360+G361+G362-0.1</f>
        <v>5733.7999999999993</v>
      </c>
      <c r="H347" s="51">
        <f>H348+H349+H350+H352+H353+H359+H360+H361+H362-0.1</f>
        <v>5733.7999999999993</v>
      </c>
      <c r="I347" s="54">
        <f t="shared" si="41"/>
        <v>0.71940453353169165</v>
      </c>
      <c r="J347" s="17" t="s">
        <v>643</v>
      </c>
      <c r="K347" s="18" t="s">
        <v>19</v>
      </c>
      <c r="L347" s="18">
        <v>1</v>
      </c>
      <c r="M347" s="125">
        <v>1</v>
      </c>
      <c r="N347" s="17" t="s">
        <v>643</v>
      </c>
      <c r="O347" s="19"/>
    </row>
    <row r="348" spans="1:19" ht="25.5" x14ac:dyDescent="0.25">
      <c r="A348" s="286"/>
      <c r="B348" s="218"/>
      <c r="C348" s="22"/>
      <c r="D348" s="53"/>
      <c r="E348" s="53"/>
      <c r="F348" s="53"/>
      <c r="G348" s="53"/>
      <c r="H348" s="53"/>
      <c r="I348" s="55"/>
      <c r="J348" s="22" t="s">
        <v>644</v>
      </c>
      <c r="K348" s="24" t="s">
        <v>19</v>
      </c>
      <c r="L348" s="24">
        <v>1</v>
      </c>
      <c r="M348" s="130">
        <v>1</v>
      </c>
      <c r="N348" s="22" t="s">
        <v>1782</v>
      </c>
      <c r="O348" s="25"/>
    </row>
    <row r="349" spans="1:19" ht="15.75" thickBot="1" x14ac:dyDescent="0.3">
      <c r="A349" s="287"/>
      <c r="B349" s="219"/>
      <c r="C349" s="22"/>
      <c r="D349" s="53"/>
      <c r="E349" s="53"/>
      <c r="F349" s="53"/>
      <c r="G349" s="53"/>
      <c r="H349" s="53"/>
      <c r="I349" s="67"/>
      <c r="J349" s="22" t="s">
        <v>645</v>
      </c>
      <c r="K349" s="24" t="s">
        <v>19</v>
      </c>
      <c r="L349" s="24">
        <v>2</v>
      </c>
      <c r="M349" s="162">
        <v>0</v>
      </c>
      <c r="N349" s="22"/>
      <c r="O349" s="146" t="s">
        <v>1870</v>
      </c>
    </row>
    <row r="350" spans="1:19" ht="25.5" x14ac:dyDescent="0.25">
      <c r="A350" s="285" t="s">
        <v>646</v>
      </c>
      <c r="B350" s="217" t="s">
        <v>647</v>
      </c>
      <c r="C350" s="17"/>
      <c r="D350" s="51">
        <f>SUM(D351:D351)</f>
        <v>8.1</v>
      </c>
      <c r="E350" s="51">
        <f>SUM(E351:E351)</f>
        <v>8.1</v>
      </c>
      <c r="F350" s="51">
        <f>SUM(F351:F351)</f>
        <v>8</v>
      </c>
      <c r="G350" s="51">
        <f>SUM(G351:G351)</f>
        <v>0.1</v>
      </c>
      <c r="H350" s="51">
        <f>SUM(H351:H351)</f>
        <v>0.1</v>
      </c>
      <c r="I350" s="54">
        <f t="shared" ref="I350:I351" si="42">SUM(F350/E350)</f>
        <v>0.98765432098765438</v>
      </c>
      <c r="J350" s="17" t="s">
        <v>644</v>
      </c>
      <c r="K350" s="18" t="s">
        <v>19</v>
      </c>
      <c r="L350" s="18">
        <v>1</v>
      </c>
      <c r="M350" s="125">
        <v>1</v>
      </c>
      <c r="N350" s="17" t="s">
        <v>1782</v>
      </c>
      <c r="O350" s="165"/>
    </row>
    <row r="351" spans="1:19" ht="15.75" thickBot="1" x14ac:dyDescent="0.3">
      <c r="A351" s="287"/>
      <c r="B351" s="219"/>
      <c r="C351" s="22" t="s">
        <v>26</v>
      </c>
      <c r="D351" s="53">
        <v>8.1</v>
      </c>
      <c r="E351" s="53">
        <v>8.1</v>
      </c>
      <c r="F351" s="53">
        <v>8</v>
      </c>
      <c r="G351" s="53">
        <v>0.1</v>
      </c>
      <c r="H351" s="53">
        <v>0.1</v>
      </c>
      <c r="I351" s="54">
        <f t="shared" si="42"/>
        <v>0.98765432098765438</v>
      </c>
      <c r="J351" s="22" t="s">
        <v>645</v>
      </c>
      <c r="K351" s="24" t="s">
        <v>19</v>
      </c>
      <c r="L351" s="24">
        <v>2</v>
      </c>
      <c r="M351" s="162">
        <v>0</v>
      </c>
      <c r="N351" s="22"/>
      <c r="O351" s="146" t="s">
        <v>1870</v>
      </c>
    </row>
    <row r="352" spans="1:19" ht="39" thickBot="1" x14ac:dyDescent="0.3">
      <c r="A352" s="37" t="s">
        <v>648</v>
      </c>
      <c r="B352" s="17" t="s">
        <v>649</v>
      </c>
      <c r="C352" s="17" t="s">
        <v>191</v>
      </c>
      <c r="D352" s="61"/>
      <c r="E352" s="61"/>
      <c r="F352" s="61"/>
      <c r="G352" s="61"/>
      <c r="H352" s="61"/>
      <c r="I352" s="69"/>
      <c r="J352" s="17"/>
      <c r="K352" s="18"/>
      <c r="L352" s="79"/>
      <c r="M352" s="80"/>
      <c r="N352" s="17"/>
      <c r="O352" s="19"/>
    </row>
    <row r="353" spans="1:15" ht="25.5" x14ac:dyDescent="0.25">
      <c r="A353" s="285" t="s">
        <v>650</v>
      </c>
      <c r="B353" s="217" t="s">
        <v>651</v>
      </c>
      <c r="C353" s="17"/>
      <c r="D353" s="51">
        <f>SUM(D354:D358)</f>
        <v>13683.2</v>
      </c>
      <c r="E353" s="51">
        <f>SUM(E354:E358)</f>
        <v>13683.2</v>
      </c>
      <c r="F353" s="51">
        <f>SUM(F354:F358)</f>
        <v>10341.6</v>
      </c>
      <c r="G353" s="51">
        <f>SUM(G354:G358)</f>
        <v>3341.6</v>
      </c>
      <c r="H353" s="51">
        <f>SUM(H354:H358)</f>
        <v>3341.6</v>
      </c>
      <c r="I353" s="54">
        <f t="shared" ref="I353:I358" si="43">SUM(F353/E353)</f>
        <v>0.75578811973807292</v>
      </c>
      <c r="J353" s="17" t="s">
        <v>643</v>
      </c>
      <c r="K353" s="18" t="s">
        <v>19</v>
      </c>
      <c r="L353" s="18">
        <v>1</v>
      </c>
      <c r="M353" s="125">
        <v>1</v>
      </c>
      <c r="N353" s="17" t="s">
        <v>652</v>
      </c>
      <c r="O353" s="19"/>
    </row>
    <row r="354" spans="1:15" x14ac:dyDescent="0.25">
      <c r="A354" s="286"/>
      <c r="B354" s="218"/>
      <c r="C354" s="22" t="s">
        <v>30</v>
      </c>
      <c r="D354" s="53">
        <v>558.29999999999995</v>
      </c>
      <c r="E354" s="53">
        <v>558.29999999999995</v>
      </c>
      <c r="F354" s="53">
        <v>394.3</v>
      </c>
      <c r="G354" s="53">
        <v>164</v>
      </c>
      <c r="H354" s="53">
        <v>164</v>
      </c>
      <c r="I354" s="54">
        <f t="shared" si="43"/>
        <v>0.70625111946981922</v>
      </c>
      <c r="J354" s="22"/>
      <c r="K354" s="24"/>
      <c r="L354" s="81"/>
      <c r="M354" s="82"/>
      <c r="N354" s="22"/>
      <c r="O354" s="25"/>
    </row>
    <row r="355" spans="1:15" x14ac:dyDescent="0.25">
      <c r="A355" s="286"/>
      <c r="B355" s="218"/>
      <c r="C355" s="22" t="s">
        <v>181</v>
      </c>
      <c r="D355" s="53">
        <v>5008.8</v>
      </c>
      <c r="E355" s="53">
        <v>5008.8</v>
      </c>
      <c r="F355" s="53">
        <v>5008.7</v>
      </c>
      <c r="G355" s="53">
        <v>0.1</v>
      </c>
      <c r="H355" s="53">
        <v>0.1</v>
      </c>
      <c r="I355" s="54">
        <f t="shared" si="43"/>
        <v>0.99998003513815681</v>
      </c>
      <c r="J355" s="22"/>
      <c r="K355" s="24"/>
      <c r="L355" s="81"/>
      <c r="M355" s="82"/>
      <c r="N355" s="22"/>
      <c r="O355" s="25"/>
    </row>
    <row r="356" spans="1:15" x14ac:dyDescent="0.25">
      <c r="A356" s="286"/>
      <c r="B356" s="218"/>
      <c r="C356" s="22" t="s">
        <v>191</v>
      </c>
      <c r="D356" s="53">
        <v>4.4000000000000004</v>
      </c>
      <c r="E356" s="53">
        <v>4.4000000000000004</v>
      </c>
      <c r="F356" s="53">
        <v>4.3</v>
      </c>
      <c r="G356" s="53">
        <v>0.1</v>
      </c>
      <c r="H356" s="53">
        <v>0.1</v>
      </c>
      <c r="I356" s="54">
        <f t="shared" si="43"/>
        <v>0.97727272727272718</v>
      </c>
      <c r="J356" s="22"/>
      <c r="K356" s="24"/>
      <c r="L356" s="81"/>
      <c r="M356" s="82"/>
      <c r="N356" s="22"/>
      <c r="O356" s="25"/>
    </row>
    <row r="357" spans="1:15" x14ac:dyDescent="0.25">
      <c r="A357" s="286"/>
      <c r="B357" s="218"/>
      <c r="C357" s="22" t="s">
        <v>26</v>
      </c>
      <c r="D357" s="53">
        <v>2737.6</v>
      </c>
      <c r="E357" s="53">
        <v>2737.6</v>
      </c>
      <c r="F357" s="53">
        <v>217.3</v>
      </c>
      <c r="G357" s="53">
        <v>2520.3000000000002</v>
      </c>
      <c r="H357" s="53">
        <v>2520.3000000000002</v>
      </c>
      <c r="I357" s="54">
        <f t="shared" si="43"/>
        <v>7.9376095850379899E-2</v>
      </c>
      <c r="J357" s="22"/>
      <c r="K357" s="24"/>
      <c r="L357" s="81"/>
      <c r="M357" s="82"/>
      <c r="N357" s="22"/>
      <c r="O357" s="25"/>
    </row>
    <row r="358" spans="1:15" ht="15.75" thickBot="1" x14ac:dyDescent="0.3">
      <c r="A358" s="287"/>
      <c r="B358" s="219"/>
      <c r="C358" s="22" t="s">
        <v>198</v>
      </c>
      <c r="D358" s="53">
        <v>5374.1</v>
      </c>
      <c r="E358" s="53">
        <v>5374.1</v>
      </c>
      <c r="F358" s="53">
        <v>4717</v>
      </c>
      <c r="G358" s="53">
        <v>657.1</v>
      </c>
      <c r="H358" s="53">
        <v>657.1</v>
      </c>
      <c r="I358" s="54">
        <f t="shared" si="43"/>
        <v>0.87772836381905806</v>
      </c>
      <c r="J358" s="22"/>
      <c r="K358" s="24"/>
      <c r="L358" s="81"/>
      <c r="M358" s="82"/>
      <c r="N358" s="22"/>
      <c r="O358" s="25"/>
    </row>
    <row r="359" spans="1:15" ht="39" hidden="1" thickBot="1" x14ac:dyDescent="0.3">
      <c r="A359" s="15" t="s">
        <v>653</v>
      </c>
      <c r="B359" s="16" t="s">
        <v>654</v>
      </c>
      <c r="C359" s="17"/>
      <c r="D359" s="61"/>
      <c r="E359" s="61"/>
      <c r="F359" s="61"/>
      <c r="G359" s="61"/>
      <c r="H359" s="61"/>
      <c r="I359" s="70"/>
      <c r="J359" s="17"/>
      <c r="K359" s="18"/>
      <c r="L359" s="79"/>
      <c r="M359" s="80"/>
      <c r="N359" s="17"/>
      <c r="O359" s="19"/>
    </row>
    <row r="360" spans="1:15" ht="64.5" hidden="1" thickBot="1" x14ac:dyDescent="0.3">
      <c r="A360" s="15" t="s">
        <v>655</v>
      </c>
      <c r="B360" s="16" t="s">
        <v>656</v>
      </c>
      <c r="C360" s="17"/>
      <c r="D360" s="61"/>
      <c r="E360" s="61"/>
      <c r="F360" s="61"/>
      <c r="G360" s="61"/>
      <c r="H360" s="61"/>
      <c r="I360" s="70"/>
      <c r="J360" s="17"/>
      <c r="K360" s="18"/>
      <c r="L360" s="79"/>
      <c r="M360" s="80"/>
      <c r="N360" s="17"/>
      <c r="O360" s="19"/>
    </row>
    <row r="361" spans="1:15" ht="77.25" hidden="1" thickBot="1" x14ac:dyDescent="0.3">
      <c r="A361" s="15" t="s">
        <v>657</v>
      </c>
      <c r="B361" s="16" t="s">
        <v>658</v>
      </c>
      <c r="C361" s="17" t="s">
        <v>26</v>
      </c>
      <c r="D361" s="61"/>
      <c r="E361" s="61"/>
      <c r="F361" s="61"/>
      <c r="G361" s="61"/>
      <c r="H361" s="61"/>
      <c r="I361" s="69"/>
      <c r="J361" s="17"/>
      <c r="K361" s="18"/>
      <c r="L361" s="79"/>
      <c r="M361" s="80"/>
      <c r="N361" s="17"/>
      <c r="O361" s="19"/>
    </row>
    <row r="362" spans="1:15" ht="89.25" x14ac:dyDescent="0.25">
      <c r="A362" s="285" t="s">
        <v>659</v>
      </c>
      <c r="B362" s="217" t="s">
        <v>660</v>
      </c>
      <c r="C362" s="17"/>
      <c r="D362" s="51">
        <f>SUM(D363:D366)</f>
        <v>6743.1</v>
      </c>
      <c r="E362" s="51">
        <f>SUM(E363:E366)</f>
        <v>6743.1</v>
      </c>
      <c r="F362" s="51">
        <f>SUM(F363:F366)-0.1</f>
        <v>4350.8999999999996</v>
      </c>
      <c r="G362" s="51">
        <f>SUM(G363:G366)+0.1</f>
        <v>2392.1999999999998</v>
      </c>
      <c r="H362" s="51">
        <f>SUM(H363:H366)+0.1</f>
        <v>2392.1999999999998</v>
      </c>
      <c r="I362" s="54">
        <f t="shared" ref="I362:I370" si="44">SUM(F362/E362)</f>
        <v>0.64523735373937796</v>
      </c>
      <c r="J362" s="17" t="s">
        <v>661</v>
      </c>
      <c r="K362" s="18" t="s">
        <v>474</v>
      </c>
      <c r="L362" s="18">
        <v>2</v>
      </c>
      <c r="M362" s="125">
        <v>2</v>
      </c>
      <c r="N362" s="17" t="s">
        <v>1783</v>
      </c>
      <c r="O362" s="19"/>
    </row>
    <row r="363" spans="1:15" x14ac:dyDescent="0.25">
      <c r="A363" s="286"/>
      <c r="B363" s="218"/>
      <c r="C363" s="22" t="s">
        <v>181</v>
      </c>
      <c r="D363" s="53">
        <v>4583.1000000000004</v>
      </c>
      <c r="E363" s="53">
        <v>4583.1000000000004</v>
      </c>
      <c r="F363" s="53">
        <v>4331.3</v>
      </c>
      <c r="G363" s="53">
        <v>251.8</v>
      </c>
      <c r="H363" s="53">
        <v>251.8</v>
      </c>
      <c r="I363" s="54">
        <f t="shared" si="44"/>
        <v>0.94505902118653307</v>
      </c>
      <c r="J363" s="22"/>
      <c r="K363" s="24"/>
      <c r="L363" s="81"/>
      <c r="M363" s="82"/>
      <c r="N363" s="22"/>
      <c r="O363" s="25"/>
    </row>
    <row r="364" spans="1:15" x14ac:dyDescent="0.25">
      <c r="A364" s="286"/>
      <c r="B364" s="218"/>
      <c r="C364" s="22" t="s">
        <v>198</v>
      </c>
      <c r="D364" s="53">
        <v>1448.8</v>
      </c>
      <c r="E364" s="53">
        <v>1448.8</v>
      </c>
      <c r="F364" s="53">
        <v>0</v>
      </c>
      <c r="G364" s="53">
        <v>1448.8</v>
      </c>
      <c r="H364" s="53">
        <v>1448.8</v>
      </c>
      <c r="I364" s="54">
        <f t="shared" si="44"/>
        <v>0</v>
      </c>
      <c r="J364" s="22"/>
      <c r="K364" s="24"/>
      <c r="L364" s="81"/>
      <c r="M364" s="82"/>
      <c r="N364" s="22"/>
      <c r="O364" s="25"/>
    </row>
    <row r="365" spans="1:15" x14ac:dyDescent="0.25">
      <c r="A365" s="286"/>
      <c r="B365" s="218"/>
      <c r="C365" s="22" t="s">
        <v>26</v>
      </c>
      <c r="D365" s="53">
        <v>708.9</v>
      </c>
      <c r="E365" s="53">
        <v>708.9</v>
      </c>
      <c r="F365" s="53">
        <v>17.399999999999999</v>
      </c>
      <c r="G365" s="53">
        <v>691.5</v>
      </c>
      <c r="H365" s="53">
        <v>691.5</v>
      </c>
      <c r="I365" s="54">
        <f t="shared" si="44"/>
        <v>2.4545069826491746E-2</v>
      </c>
      <c r="J365" s="22"/>
      <c r="K365" s="24"/>
      <c r="L365" s="81"/>
      <c r="M365" s="82"/>
      <c r="N365" s="22"/>
      <c r="O365" s="25"/>
    </row>
    <row r="366" spans="1:15" ht="15.75" thickBot="1" x14ac:dyDescent="0.3">
      <c r="A366" s="287"/>
      <c r="B366" s="219"/>
      <c r="C366" s="22" t="s">
        <v>30</v>
      </c>
      <c r="D366" s="53">
        <v>2.2999999999999998</v>
      </c>
      <c r="E366" s="53">
        <v>2.2999999999999998</v>
      </c>
      <c r="F366" s="53">
        <v>2.2999999999999998</v>
      </c>
      <c r="G366" s="53"/>
      <c r="H366" s="53"/>
      <c r="I366" s="68">
        <f t="shared" si="44"/>
        <v>1</v>
      </c>
      <c r="J366" s="22"/>
      <c r="K366" s="24"/>
      <c r="L366" s="81"/>
      <c r="M366" s="82"/>
      <c r="N366" s="22"/>
      <c r="O366" s="25"/>
    </row>
    <row r="367" spans="1:15" ht="51" x14ac:dyDescent="0.25">
      <c r="A367" s="285" t="s">
        <v>662</v>
      </c>
      <c r="B367" s="217" t="s">
        <v>663</v>
      </c>
      <c r="C367" s="17"/>
      <c r="D367" s="51">
        <f>SUM(D368:D368)</f>
        <v>213.8</v>
      </c>
      <c r="E367" s="51">
        <f>SUM(E368:E368)</f>
        <v>213.8</v>
      </c>
      <c r="F367" s="51">
        <f>SUM(F368:F368)</f>
        <v>213.8</v>
      </c>
      <c r="G367" s="51"/>
      <c r="H367" s="51"/>
      <c r="I367" s="54">
        <f t="shared" si="44"/>
        <v>1</v>
      </c>
      <c r="J367" s="17" t="s">
        <v>664</v>
      </c>
      <c r="K367" s="18" t="s">
        <v>25</v>
      </c>
      <c r="L367" s="18">
        <v>100</v>
      </c>
      <c r="M367" s="125">
        <v>100</v>
      </c>
      <c r="N367" s="17" t="s">
        <v>665</v>
      </c>
      <c r="O367" s="19"/>
    </row>
    <row r="368" spans="1:15" ht="26.25" thickBot="1" x14ac:dyDescent="0.3">
      <c r="A368" s="287"/>
      <c r="B368" s="219"/>
      <c r="C368" s="22" t="s">
        <v>26</v>
      </c>
      <c r="D368" s="53">
        <v>213.8</v>
      </c>
      <c r="E368" s="53">
        <v>213.8</v>
      </c>
      <c r="F368" s="53">
        <v>213.8</v>
      </c>
      <c r="G368" s="53"/>
      <c r="H368" s="53"/>
      <c r="I368" s="68">
        <f t="shared" si="44"/>
        <v>1</v>
      </c>
      <c r="J368" s="22" t="s">
        <v>666</v>
      </c>
      <c r="K368" s="24" t="s">
        <v>19</v>
      </c>
      <c r="L368" s="24">
        <v>1</v>
      </c>
      <c r="M368" s="162">
        <v>0</v>
      </c>
      <c r="N368" s="22"/>
      <c r="O368" s="25" t="s">
        <v>1871</v>
      </c>
    </row>
    <row r="369" spans="1:19" ht="25.5" x14ac:dyDescent="0.25">
      <c r="A369" s="285" t="s">
        <v>667</v>
      </c>
      <c r="B369" s="217" t="s">
        <v>668</v>
      </c>
      <c r="C369" s="17"/>
      <c r="D369" s="51">
        <f>SUM(D370:D371)</f>
        <v>8</v>
      </c>
      <c r="E369" s="51">
        <f>SUM(E370:E371)</f>
        <v>8</v>
      </c>
      <c r="F369" s="51">
        <f>SUM(F370:F371)</f>
        <v>8</v>
      </c>
      <c r="G369" s="51"/>
      <c r="H369" s="51"/>
      <c r="I369" s="54">
        <f t="shared" si="44"/>
        <v>1</v>
      </c>
      <c r="J369" s="17" t="s">
        <v>669</v>
      </c>
      <c r="K369" s="18" t="s">
        <v>19</v>
      </c>
      <c r="L369" s="18">
        <v>1</v>
      </c>
      <c r="M369" s="176">
        <v>1</v>
      </c>
      <c r="N369" s="17"/>
      <c r="O369" s="19"/>
    </row>
    <row r="370" spans="1:19" x14ac:dyDescent="0.25">
      <c r="A370" s="286"/>
      <c r="B370" s="218"/>
      <c r="C370" s="22" t="s">
        <v>26</v>
      </c>
      <c r="D370" s="53">
        <v>8</v>
      </c>
      <c r="E370" s="53">
        <v>8</v>
      </c>
      <c r="F370" s="53">
        <v>8</v>
      </c>
      <c r="G370" s="53"/>
      <c r="H370" s="53"/>
      <c r="I370" s="54">
        <f t="shared" si="44"/>
        <v>1</v>
      </c>
      <c r="J370" s="22" t="s">
        <v>670</v>
      </c>
      <c r="K370" s="24" t="s">
        <v>25</v>
      </c>
      <c r="L370" s="24">
        <v>100</v>
      </c>
      <c r="M370" s="162">
        <v>0</v>
      </c>
      <c r="N370" s="22"/>
      <c r="O370" s="25" t="s">
        <v>1872</v>
      </c>
    </row>
    <row r="371" spans="1:19" ht="26.25" thickBot="1" x14ac:dyDescent="0.3">
      <c r="A371" s="287"/>
      <c r="B371" s="219"/>
      <c r="C371" s="22"/>
      <c r="D371" s="53"/>
      <c r="E371" s="53"/>
      <c r="F371" s="53"/>
      <c r="G371" s="53"/>
      <c r="H371" s="53"/>
      <c r="I371" s="67"/>
      <c r="J371" s="22" t="s">
        <v>671</v>
      </c>
      <c r="K371" s="24" t="s">
        <v>19</v>
      </c>
      <c r="L371" s="24">
        <v>1</v>
      </c>
      <c r="M371" s="162">
        <v>0</v>
      </c>
      <c r="N371" s="22"/>
      <c r="O371" s="25" t="s">
        <v>1872</v>
      </c>
    </row>
    <row r="372" spans="1:19" ht="102" x14ac:dyDescent="0.25">
      <c r="A372" s="285" t="s">
        <v>672</v>
      </c>
      <c r="B372" s="217" t="s">
        <v>673</v>
      </c>
      <c r="C372" s="17"/>
      <c r="D372" s="51">
        <f>SUM(D373:D380)</f>
        <v>49.1</v>
      </c>
      <c r="E372" s="51">
        <f>SUM(E373:E380)</f>
        <v>49.1</v>
      </c>
      <c r="F372" s="51">
        <f>SUM(F373:F380)</f>
        <v>32.299999999999997</v>
      </c>
      <c r="G372" s="51">
        <f>SUM(G373:G380)</f>
        <v>16.8</v>
      </c>
      <c r="H372" s="51">
        <f>SUM(H373:H380)</f>
        <v>16.8</v>
      </c>
      <c r="I372" s="54">
        <f t="shared" ref="I372:I374" si="45">SUM(F372/E372)</f>
        <v>0.65784114052953147</v>
      </c>
      <c r="J372" s="17" t="s">
        <v>674</v>
      </c>
      <c r="K372" s="18" t="s">
        <v>19</v>
      </c>
      <c r="L372" s="18">
        <v>4</v>
      </c>
      <c r="M372" s="125">
        <v>4</v>
      </c>
      <c r="N372" s="17" t="s">
        <v>675</v>
      </c>
      <c r="O372" s="19"/>
    </row>
    <row r="373" spans="1:19" ht="25.5" x14ac:dyDescent="0.25">
      <c r="A373" s="286"/>
      <c r="B373" s="218"/>
      <c r="C373" s="22" t="s">
        <v>26</v>
      </c>
      <c r="D373" s="53">
        <v>48.5</v>
      </c>
      <c r="E373" s="53">
        <v>48.5</v>
      </c>
      <c r="F373" s="53">
        <v>31.7</v>
      </c>
      <c r="G373" s="53">
        <v>16.8</v>
      </c>
      <c r="H373" s="53">
        <v>16.8</v>
      </c>
      <c r="I373" s="54">
        <f t="shared" si="45"/>
        <v>0.65360824742268042</v>
      </c>
      <c r="J373" s="22" t="s">
        <v>676</v>
      </c>
      <c r="K373" s="24" t="s">
        <v>19</v>
      </c>
      <c r="L373" s="24">
        <v>1</v>
      </c>
      <c r="M373" s="162">
        <v>0</v>
      </c>
      <c r="N373" s="22"/>
      <c r="O373" s="25" t="s">
        <v>1873</v>
      </c>
    </row>
    <row r="374" spans="1:19" ht="38.25" x14ac:dyDescent="0.25">
      <c r="A374" s="286"/>
      <c r="B374" s="218"/>
      <c r="C374" s="22" t="s">
        <v>30</v>
      </c>
      <c r="D374" s="53">
        <v>0.6</v>
      </c>
      <c r="E374" s="53">
        <v>0.6</v>
      </c>
      <c r="F374" s="53">
        <v>0.6</v>
      </c>
      <c r="G374" s="53"/>
      <c r="H374" s="53"/>
      <c r="I374" s="54">
        <f t="shared" si="45"/>
        <v>1</v>
      </c>
      <c r="J374" s="22" t="s">
        <v>677</v>
      </c>
      <c r="K374" s="24" t="s">
        <v>19</v>
      </c>
      <c r="L374" s="24">
        <v>6</v>
      </c>
      <c r="M374" s="130">
        <v>6</v>
      </c>
      <c r="N374" s="22" t="s">
        <v>678</v>
      </c>
      <c r="O374" s="25"/>
    </row>
    <row r="375" spans="1:19" ht="25.5" x14ac:dyDescent="0.25">
      <c r="A375" s="286"/>
      <c r="B375" s="218"/>
      <c r="C375" s="22"/>
      <c r="D375" s="53"/>
      <c r="E375" s="53"/>
      <c r="F375" s="53"/>
      <c r="G375" s="53"/>
      <c r="H375" s="53"/>
      <c r="I375" s="55"/>
      <c r="J375" s="22" t="s">
        <v>679</v>
      </c>
      <c r="K375" s="24" t="s">
        <v>19</v>
      </c>
      <c r="L375" s="24">
        <v>1</v>
      </c>
      <c r="M375" s="130">
        <v>1</v>
      </c>
      <c r="N375" s="22" t="s">
        <v>1784</v>
      </c>
      <c r="O375" s="25"/>
    </row>
    <row r="376" spans="1:19" ht="25.5" x14ac:dyDescent="0.25">
      <c r="A376" s="286"/>
      <c r="B376" s="218"/>
      <c r="C376" s="22"/>
      <c r="D376" s="53"/>
      <c r="E376" s="53"/>
      <c r="F376" s="53"/>
      <c r="G376" s="53"/>
      <c r="H376" s="53"/>
      <c r="I376" s="55"/>
      <c r="J376" s="22" t="s">
        <v>680</v>
      </c>
      <c r="K376" s="24" t="s">
        <v>19</v>
      </c>
      <c r="L376" s="24">
        <v>1</v>
      </c>
      <c r="M376" s="130">
        <v>1</v>
      </c>
      <c r="N376" s="22" t="s">
        <v>681</v>
      </c>
      <c r="O376" s="25"/>
    </row>
    <row r="377" spans="1:19" ht="38.25" x14ac:dyDescent="0.25">
      <c r="A377" s="286"/>
      <c r="B377" s="218"/>
      <c r="C377" s="22"/>
      <c r="D377" s="53"/>
      <c r="E377" s="53"/>
      <c r="F377" s="53"/>
      <c r="G377" s="53"/>
      <c r="H377" s="53"/>
      <c r="I377" s="55"/>
      <c r="J377" s="22" t="s">
        <v>682</v>
      </c>
      <c r="K377" s="24" t="s">
        <v>19</v>
      </c>
      <c r="L377" s="24">
        <v>1</v>
      </c>
      <c r="M377" s="130">
        <v>1</v>
      </c>
      <c r="N377" s="22" t="s">
        <v>1785</v>
      </c>
      <c r="O377" s="25"/>
    </row>
    <row r="378" spans="1:19" x14ac:dyDescent="0.25">
      <c r="A378" s="286"/>
      <c r="B378" s="218"/>
      <c r="C378" s="22"/>
      <c r="D378" s="53"/>
      <c r="E378" s="53"/>
      <c r="F378" s="53"/>
      <c r="G378" s="53"/>
      <c r="H378" s="53"/>
      <c r="I378" s="55"/>
      <c r="J378" s="22" t="s">
        <v>683</v>
      </c>
      <c r="K378" s="24" t="s">
        <v>19</v>
      </c>
      <c r="L378" s="24">
        <v>1</v>
      </c>
      <c r="M378" s="130">
        <v>1</v>
      </c>
      <c r="N378" s="22" t="s">
        <v>1786</v>
      </c>
      <c r="O378" s="25"/>
    </row>
    <row r="379" spans="1:19" ht="25.5" x14ac:dyDescent="0.25">
      <c r="A379" s="286"/>
      <c r="B379" s="218"/>
      <c r="C379" s="22"/>
      <c r="D379" s="53"/>
      <c r="E379" s="53"/>
      <c r="F379" s="53"/>
      <c r="G379" s="53"/>
      <c r="H379" s="53"/>
      <c r="I379" s="55"/>
      <c r="J379" s="22" t="s">
        <v>684</v>
      </c>
      <c r="K379" s="24" t="s">
        <v>337</v>
      </c>
      <c r="L379" s="24">
        <v>1</v>
      </c>
      <c r="M379" s="130">
        <v>1</v>
      </c>
      <c r="N379" s="22" t="s">
        <v>685</v>
      </c>
      <c r="O379" s="25"/>
    </row>
    <row r="380" spans="1:19" ht="26.25" thickBot="1" x14ac:dyDescent="0.3">
      <c r="A380" s="287"/>
      <c r="B380" s="219"/>
      <c r="C380" s="22"/>
      <c r="D380" s="53"/>
      <c r="E380" s="53"/>
      <c r="F380" s="53"/>
      <c r="G380" s="53"/>
      <c r="H380" s="53"/>
      <c r="I380" s="67"/>
      <c r="J380" s="22" t="s">
        <v>686</v>
      </c>
      <c r="K380" s="24" t="s">
        <v>19</v>
      </c>
      <c r="L380" s="24">
        <v>1</v>
      </c>
      <c r="M380" s="130">
        <v>1</v>
      </c>
      <c r="N380" s="22" t="s">
        <v>687</v>
      </c>
      <c r="O380" s="25"/>
    </row>
    <row r="381" spans="1:19" ht="63.75" x14ac:dyDescent="0.25">
      <c r="A381" s="285" t="s">
        <v>688</v>
      </c>
      <c r="B381" s="217" t="s">
        <v>689</v>
      </c>
      <c r="C381" s="17"/>
      <c r="D381" s="51">
        <f>SUM(D382:D382)</f>
        <v>73.5</v>
      </c>
      <c r="E381" s="51">
        <f>SUM(E382:E382)</f>
        <v>73.5</v>
      </c>
      <c r="F381" s="51">
        <f>SUM(F382:F382)</f>
        <v>45.9</v>
      </c>
      <c r="G381" s="51">
        <f>SUM(G382:G382)</f>
        <v>27.6</v>
      </c>
      <c r="H381" s="51">
        <f>SUM(H382:H382)</f>
        <v>27.6</v>
      </c>
      <c r="I381" s="54">
        <f t="shared" ref="I381:I382" si="46">SUM(F381/E381)</f>
        <v>0.62448979591836729</v>
      </c>
      <c r="J381" s="17" t="s">
        <v>690</v>
      </c>
      <c r="K381" s="18" t="s">
        <v>19</v>
      </c>
      <c r="L381" s="18">
        <v>12</v>
      </c>
      <c r="M381" s="135">
        <v>8</v>
      </c>
      <c r="N381" s="17" t="s">
        <v>691</v>
      </c>
      <c r="O381" s="19" t="s">
        <v>1827</v>
      </c>
    </row>
    <row r="382" spans="1:19" ht="15.75" thickBot="1" x14ac:dyDescent="0.3">
      <c r="A382" s="287"/>
      <c r="B382" s="219"/>
      <c r="C382" s="22" t="s">
        <v>26</v>
      </c>
      <c r="D382" s="53">
        <v>73.5</v>
      </c>
      <c r="E382" s="53">
        <v>73.5</v>
      </c>
      <c r="F382" s="53">
        <v>45.9</v>
      </c>
      <c r="G382" s="53">
        <v>27.6</v>
      </c>
      <c r="H382" s="53">
        <v>27.6</v>
      </c>
      <c r="I382" s="54">
        <f t="shared" si="46"/>
        <v>0.62448979591836729</v>
      </c>
      <c r="J382" s="22"/>
      <c r="K382" s="24"/>
      <c r="L382" s="81"/>
      <c r="M382" s="82"/>
      <c r="N382" s="22"/>
      <c r="O382" s="25"/>
    </row>
    <row r="383" spans="1:19" ht="26.25" thickBot="1" x14ac:dyDescent="0.3">
      <c r="A383" s="4" t="s">
        <v>692</v>
      </c>
      <c r="B383" s="5" t="s">
        <v>693</v>
      </c>
      <c r="C383" s="6"/>
      <c r="D383" s="45">
        <f>SUM(D384:D384)</f>
        <v>1659.5</v>
      </c>
      <c r="E383" s="45">
        <f>SUM(E384:E384)</f>
        <v>1659.5</v>
      </c>
      <c r="F383" s="45">
        <f>SUM(F384:F384)</f>
        <v>1242.2999999999997</v>
      </c>
      <c r="G383" s="45">
        <f>SUM(G384:G384)</f>
        <v>417.2</v>
      </c>
      <c r="H383" s="45">
        <f>SUM(H384:H384)</f>
        <v>417.2</v>
      </c>
      <c r="I383" s="46">
        <f>SUM(F383/E383)</f>
        <v>0.74859897559505861</v>
      </c>
      <c r="J383" s="266"/>
      <c r="K383" s="267"/>
      <c r="L383" s="267"/>
      <c r="M383" s="267"/>
      <c r="N383" s="267"/>
      <c r="O383" s="268"/>
      <c r="Q383" s="194"/>
      <c r="R383" s="195" t="s">
        <v>1</v>
      </c>
      <c r="S383" s="195" t="s">
        <v>1973</v>
      </c>
    </row>
    <row r="384" spans="1:19" ht="39" thickBot="1" x14ac:dyDescent="0.3">
      <c r="A384" s="7" t="s">
        <v>694</v>
      </c>
      <c r="B384" s="8" t="s">
        <v>695</v>
      </c>
      <c r="C384" s="9"/>
      <c r="D384" s="47">
        <f>D385+D390+D399</f>
        <v>1659.5</v>
      </c>
      <c r="E384" s="47">
        <f>E385+E390+E399</f>
        <v>1659.5</v>
      </c>
      <c r="F384" s="47">
        <f>F385+F390+F399</f>
        <v>1242.2999999999997</v>
      </c>
      <c r="G384" s="47">
        <f>G385+G390+G399</f>
        <v>417.2</v>
      </c>
      <c r="H384" s="47">
        <f>H385+H390+H399</f>
        <v>417.2</v>
      </c>
      <c r="I384" s="48">
        <f>SUM(F384/E384)</f>
        <v>0.74859897559505861</v>
      </c>
      <c r="J384" s="9" t="s">
        <v>696</v>
      </c>
      <c r="K384" s="10" t="s">
        <v>25</v>
      </c>
      <c r="L384" s="10">
        <v>85</v>
      </c>
      <c r="M384" s="84">
        <v>0</v>
      </c>
      <c r="N384" s="273"/>
      <c r="O384" s="274"/>
      <c r="Q384" s="196"/>
      <c r="R384" s="197" t="s">
        <v>1961</v>
      </c>
      <c r="S384" s="198">
        <v>6</v>
      </c>
    </row>
    <row r="385" spans="1:19" ht="51.75" thickBot="1" x14ac:dyDescent="0.3">
      <c r="A385" s="12" t="s">
        <v>697</v>
      </c>
      <c r="B385" s="13" t="s">
        <v>698</v>
      </c>
      <c r="C385" s="14"/>
      <c r="D385" s="49">
        <f>D386+D388+D389</f>
        <v>90.7</v>
      </c>
      <c r="E385" s="49">
        <f>E386+E388+E389</f>
        <v>90.7</v>
      </c>
      <c r="F385" s="49">
        <f>F386+F388+F389</f>
        <v>79.300000000000011</v>
      </c>
      <c r="G385" s="49">
        <f>G386+G388+G389</f>
        <v>11.4</v>
      </c>
      <c r="H385" s="49">
        <f>H386+H388+H389</f>
        <v>11.4</v>
      </c>
      <c r="I385" s="66">
        <f>SUM(F385/E385)</f>
        <v>0.87431091510474102</v>
      </c>
      <c r="J385" s="263"/>
      <c r="K385" s="264"/>
      <c r="L385" s="264"/>
      <c r="M385" s="264"/>
      <c r="N385" s="264"/>
      <c r="O385" s="265"/>
      <c r="Q385" s="199"/>
      <c r="R385" s="197" t="s">
        <v>1962</v>
      </c>
      <c r="S385" s="198"/>
    </row>
    <row r="386" spans="1:19" ht="31.5" x14ac:dyDescent="0.25">
      <c r="A386" s="285" t="s">
        <v>699</v>
      </c>
      <c r="B386" s="217" t="s">
        <v>700</v>
      </c>
      <c r="C386" s="17"/>
      <c r="D386" s="51">
        <f>SUM(D387:D387)</f>
        <v>34.700000000000003</v>
      </c>
      <c r="E386" s="51">
        <f>SUM(E387:E387)</f>
        <v>34.700000000000003</v>
      </c>
      <c r="F386" s="51">
        <f>SUM(F387:F387)</f>
        <v>26.8</v>
      </c>
      <c r="G386" s="51">
        <f>SUM(G387:G387)</f>
        <v>7.9</v>
      </c>
      <c r="H386" s="51">
        <f>SUM(H387:H387)</f>
        <v>7.9</v>
      </c>
      <c r="I386" s="54">
        <f t="shared" ref="I386:I389" si="47">SUM(F386/E386)</f>
        <v>0.7723342939481268</v>
      </c>
      <c r="J386" s="17" t="s">
        <v>701</v>
      </c>
      <c r="K386" s="18" t="s">
        <v>19</v>
      </c>
      <c r="L386" s="18">
        <v>100</v>
      </c>
      <c r="M386" s="119">
        <v>111</v>
      </c>
      <c r="N386" s="17" t="s">
        <v>702</v>
      </c>
      <c r="O386" s="19"/>
      <c r="Q386" s="200"/>
      <c r="R386" s="197" t="s">
        <v>1963</v>
      </c>
      <c r="S386" s="201">
        <v>3</v>
      </c>
    </row>
    <row r="387" spans="1:19" ht="32.25" thickBot="1" x14ac:dyDescent="0.3">
      <c r="A387" s="287"/>
      <c r="B387" s="219"/>
      <c r="C387" s="22" t="s">
        <v>26</v>
      </c>
      <c r="D387" s="53">
        <v>34.700000000000003</v>
      </c>
      <c r="E387" s="53">
        <v>34.700000000000003</v>
      </c>
      <c r="F387" s="53">
        <v>26.8</v>
      </c>
      <c r="G387" s="53">
        <v>7.9</v>
      </c>
      <c r="H387" s="53">
        <v>7.9</v>
      </c>
      <c r="I387" s="68">
        <f t="shared" si="47"/>
        <v>0.7723342939481268</v>
      </c>
      <c r="J387" s="22"/>
      <c r="K387" s="24"/>
      <c r="L387" s="81"/>
      <c r="M387" s="82"/>
      <c r="N387" s="22"/>
      <c r="O387" s="25"/>
      <c r="Q387" s="202"/>
      <c r="R387" s="197" t="s">
        <v>1964</v>
      </c>
      <c r="S387" s="201">
        <v>3</v>
      </c>
    </row>
    <row r="388" spans="1:19" ht="32.25" thickBot="1" x14ac:dyDescent="0.3">
      <c r="A388" s="15" t="s">
        <v>703</v>
      </c>
      <c r="B388" s="16" t="s">
        <v>704</v>
      </c>
      <c r="C388" s="17" t="s">
        <v>26</v>
      </c>
      <c r="D388" s="61">
        <v>19.100000000000001</v>
      </c>
      <c r="E388" s="61">
        <v>19.100000000000001</v>
      </c>
      <c r="F388" s="61">
        <v>16.600000000000001</v>
      </c>
      <c r="G388" s="61">
        <v>2.5</v>
      </c>
      <c r="H388" s="61">
        <v>2.5</v>
      </c>
      <c r="I388" s="63">
        <f t="shared" si="47"/>
        <v>0.86910994764397909</v>
      </c>
      <c r="J388" s="17" t="s">
        <v>705</v>
      </c>
      <c r="K388" s="18" t="s">
        <v>25</v>
      </c>
      <c r="L388" s="18">
        <v>100</v>
      </c>
      <c r="M388" s="115">
        <v>100</v>
      </c>
      <c r="N388" s="17" t="s">
        <v>706</v>
      </c>
      <c r="O388" s="19"/>
      <c r="Q388" s="204"/>
      <c r="R388" s="197" t="s">
        <v>1965</v>
      </c>
      <c r="S388" s="201">
        <v>1</v>
      </c>
    </row>
    <row r="389" spans="1:19" ht="64.5" thickBot="1" x14ac:dyDescent="0.3">
      <c r="A389" s="15" t="s">
        <v>707</v>
      </c>
      <c r="B389" s="16" t="s">
        <v>708</v>
      </c>
      <c r="C389" s="17" t="s">
        <v>26</v>
      </c>
      <c r="D389" s="61">
        <v>36.9</v>
      </c>
      <c r="E389" s="61">
        <v>36.9</v>
      </c>
      <c r="F389" s="61">
        <v>35.9</v>
      </c>
      <c r="G389" s="61">
        <v>1</v>
      </c>
      <c r="H389" s="61">
        <v>1</v>
      </c>
      <c r="I389" s="54">
        <f t="shared" si="47"/>
        <v>0.97289972899728994</v>
      </c>
      <c r="J389" s="17" t="s">
        <v>709</v>
      </c>
      <c r="K389" s="18" t="s">
        <v>19</v>
      </c>
      <c r="L389" s="18">
        <v>5</v>
      </c>
      <c r="M389" s="113">
        <v>4</v>
      </c>
      <c r="N389" s="17" t="s">
        <v>710</v>
      </c>
      <c r="O389" s="166" t="s">
        <v>1896</v>
      </c>
      <c r="Q389" s="194"/>
      <c r="R389" s="205" t="s">
        <v>1966</v>
      </c>
      <c r="S389" s="201">
        <f>+SUM(S384:S388)</f>
        <v>13</v>
      </c>
    </row>
    <row r="390" spans="1:19" ht="43.5" customHeight="1" thickBot="1" x14ac:dyDescent="0.3">
      <c r="A390" s="12" t="s">
        <v>711</v>
      </c>
      <c r="B390" s="13" t="s">
        <v>712</v>
      </c>
      <c r="C390" s="14"/>
      <c r="D390" s="49">
        <f>D391+D393+D394+D395+D397+D398</f>
        <v>856</v>
      </c>
      <c r="E390" s="49">
        <f>E391+E393+E394+E395+E397+E398</f>
        <v>856</v>
      </c>
      <c r="F390" s="49">
        <f>F391+F393+F394+F395+F397+F398-0.1</f>
        <v>800.0999999999998</v>
      </c>
      <c r="G390" s="49">
        <f>G391+G393+G394+G395+G397+G398+0.1</f>
        <v>55.9</v>
      </c>
      <c r="H390" s="49">
        <f>H391+H393+H394+H395+H397+H398+0.1</f>
        <v>55.9</v>
      </c>
      <c r="I390" s="66">
        <f>SUM(F390/E390)</f>
        <v>0.93469626168224273</v>
      </c>
      <c r="J390" s="263"/>
      <c r="K390" s="264"/>
      <c r="L390" s="264"/>
      <c r="M390" s="264"/>
      <c r="N390" s="264"/>
      <c r="O390" s="265"/>
    </row>
    <row r="391" spans="1:19" ht="76.5" customHeight="1" x14ac:dyDescent="0.25">
      <c r="A391" s="285" t="s">
        <v>713</v>
      </c>
      <c r="B391" s="217" t="s">
        <v>714</v>
      </c>
      <c r="C391" s="17" t="s">
        <v>26</v>
      </c>
      <c r="D391" s="51">
        <f>SUM(D392:D392)+273.7</f>
        <v>273.7</v>
      </c>
      <c r="E391" s="51">
        <f>SUM(E392:E392)+273.7</f>
        <v>273.7</v>
      </c>
      <c r="F391" s="51">
        <f>SUM(F392:F392)+272.9</f>
        <v>272.89999999999998</v>
      </c>
      <c r="G391" s="51">
        <f>SUM(G392:G392)+0.8</f>
        <v>0.8</v>
      </c>
      <c r="H391" s="51">
        <f>SUM(H392:H392)+0.8</f>
        <v>0.8</v>
      </c>
      <c r="I391" s="54">
        <f t="shared" ref="I391" si="48">SUM(F391/E391)</f>
        <v>0.9970770917062477</v>
      </c>
      <c r="J391" s="17" t="s">
        <v>715</v>
      </c>
      <c r="K391" s="18" t="s">
        <v>25</v>
      </c>
      <c r="L391" s="18">
        <v>100</v>
      </c>
      <c r="M391" s="125">
        <v>100</v>
      </c>
      <c r="N391" s="17" t="s">
        <v>716</v>
      </c>
      <c r="O391" s="19"/>
    </row>
    <row r="392" spans="1:19" ht="15.75" thickBot="1" x14ac:dyDescent="0.3">
      <c r="A392" s="287"/>
      <c r="B392" s="219"/>
      <c r="C392" s="22"/>
      <c r="D392" s="53"/>
      <c r="E392" s="53"/>
      <c r="F392" s="53"/>
      <c r="G392" s="53"/>
      <c r="H392" s="53"/>
      <c r="I392" s="67"/>
      <c r="J392" s="22" t="s">
        <v>717</v>
      </c>
      <c r="K392" s="24" t="s">
        <v>19</v>
      </c>
      <c r="L392" s="24">
        <v>3</v>
      </c>
      <c r="M392" s="162">
        <v>0</v>
      </c>
      <c r="N392" s="22"/>
      <c r="O392" s="25" t="s">
        <v>718</v>
      </c>
    </row>
    <row r="393" spans="1:19" ht="51.75" thickBot="1" x14ac:dyDescent="0.3">
      <c r="A393" s="15" t="s">
        <v>719</v>
      </c>
      <c r="B393" s="16" t="s">
        <v>720</v>
      </c>
      <c r="C393" s="17" t="s">
        <v>26</v>
      </c>
      <c r="D393" s="61">
        <v>27.5</v>
      </c>
      <c r="E393" s="61">
        <v>27.5</v>
      </c>
      <c r="F393" s="61">
        <v>27.4</v>
      </c>
      <c r="G393" s="61">
        <v>0.1</v>
      </c>
      <c r="H393" s="61">
        <v>0.1</v>
      </c>
      <c r="I393" s="63">
        <f t="shared" ref="I393:I395" si="49">SUM(F393/E393)</f>
        <v>0.99636363636363634</v>
      </c>
      <c r="J393" s="17" t="s">
        <v>721</v>
      </c>
      <c r="K393" s="18" t="s">
        <v>25</v>
      </c>
      <c r="L393" s="18">
        <v>100</v>
      </c>
      <c r="M393" s="125">
        <v>100</v>
      </c>
      <c r="N393" s="17" t="s">
        <v>722</v>
      </c>
      <c r="O393" s="19"/>
    </row>
    <row r="394" spans="1:19" ht="51.75" thickBot="1" x14ac:dyDescent="0.3">
      <c r="A394" s="15" t="s">
        <v>723</v>
      </c>
      <c r="B394" s="16" t="s">
        <v>724</v>
      </c>
      <c r="C394" s="17" t="s">
        <v>26</v>
      </c>
      <c r="D394" s="61">
        <v>1.5</v>
      </c>
      <c r="E394" s="61">
        <v>1.5</v>
      </c>
      <c r="F394" s="61">
        <v>0.4</v>
      </c>
      <c r="G394" s="61">
        <v>1.1000000000000001</v>
      </c>
      <c r="H394" s="61">
        <v>1.1000000000000001</v>
      </c>
      <c r="I394" s="63">
        <f t="shared" si="49"/>
        <v>0.26666666666666666</v>
      </c>
      <c r="J394" s="17" t="s">
        <v>725</v>
      </c>
      <c r="K394" s="18" t="s">
        <v>19</v>
      </c>
      <c r="L394" s="18">
        <v>5</v>
      </c>
      <c r="M394" s="135">
        <v>4</v>
      </c>
      <c r="N394" s="17" t="s">
        <v>726</v>
      </c>
      <c r="O394" s="166" t="s">
        <v>1896</v>
      </c>
    </row>
    <row r="395" spans="1:19" ht="38.25" x14ac:dyDescent="0.25">
      <c r="A395" s="285" t="s">
        <v>727</v>
      </c>
      <c r="B395" s="217" t="s">
        <v>728</v>
      </c>
      <c r="C395" s="17" t="s">
        <v>26</v>
      </c>
      <c r="D395" s="51">
        <f>SUM(D396:D396)+121</f>
        <v>121</v>
      </c>
      <c r="E395" s="51">
        <f>SUM(E396:E396)+121</f>
        <v>121</v>
      </c>
      <c r="F395" s="51">
        <f>SUM(F396:F396)+121</f>
        <v>121</v>
      </c>
      <c r="G395" s="51"/>
      <c r="H395" s="51"/>
      <c r="I395" s="54">
        <f t="shared" si="49"/>
        <v>1</v>
      </c>
      <c r="J395" s="17" t="s">
        <v>729</v>
      </c>
      <c r="K395" s="18" t="s">
        <v>19</v>
      </c>
      <c r="L395" s="18">
        <v>1</v>
      </c>
      <c r="M395" s="125">
        <v>1</v>
      </c>
      <c r="N395" s="17" t="s">
        <v>1787</v>
      </c>
      <c r="O395" s="19"/>
    </row>
    <row r="396" spans="1:19" ht="15.75" thickBot="1" x14ac:dyDescent="0.3">
      <c r="A396" s="287"/>
      <c r="B396" s="219"/>
      <c r="C396" s="22"/>
      <c r="D396" s="53"/>
      <c r="E396" s="53"/>
      <c r="F396" s="53"/>
      <c r="G396" s="53"/>
      <c r="H396" s="53"/>
      <c r="I396" s="67"/>
      <c r="J396" s="22" t="s">
        <v>730</v>
      </c>
      <c r="K396" s="24" t="s">
        <v>25</v>
      </c>
      <c r="L396" s="24">
        <v>100</v>
      </c>
      <c r="M396" s="130">
        <v>100</v>
      </c>
      <c r="N396" s="22" t="s">
        <v>731</v>
      </c>
      <c r="O396" s="25"/>
    </row>
    <row r="397" spans="1:19" ht="77.25" thickBot="1" x14ac:dyDescent="0.3">
      <c r="A397" s="15" t="s">
        <v>732</v>
      </c>
      <c r="B397" s="16" t="s">
        <v>733</v>
      </c>
      <c r="C397" s="17" t="s">
        <v>26</v>
      </c>
      <c r="D397" s="61">
        <v>430</v>
      </c>
      <c r="E397" s="61">
        <v>430</v>
      </c>
      <c r="F397" s="61">
        <v>376.2</v>
      </c>
      <c r="G397" s="61">
        <v>53.8</v>
      </c>
      <c r="H397" s="61">
        <v>53.8</v>
      </c>
      <c r="I397" s="63">
        <f t="shared" ref="I397:I398" si="50">SUM(F397/E397)</f>
        <v>0.87488372093023248</v>
      </c>
      <c r="J397" s="17" t="s">
        <v>734</v>
      </c>
      <c r="K397" s="18" t="s">
        <v>25</v>
      </c>
      <c r="L397" s="18">
        <v>100</v>
      </c>
      <c r="M397" s="125">
        <v>100</v>
      </c>
      <c r="N397" s="17" t="s">
        <v>716</v>
      </c>
      <c r="O397" s="19"/>
    </row>
    <row r="398" spans="1:19" ht="39" thickBot="1" x14ac:dyDescent="0.3">
      <c r="A398" s="15" t="s">
        <v>735</v>
      </c>
      <c r="B398" s="16" t="s">
        <v>736</v>
      </c>
      <c r="C398" s="17" t="s">
        <v>26</v>
      </c>
      <c r="D398" s="61">
        <v>2.2999999999999998</v>
      </c>
      <c r="E398" s="61">
        <v>2.2999999999999998</v>
      </c>
      <c r="F398" s="61">
        <v>2.2999999999999998</v>
      </c>
      <c r="G398" s="61"/>
      <c r="H398" s="61"/>
      <c r="I398" s="54">
        <f t="shared" si="50"/>
        <v>1</v>
      </c>
      <c r="J398" s="17" t="s">
        <v>737</v>
      </c>
      <c r="K398" s="18" t="s">
        <v>25</v>
      </c>
      <c r="L398" s="18">
        <v>100</v>
      </c>
      <c r="M398" s="125">
        <v>100</v>
      </c>
      <c r="N398" s="17" t="s">
        <v>738</v>
      </c>
      <c r="O398" s="19"/>
    </row>
    <row r="399" spans="1:19" ht="39" thickBot="1" x14ac:dyDescent="0.3">
      <c r="A399" s="12" t="s">
        <v>739</v>
      </c>
      <c r="B399" s="13" t="s">
        <v>740</v>
      </c>
      <c r="C399" s="14"/>
      <c r="D399" s="49">
        <f>D400+D401+D407+D410</f>
        <v>712.8</v>
      </c>
      <c r="E399" s="49">
        <f>E400+E401+E407+E410</f>
        <v>712.8</v>
      </c>
      <c r="F399" s="49">
        <f>F400+F401+F407+F410</f>
        <v>362.9</v>
      </c>
      <c r="G399" s="49">
        <f>G400+G401+G407+G410</f>
        <v>349.9</v>
      </c>
      <c r="H399" s="49">
        <f>H400+H401+H407+H410</f>
        <v>349.9</v>
      </c>
      <c r="I399" s="66">
        <f>SUM(F399/E399)</f>
        <v>0.50911896745230079</v>
      </c>
      <c r="J399" s="263"/>
      <c r="K399" s="264"/>
      <c r="L399" s="264"/>
      <c r="M399" s="264"/>
      <c r="N399" s="264"/>
      <c r="O399" s="265"/>
    </row>
    <row r="400" spans="1:19" ht="26.25" thickBot="1" x14ac:dyDescent="0.3">
      <c r="A400" s="15" t="s">
        <v>741</v>
      </c>
      <c r="B400" s="16" t="s">
        <v>742</v>
      </c>
      <c r="C400" s="17" t="s">
        <v>30</v>
      </c>
      <c r="D400" s="61">
        <v>155.19999999999999</v>
      </c>
      <c r="E400" s="61">
        <v>155.19999999999999</v>
      </c>
      <c r="F400" s="61">
        <v>0</v>
      </c>
      <c r="G400" s="61">
        <v>155.19999999999999</v>
      </c>
      <c r="H400" s="61">
        <v>155.19999999999999</v>
      </c>
      <c r="I400" s="63">
        <f t="shared" ref="I400:I405" si="51">SUM(F400/E400)</f>
        <v>0</v>
      </c>
      <c r="J400" s="17" t="s">
        <v>743</v>
      </c>
      <c r="K400" s="18" t="s">
        <v>337</v>
      </c>
      <c r="L400" s="18">
        <v>3</v>
      </c>
      <c r="M400" s="161">
        <v>0</v>
      </c>
      <c r="N400" s="17"/>
      <c r="O400" s="19" t="s">
        <v>744</v>
      </c>
    </row>
    <row r="401" spans="1:19" ht="39" thickBot="1" x14ac:dyDescent="0.3">
      <c r="A401" s="15" t="s">
        <v>745</v>
      </c>
      <c r="B401" s="16" t="s">
        <v>746</v>
      </c>
      <c r="C401" s="17"/>
      <c r="D401" s="51">
        <f>D402+D406</f>
        <v>462.2</v>
      </c>
      <c r="E401" s="51">
        <f>E402+E406</f>
        <v>462.2</v>
      </c>
      <c r="F401" s="51">
        <f>F402+F406</f>
        <v>269.59999999999997</v>
      </c>
      <c r="G401" s="51">
        <f>G402+G406</f>
        <v>192.59999999999997</v>
      </c>
      <c r="H401" s="51">
        <f>H402+H406</f>
        <v>192.59999999999997</v>
      </c>
      <c r="I401" s="63">
        <f t="shared" si="51"/>
        <v>0.58329727390739938</v>
      </c>
      <c r="J401" s="17" t="s">
        <v>743</v>
      </c>
      <c r="K401" s="18" t="s">
        <v>337</v>
      </c>
      <c r="L401" s="18">
        <v>5</v>
      </c>
      <c r="M401" s="139">
        <v>7</v>
      </c>
      <c r="N401" s="17" t="s">
        <v>747</v>
      </c>
      <c r="O401" s="19"/>
    </row>
    <row r="402" spans="1:19" ht="38.25" customHeight="1" x14ac:dyDescent="0.25">
      <c r="A402" s="285" t="s">
        <v>748</v>
      </c>
      <c r="B402" s="217" t="s">
        <v>749</v>
      </c>
      <c r="C402" s="17"/>
      <c r="D402" s="51">
        <f>SUM(D403:D405)</f>
        <v>462.2</v>
      </c>
      <c r="E402" s="51">
        <f>SUM(E403:E405)</f>
        <v>462.2</v>
      </c>
      <c r="F402" s="51">
        <f>SUM(F403:F405)-0.1</f>
        <v>269.59999999999997</v>
      </c>
      <c r="G402" s="51">
        <f>SUM(G403:G405)+0.1</f>
        <v>192.59999999999997</v>
      </c>
      <c r="H402" s="51">
        <f>SUM(H403:H405)+0.1</f>
        <v>192.59999999999997</v>
      </c>
      <c r="I402" s="54">
        <f t="shared" si="51"/>
        <v>0.58329727390739938</v>
      </c>
      <c r="J402" s="17" t="s">
        <v>743</v>
      </c>
      <c r="K402" s="18" t="s">
        <v>337</v>
      </c>
      <c r="L402" s="79">
        <v>5</v>
      </c>
      <c r="M402" s="119">
        <v>7</v>
      </c>
      <c r="N402" s="17" t="s">
        <v>747</v>
      </c>
      <c r="O402" s="19"/>
    </row>
    <row r="403" spans="1:19" x14ac:dyDescent="0.25">
      <c r="A403" s="286"/>
      <c r="B403" s="218"/>
      <c r="C403" s="22" t="s">
        <v>30</v>
      </c>
      <c r="D403" s="53">
        <v>75.8</v>
      </c>
      <c r="E403" s="53">
        <v>75.8</v>
      </c>
      <c r="F403" s="53">
        <v>66.099999999999994</v>
      </c>
      <c r="G403" s="53">
        <v>9.6999999999999993</v>
      </c>
      <c r="H403" s="53">
        <v>9.6999999999999993</v>
      </c>
      <c r="I403" s="54">
        <f t="shared" si="51"/>
        <v>0.8720316622691292</v>
      </c>
      <c r="J403" s="22"/>
      <c r="K403" s="24"/>
      <c r="L403" s="81"/>
      <c r="M403" s="82"/>
      <c r="N403" s="22"/>
      <c r="O403" s="25"/>
    </row>
    <row r="404" spans="1:19" x14ac:dyDescent="0.25">
      <c r="A404" s="286"/>
      <c r="B404" s="218"/>
      <c r="C404" s="22" t="s">
        <v>191</v>
      </c>
      <c r="D404" s="53">
        <v>328.7</v>
      </c>
      <c r="E404" s="53">
        <v>328.7</v>
      </c>
      <c r="F404" s="53">
        <v>177.6</v>
      </c>
      <c r="G404" s="53">
        <v>151.1</v>
      </c>
      <c r="H404" s="53">
        <v>151.1</v>
      </c>
      <c r="I404" s="54">
        <f t="shared" si="51"/>
        <v>0.54031031335564339</v>
      </c>
      <c r="J404" s="22"/>
      <c r="K404" s="24"/>
      <c r="L404" s="81"/>
      <c r="M404" s="82"/>
      <c r="N404" s="22"/>
      <c r="O404" s="25"/>
    </row>
    <row r="405" spans="1:19" ht="15" customHeight="1" thickBot="1" x14ac:dyDescent="0.3">
      <c r="A405" s="287"/>
      <c r="B405" s="219"/>
      <c r="C405" s="22" t="s">
        <v>181</v>
      </c>
      <c r="D405" s="53">
        <v>57.7</v>
      </c>
      <c r="E405" s="53">
        <v>57.7</v>
      </c>
      <c r="F405" s="53">
        <v>26</v>
      </c>
      <c r="G405" s="53">
        <v>31.7</v>
      </c>
      <c r="H405" s="53">
        <v>31.7</v>
      </c>
      <c r="I405" s="54">
        <f t="shared" si="51"/>
        <v>0.4506065857885615</v>
      </c>
      <c r="J405" s="22"/>
      <c r="K405" s="24"/>
      <c r="L405" s="81"/>
      <c r="M405" s="82"/>
      <c r="N405" s="22"/>
      <c r="O405" s="25"/>
    </row>
    <row r="406" spans="1:19" ht="39" hidden="1" thickBot="1" x14ac:dyDescent="0.3">
      <c r="A406" s="37" t="s">
        <v>750</v>
      </c>
      <c r="B406" s="17" t="s">
        <v>751</v>
      </c>
      <c r="C406" s="17"/>
      <c r="D406" s="61"/>
      <c r="E406" s="61"/>
      <c r="F406" s="61"/>
      <c r="G406" s="61"/>
      <c r="H406" s="61"/>
      <c r="I406" s="69"/>
      <c r="J406" s="17"/>
      <c r="K406" s="18"/>
      <c r="L406" s="79"/>
      <c r="M406" s="80"/>
      <c r="N406" s="17"/>
      <c r="O406" s="19"/>
    </row>
    <row r="407" spans="1:19" ht="38.25" customHeight="1" x14ac:dyDescent="0.25">
      <c r="A407" s="285" t="s">
        <v>752</v>
      </c>
      <c r="B407" s="217" t="s">
        <v>753</v>
      </c>
      <c r="C407" s="17"/>
      <c r="D407" s="51">
        <f>SUM(D408:D409)</f>
        <v>87.899999999999991</v>
      </c>
      <c r="E407" s="51">
        <f>SUM(E408:E409)</f>
        <v>87.899999999999991</v>
      </c>
      <c r="F407" s="51">
        <f>SUM(F408:F409)</f>
        <v>85.8</v>
      </c>
      <c r="G407" s="51">
        <f>SUM(G408:G409)</f>
        <v>2.1</v>
      </c>
      <c r="H407" s="51">
        <f>SUM(H408:H409)</f>
        <v>2.1</v>
      </c>
      <c r="I407" s="54">
        <f t="shared" ref="I407:I410" si="52">SUM(F407/E407)</f>
        <v>0.97610921501706494</v>
      </c>
      <c r="J407" s="17" t="s">
        <v>705</v>
      </c>
      <c r="K407" s="18" t="s">
        <v>25</v>
      </c>
      <c r="L407" s="18">
        <v>100</v>
      </c>
      <c r="M407" s="125">
        <v>100</v>
      </c>
      <c r="N407" s="17" t="s">
        <v>754</v>
      </c>
      <c r="O407" s="19"/>
    </row>
    <row r="408" spans="1:19" x14ac:dyDescent="0.25">
      <c r="A408" s="286"/>
      <c r="B408" s="218"/>
      <c r="C408" s="22" t="s">
        <v>755</v>
      </c>
      <c r="D408" s="53">
        <v>73.599999999999994</v>
      </c>
      <c r="E408" s="53">
        <v>73.599999999999994</v>
      </c>
      <c r="F408" s="53">
        <v>71.5</v>
      </c>
      <c r="G408" s="53">
        <v>2.1</v>
      </c>
      <c r="H408" s="53">
        <v>2.1</v>
      </c>
      <c r="I408" s="54">
        <f t="shared" si="52"/>
        <v>0.97146739130434789</v>
      </c>
      <c r="J408" s="22"/>
      <c r="K408" s="24"/>
      <c r="L408" s="81"/>
      <c r="M408" s="82"/>
      <c r="N408" s="22"/>
      <c r="O408" s="25"/>
    </row>
    <row r="409" spans="1:19" ht="15.75" thickBot="1" x14ac:dyDescent="0.3">
      <c r="A409" s="287"/>
      <c r="B409" s="219"/>
      <c r="C409" s="22" t="s">
        <v>181</v>
      </c>
      <c r="D409" s="53">
        <v>14.3</v>
      </c>
      <c r="E409" s="53">
        <v>14.3</v>
      </c>
      <c r="F409" s="53">
        <v>14.3</v>
      </c>
      <c r="G409" s="53"/>
      <c r="H409" s="53"/>
      <c r="I409" s="68">
        <f t="shared" si="52"/>
        <v>1</v>
      </c>
      <c r="J409" s="22"/>
      <c r="K409" s="24"/>
      <c r="L409" s="81"/>
      <c r="M409" s="82"/>
      <c r="N409" s="22"/>
      <c r="O409" s="25"/>
    </row>
    <row r="410" spans="1:19" ht="26.25" thickBot="1" x14ac:dyDescent="0.3">
      <c r="A410" s="15" t="s">
        <v>756</v>
      </c>
      <c r="B410" s="16" t="s">
        <v>757</v>
      </c>
      <c r="C410" s="17" t="s">
        <v>26</v>
      </c>
      <c r="D410" s="61">
        <v>7.5</v>
      </c>
      <c r="E410" s="61">
        <v>7.5</v>
      </c>
      <c r="F410" s="61">
        <v>7.5</v>
      </c>
      <c r="G410" s="61"/>
      <c r="H410" s="61"/>
      <c r="I410" s="54">
        <f t="shared" si="52"/>
        <v>1</v>
      </c>
      <c r="J410" s="17" t="s">
        <v>758</v>
      </c>
      <c r="K410" s="18" t="s">
        <v>337</v>
      </c>
      <c r="L410" s="18">
        <v>20</v>
      </c>
      <c r="M410" s="139">
        <v>22</v>
      </c>
      <c r="N410" s="17" t="s">
        <v>759</v>
      </c>
      <c r="O410" s="19"/>
    </row>
    <row r="411" spans="1:19" ht="15.75" thickBot="1" x14ac:dyDescent="0.3">
      <c r="A411" s="4" t="s">
        <v>760</v>
      </c>
      <c r="B411" s="5" t="s">
        <v>761</v>
      </c>
      <c r="C411" s="6"/>
      <c r="D411" s="45">
        <f>SUM(D412:D412)</f>
        <v>9751.0999999999985</v>
      </c>
      <c r="E411" s="45">
        <f>SUM(E412:E412)</f>
        <v>9751.0999999999985</v>
      </c>
      <c r="F411" s="45">
        <f>SUM(F412:F412)</f>
        <v>9305.6</v>
      </c>
      <c r="G411" s="45">
        <f>SUM(G412:G412)</f>
        <v>445.5</v>
      </c>
      <c r="H411" s="45">
        <f>SUM(H412:H412)</f>
        <v>445.5</v>
      </c>
      <c r="I411" s="46">
        <f>SUM(F411/E411)</f>
        <v>0.95431284675575079</v>
      </c>
      <c r="J411" s="266"/>
      <c r="K411" s="267"/>
      <c r="L411" s="267"/>
      <c r="M411" s="272"/>
      <c r="N411" s="267"/>
      <c r="O411" s="268"/>
    </row>
    <row r="412" spans="1:19" ht="63.75" customHeight="1" x14ac:dyDescent="0.25">
      <c r="A412" s="293" t="s">
        <v>762</v>
      </c>
      <c r="B412" s="296" t="s">
        <v>763</v>
      </c>
      <c r="C412" s="9"/>
      <c r="D412" s="47">
        <f>D413+D414+D449+D462</f>
        <v>9751.0999999999985</v>
      </c>
      <c r="E412" s="47">
        <f>E413+E414+E449+E462</f>
        <v>9751.0999999999985</v>
      </c>
      <c r="F412" s="47">
        <f>F413+F414+F449+F462</f>
        <v>9305.6</v>
      </c>
      <c r="G412" s="47">
        <f>G413+G414+G449+G462</f>
        <v>445.5</v>
      </c>
      <c r="H412" s="47">
        <f>H413+H414+H449+H462</f>
        <v>445.5</v>
      </c>
      <c r="I412" s="48">
        <f>SUM(F412/E412)</f>
        <v>0.95431284675575079</v>
      </c>
      <c r="J412" s="9" t="s">
        <v>764</v>
      </c>
      <c r="K412" s="10" t="s">
        <v>337</v>
      </c>
      <c r="L412" s="89">
        <v>67</v>
      </c>
      <c r="M412" s="91">
        <v>67</v>
      </c>
      <c r="N412" s="299"/>
      <c r="O412" s="276"/>
      <c r="Q412" s="194"/>
      <c r="R412" s="195" t="s">
        <v>1</v>
      </c>
      <c r="S412" s="195" t="s">
        <v>1974</v>
      </c>
    </row>
    <row r="413" spans="1:19" ht="16.5" thickBot="1" x14ac:dyDescent="0.3">
      <c r="A413" s="295"/>
      <c r="B413" s="298"/>
      <c r="C413" s="35"/>
      <c r="D413" s="64"/>
      <c r="E413" s="64"/>
      <c r="F413" s="64"/>
      <c r="G413" s="64"/>
      <c r="H413" s="64"/>
      <c r="I413" s="65"/>
      <c r="J413" s="35" t="s">
        <v>765</v>
      </c>
      <c r="K413" s="36" t="s">
        <v>337</v>
      </c>
      <c r="L413" s="36">
        <v>18</v>
      </c>
      <c r="M413" s="88">
        <v>18</v>
      </c>
      <c r="N413" s="279"/>
      <c r="O413" s="280"/>
      <c r="Q413" s="196"/>
      <c r="R413" s="197" t="s">
        <v>1961</v>
      </c>
      <c r="S413" s="198">
        <v>4</v>
      </c>
    </row>
    <row r="414" spans="1:19" ht="32.25" thickBot="1" x14ac:dyDescent="0.3">
      <c r="A414" s="12" t="s">
        <v>766</v>
      </c>
      <c r="B414" s="13" t="s">
        <v>767</v>
      </c>
      <c r="C414" s="14"/>
      <c r="D414" s="49">
        <f>D415+D423+D428+D430+D433+D441+D448</f>
        <v>9142.2999999999993</v>
      </c>
      <c r="E414" s="49">
        <f>E415+E423+E428+E430+E433+E441+E448</f>
        <v>9142.2999999999993</v>
      </c>
      <c r="F414" s="49">
        <f>F415+F423+F428+F430+F433+F441+F448</f>
        <v>8773.7000000000007</v>
      </c>
      <c r="G414" s="49">
        <f>G415+G423+G428+G430+G433+G441+G448</f>
        <v>368.6</v>
      </c>
      <c r="H414" s="49">
        <f>H415+H423+H428+H430+H433+H441+H448</f>
        <v>368.6</v>
      </c>
      <c r="I414" s="66">
        <f>SUM(F414/E414)</f>
        <v>0.95968191811688541</v>
      </c>
      <c r="J414" s="263"/>
      <c r="K414" s="264"/>
      <c r="L414" s="264"/>
      <c r="M414" s="264"/>
      <c r="N414" s="264"/>
      <c r="O414" s="265"/>
      <c r="Q414" s="199"/>
      <c r="R414" s="197" t="s">
        <v>1962</v>
      </c>
      <c r="S414" s="198">
        <v>1</v>
      </c>
    </row>
    <row r="415" spans="1:19" ht="45" customHeight="1" x14ac:dyDescent="0.25">
      <c r="A415" s="285" t="s">
        <v>768</v>
      </c>
      <c r="B415" s="217" t="s">
        <v>769</v>
      </c>
      <c r="C415" s="17" t="s">
        <v>26</v>
      </c>
      <c r="D415" s="51">
        <f>SUM(D416:D422)+133</f>
        <v>133</v>
      </c>
      <c r="E415" s="51">
        <f>SUM(E416:E422)+133</f>
        <v>133</v>
      </c>
      <c r="F415" s="51">
        <f>SUM(F416:F422)+133</f>
        <v>133</v>
      </c>
      <c r="G415" s="51"/>
      <c r="H415" s="51"/>
      <c r="I415" s="54">
        <f t="shared" ref="I415" si="53">SUM(F415/E415)</f>
        <v>1</v>
      </c>
      <c r="J415" s="17" t="s">
        <v>770</v>
      </c>
      <c r="K415" s="18" t="s">
        <v>337</v>
      </c>
      <c r="L415" s="18">
        <v>255</v>
      </c>
      <c r="M415" s="139">
        <v>274</v>
      </c>
      <c r="N415" s="17" t="s">
        <v>771</v>
      </c>
      <c r="O415" s="19"/>
      <c r="Q415" s="200"/>
      <c r="R415" s="197" t="s">
        <v>1963</v>
      </c>
      <c r="S415" s="198">
        <v>4</v>
      </c>
    </row>
    <row r="416" spans="1:19" ht="41.25" customHeight="1" x14ac:dyDescent="0.25">
      <c r="A416" s="286"/>
      <c r="B416" s="218"/>
      <c r="C416" s="22"/>
      <c r="D416" s="53"/>
      <c r="E416" s="53"/>
      <c r="F416" s="53"/>
      <c r="G416" s="53"/>
      <c r="H416" s="53"/>
      <c r="I416" s="55"/>
      <c r="J416" s="22" t="s">
        <v>772</v>
      </c>
      <c r="K416" s="24" t="s">
        <v>337</v>
      </c>
      <c r="L416" s="24">
        <v>560</v>
      </c>
      <c r="M416" s="131">
        <v>564</v>
      </c>
      <c r="N416" s="22" t="s">
        <v>773</v>
      </c>
      <c r="O416" s="25"/>
      <c r="Q416" s="202"/>
      <c r="R416" s="197" t="s">
        <v>1964</v>
      </c>
      <c r="S416" s="198">
        <v>4</v>
      </c>
    </row>
    <row r="417" spans="1:19" ht="51" x14ac:dyDescent="0.25">
      <c r="A417" s="286"/>
      <c r="B417" s="218"/>
      <c r="C417" s="22"/>
      <c r="D417" s="53"/>
      <c r="E417" s="53"/>
      <c r="F417" s="53"/>
      <c r="G417" s="53"/>
      <c r="H417" s="53"/>
      <c r="I417" s="55"/>
      <c r="J417" s="22" t="s">
        <v>774</v>
      </c>
      <c r="K417" s="24" t="s">
        <v>337</v>
      </c>
      <c r="L417" s="24">
        <v>36</v>
      </c>
      <c r="M417" s="137">
        <v>25</v>
      </c>
      <c r="N417" s="22" t="s">
        <v>775</v>
      </c>
      <c r="O417" s="167"/>
      <c r="Q417" s="204"/>
      <c r="R417" s="197" t="s">
        <v>1965</v>
      </c>
      <c r="S417" s="201">
        <v>1</v>
      </c>
    </row>
    <row r="418" spans="1:19" ht="51" x14ac:dyDescent="0.25">
      <c r="A418" s="286"/>
      <c r="B418" s="218"/>
      <c r="C418" s="22"/>
      <c r="D418" s="53"/>
      <c r="E418" s="53"/>
      <c r="F418" s="53"/>
      <c r="G418" s="53"/>
      <c r="H418" s="53"/>
      <c r="I418" s="55"/>
      <c r="J418" s="22" t="s">
        <v>776</v>
      </c>
      <c r="K418" s="24" t="s">
        <v>337</v>
      </c>
      <c r="L418" s="24">
        <v>24</v>
      </c>
      <c r="M418" s="131">
        <v>37</v>
      </c>
      <c r="N418" s="22" t="s">
        <v>777</v>
      </c>
      <c r="O418" s="25"/>
      <c r="Q418" s="194"/>
      <c r="R418" s="205" t="s">
        <v>1966</v>
      </c>
      <c r="S418" s="201">
        <f>+SUM(S413:S417)</f>
        <v>14</v>
      </c>
    </row>
    <row r="419" spans="1:19" ht="38.25" x14ac:dyDescent="0.25">
      <c r="A419" s="286"/>
      <c r="B419" s="218"/>
      <c r="C419" s="22"/>
      <c r="D419" s="53"/>
      <c r="E419" s="53"/>
      <c r="F419" s="53"/>
      <c r="G419" s="53"/>
      <c r="H419" s="53"/>
      <c r="I419" s="55"/>
      <c r="J419" s="22" t="s">
        <v>778</v>
      </c>
      <c r="K419" s="24" t="s">
        <v>337</v>
      </c>
      <c r="L419" s="24">
        <v>30</v>
      </c>
      <c r="M419" s="131">
        <v>52</v>
      </c>
      <c r="N419" s="22" t="s">
        <v>779</v>
      </c>
      <c r="O419" s="25"/>
    </row>
    <row r="420" spans="1:19" ht="33" customHeight="1" x14ac:dyDescent="0.25">
      <c r="A420" s="286"/>
      <c r="B420" s="218"/>
      <c r="C420" s="22"/>
      <c r="D420" s="53"/>
      <c r="E420" s="53"/>
      <c r="F420" s="53"/>
      <c r="G420" s="53"/>
      <c r="H420" s="53"/>
      <c r="I420" s="55"/>
      <c r="J420" s="22" t="s">
        <v>780</v>
      </c>
      <c r="K420" s="24" t="s">
        <v>337</v>
      </c>
      <c r="L420" s="24">
        <v>125</v>
      </c>
      <c r="M420" s="155">
        <v>52</v>
      </c>
      <c r="N420" s="22"/>
      <c r="O420" s="25" t="s">
        <v>781</v>
      </c>
    </row>
    <row r="421" spans="1:19" ht="30.75" customHeight="1" x14ac:dyDescent="0.25">
      <c r="A421" s="286"/>
      <c r="B421" s="218"/>
      <c r="C421" s="22"/>
      <c r="D421" s="53"/>
      <c r="E421" s="53"/>
      <c r="F421" s="53"/>
      <c r="G421" s="53"/>
      <c r="H421" s="53"/>
      <c r="I421" s="55"/>
      <c r="J421" s="22" t="s">
        <v>782</v>
      </c>
      <c r="K421" s="24" t="s">
        <v>337</v>
      </c>
      <c r="L421" s="24">
        <v>193</v>
      </c>
      <c r="M421" s="137">
        <v>151</v>
      </c>
      <c r="N421" s="22"/>
      <c r="O421" s="25" t="s">
        <v>783</v>
      </c>
    </row>
    <row r="422" spans="1:19" ht="26.25" thickBot="1" x14ac:dyDescent="0.3">
      <c r="A422" s="287"/>
      <c r="B422" s="219"/>
      <c r="C422" s="22"/>
      <c r="D422" s="53"/>
      <c r="E422" s="53"/>
      <c r="F422" s="53"/>
      <c r="G422" s="53"/>
      <c r="H422" s="53"/>
      <c r="I422" s="67"/>
      <c r="J422" s="22" t="s">
        <v>784</v>
      </c>
      <c r="K422" s="24" t="s">
        <v>337</v>
      </c>
      <c r="L422" s="24">
        <v>175</v>
      </c>
      <c r="M422" s="131">
        <v>299</v>
      </c>
      <c r="N422" s="22" t="s">
        <v>785</v>
      </c>
      <c r="O422" s="25"/>
    </row>
    <row r="423" spans="1:19" ht="246.75" customHeight="1" x14ac:dyDescent="0.25">
      <c r="A423" s="285" t="s">
        <v>786</v>
      </c>
      <c r="B423" s="217" t="s">
        <v>787</v>
      </c>
      <c r="C423" s="17" t="s">
        <v>26</v>
      </c>
      <c r="D423" s="51">
        <f>SUM(D424:D427)+299.9</f>
        <v>299.89999999999998</v>
      </c>
      <c r="E423" s="51">
        <f>SUM(E424:E427)+299.9</f>
        <v>299.89999999999998</v>
      </c>
      <c r="F423" s="51">
        <f>SUM(F424:F427)+299.9</f>
        <v>299.89999999999998</v>
      </c>
      <c r="G423" s="51"/>
      <c r="H423" s="51"/>
      <c r="I423" s="54">
        <f t="shared" ref="I423" si="54">SUM(F423/E423)</f>
        <v>1</v>
      </c>
      <c r="J423" s="17" t="s">
        <v>788</v>
      </c>
      <c r="K423" s="18" t="s">
        <v>337</v>
      </c>
      <c r="L423" s="18">
        <v>14</v>
      </c>
      <c r="M423" s="139">
        <v>15</v>
      </c>
      <c r="N423" s="17" t="s">
        <v>789</v>
      </c>
      <c r="O423" s="19"/>
    </row>
    <row r="424" spans="1:19" ht="206.25" customHeight="1" x14ac:dyDescent="0.25">
      <c r="A424" s="286"/>
      <c r="B424" s="218"/>
      <c r="C424" s="22"/>
      <c r="D424" s="53"/>
      <c r="E424" s="53"/>
      <c r="F424" s="53"/>
      <c r="G424" s="53"/>
      <c r="H424" s="53"/>
      <c r="I424" s="55"/>
      <c r="J424" s="22" t="s">
        <v>790</v>
      </c>
      <c r="K424" s="24" t="s">
        <v>337</v>
      </c>
      <c r="L424" s="24">
        <v>8</v>
      </c>
      <c r="M424" s="131">
        <v>9</v>
      </c>
      <c r="N424" s="22" t="s">
        <v>791</v>
      </c>
      <c r="O424" s="25"/>
    </row>
    <row r="425" spans="1:19" ht="193.5" customHeight="1" x14ac:dyDescent="0.25">
      <c r="A425" s="286"/>
      <c r="B425" s="218"/>
      <c r="C425" s="22"/>
      <c r="D425" s="53"/>
      <c r="E425" s="53"/>
      <c r="F425" s="53"/>
      <c r="G425" s="53"/>
      <c r="H425" s="53"/>
      <c r="I425" s="55"/>
      <c r="J425" s="22" t="s">
        <v>792</v>
      </c>
      <c r="K425" s="24" t="s">
        <v>337</v>
      </c>
      <c r="L425" s="24">
        <v>10</v>
      </c>
      <c r="M425" s="130">
        <v>10</v>
      </c>
      <c r="N425" s="22" t="s">
        <v>793</v>
      </c>
      <c r="O425" s="25"/>
    </row>
    <row r="426" spans="1:19" ht="140.25" x14ac:dyDescent="0.25">
      <c r="A426" s="286"/>
      <c r="B426" s="218"/>
      <c r="C426" s="22"/>
      <c r="D426" s="53"/>
      <c r="E426" s="53"/>
      <c r="F426" s="53"/>
      <c r="G426" s="53"/>
      <c r="H426" s="53"/>
      <c r="I426" s="55"/>
      <c r="J426" s="22" t="s">
        <v>794</v>
      </c>
      <c r="K426" s="24" t="s">
        <v>337</v>
      </c>
      <c r="L426" s="24">
        <v>7</v>
      </c>
      <c r="M426" s="137">
        <v>5</v>
      </c>
      <c r="N426" s="22" t="s">
        <v>795</v>
      </c>
      <c r="O426" s="167"/>
    </row>
    <row r="427" spans="1:19" ht="26.25" thickBot="1" x14ac:dyDescent="0.3">
      <c r="A427" s="287"/>
      <c r="B427" s="219"/>
      <c r="C427" s="22"/>
      <c r="D427" s="53"/>
      <c r="E427" s="53"/>
      <c r="F427" s="53"/>
      <c r="G427" s="53"/>
      <c r="H427" s="53"/>
      <c r="I427" s="67"/>
      <c r="J427" s="22" t="s">
        <v>796</v>
      </c>
      <c r="K427" s="24" t="s">
        <v>337</v>
      </c>
      <c r="L427" s="24">
        <v>88</v>
      </c>
      <c r="M427" s="137">
        <v>82</v>
      </c>
      <c r="N427" s="22"/>
      <c r="O427" s="25" t="s">
        <v>797</v>
      </c>
    </row>
    <row r="428" spans="1:19" ht="114.75" x14ac:dyDescent="0.25">
      <c r="A428" s="285" t="s">
        <v>798</v>
      </c>
      <c r="B428" s="217" t="s">
        <v>799</v>
      </c>
      <c r="C428" s="17"/>
      <c r="D428" s="51">
        <f>SUM(D429:D429)</f>
        <v>786.7</v>
      </c>
      <c r="E428" s="51">
        <f>SUM(E429:E429)</f>
        <v>786.7</v>
      </c>
      <c r="F428" s="51">
        <f>SUM(F429:F429)</f>
        <v>786.7</v>
      </c>
      <c r="G428" s="51"/>
      <c r="H428" s="51"/>
      <c r="I428" s="54">
        <f t="shared" ref="I428:I430" si="55">SUM(F428/E428)</f>
        <v>1</v>
      </c>
      <c r="J428" s="17" t="s">
        <v>800</v>
      </c>
      <c r="K428" s="18" t="s">
        <v>337</v>
      </c>
      <c r="L428" s="18">
        <v>8</v>
      </c>
      <c r="M428" s="135">
        <v>7</v>
      </c>
      <c r="N428" s="17" t="s">
        <v>801</v>
      </c>
      <c r="O428" s="19" t="s">
        <v>1874</v>
      </c>
    </row>
    <row r="429" spans="1:19" ht="39" thickBot="1" x14ac:dyDescent="0.3">
      <c r="A429" s="287"/>
      <c r="B429" s="219"/>
      <c r="C429" s="22" t="s">
        <v>26</v>
      </c>
      <c r="D429" s="53">
        <v>786.7</v>
      </c>
      <c r="E429" s="53">
        <v>786.7</v>
      </c>
      <c r="F429" s="53">
        <v>786.7</v>
      </c>
      <c r="G429" s="53"/>
      <c r="H429" s="53"/>
      <c r="I429" s="68">
        <f t="shared" si="55"/>
        <v>1</v>
      </c>
      <c r="J429" s="22" t="s">
        <v>802</v>
      </c>
      <c r="K429" s="24" t="s">
        <v>337</v>
      </c>
      <c r="L429" s="81">
        <v>2650</v>
      </c>
      <c r="M429" s="120">
        <v>2900</v>
      </c>
      <c r="N429" s="22" t="s">
        <v>803</v>
      </c>
      <c r="O429" s="25"/>
    </row>
    <row r="430" spans="1:19" ht="38.25" customHeight="1" x14ac:dyDescent="0.25">
      <c r="A430" s="285" t="s">
        <v>804</v>
      </c>
      <c r="B430" s="217" t="s">
        <v>805</v>
      </c>
      <c r="C430" s="17" t="s">
        <v>26</v>
      </c>
      <c r="D430" s="51">
        <f>SUM(D431:D432)+53</f>
        <v>53</v>
      </c>
      <c r="E430" s="51">
        <f>SUM(E431:E432)+53</f>
        <v>53</v>
      </c>
      <c r="F430" s="51">
        <f>SUM(F431:F432)+53</f>
        <v>53</v>
      </c>
      <c r="G430" s="51"/>
      <c r="H430" s="51"/>
      <c r="I430" s="54">
        <f t="shared" si="55"/>
        <v>1</v>
      </c>
      <c r="J430" s="17" t="s">
        <v>806</v>
      </c>
      <c r="K430" s="18" t="s">
        <v>337</v>
      </c>
      <c r="L430" s="18">
        <v>20</v>
      </c>
      <c r="M430" s="139">
        <v>48</v>
      </c>
      <c r="N430" s="17" t="s">
        <v>807</v>
      </c>
      <c r="O430" s="19"/>
    </row>
    <row r="431" spans="1:19" ht="140.25" x14ac:dyDescent="0.25">
      <c r="A431" s="286"/>
      <c r="B431" s="218"/>
      <c r="C431" s="22"/>
      <c r="D431" s="53"/>
      <c r="E431" s="53"/>
      <c r="F431" s="53"/>
      <c r="G431" s="53"/>
      <c r="H431" s="53"/>
      <c r="I431" s="55"/>
      <c r="J431" s="22" t="s">
        <v>808</v>
      </c>
      <c r="K431" s="24" t="s">
        <v>337</v>
      </c>
      <c r="L431" s="24">
        <v>10</v>
      </c>
      <c r="M431" s="130">
        <v>10</v>
      </c>
      <c r="N431" s="22" t="s">
        <v>809</v>
      </c>
      <c r="O431" s="25"/>
    </row>
    <row r="432" spans="1:19" ht="26.25" thickBot="1" x14ac:dyDescent="0.3">
      <c r="A432" s="287"/>
      <c r="B432" s="219"/>
      <c r="C432" s="22"/>
      <c r="D432" s="53"/>
      <c r="E432" s="53"/>
      <c r="F432" s="53"/>
      <c r="G432" s="53"/>
      <c r="H432" s="53"/>
      <c r="I432" s="67"/>
      <c r="J432" s="22" t="s">
        <v>810</v>
      </c>
      <c r="K432" s="24" t="s">
        <v>337</v>
      </c>
      <c r="L432" s="24">
        <v>12</v>
      </c>
      <c r="M432" s="131">
        <v>26</v>
      </c>
      <c r="N432" s="22" t="s">
        <v>811</v>
      </c>
      <c r="O432" s="25"/>
    </row>
    <row r="433" spans="1:15" ht="38.25" x14ac:dyDescent="0.25">
      <c r="A433" s="285" t="s">
        <v>812</v>
      </c>
      <c r="B433" s="217" t="s">
        <v>813</v>
      </c>
      <c r="C433" s="17"/>
      <c r="D433" s="51">
        <f>D434+D435+D436+D437+D439</f>
        <v>2203.8000000000002</v>
      </c>
      <c r="E433" s="51">
        <f>E434+E435+E436+E437+E439</f>
        <v>2203.8000000000002</v>
      </c>
      <c r="F433" s="51">
        <f>F434+F435+F436+F437+F439</f>
        <v>2167.9</v>
      </c>
      <c r="G433" s="51">
        <f>G434+G435+G436+G437+G439</f>
        <v>35.9</v>
      </c>
      <c r="H433" s="51">
        <f>H434+H435+H436+H437+H439</f>
        <v>35.9</v>
      </c>
      <c r="I433" s="54">
        <f t="shared" ref="I433" si="56">SUM(F433/E433)</f>
        <v>0.98370995553135487</v>
      </c>
      <c r="J433" s="17" t="s">
        <v>814</v>
      </c>
      <c r="K433" s="18" t="s">
        <v>337</v>
      </c>
      <c r="L433" s="18">
        <v>3</v>
      </c>
      <c r="M433" s="125">
        <v>3</v>
      </c>
      <c r="N433" s="17" t="s">
        <v>815</v>
      </c>
      <c r="O433" s="19"/>
    </row>
    <row r="434" spans="1:15" ht="25.5" x14ac:dyDescent="0.25">
      <c r="A434" s="286"/>
      <c r="B434" s="218"/>
      <c r="C434" s="22"/>
      <c r="D434" s="53"/>
      <c r="E434" s="53"/>
      <c r="F434" s="53"/>
      <c r="G434" s="53"/>
      <c r="H434" s="53"/>
      <c r="I434" s="55"/>
      <c r="J434" s="22" t="s">
        <v>816</v>
      </c>
      <c r="K434" s="24" t="s">
        <v>337</v>
      </c>
      <c r="L434" s="24">
        <v>660</v>
      </c>
      <c r="M434" s="131">
        <v>738</v>
      </c>
      <c r="N434" s="22" t="s">
        <v>817</v>
      </c>
      <c r="O434" s="25"/>
    </row>
    <row r="435" spans="1:15" ht="25.5" x14ac:dyDescent="0.25">
      <c r="A435" s="286"/>
      <c r="B435" s="218"/>
      <c r="C435" s="22"/>
      <c r="D435" s="53"/>
      <c r="E435" s="53"/>
      <c r="F435" s="53"/>
      <c r="G435" s="53"/>
      <c r="H435" s="53"/>
      <c r="I435" s="55"/>
      <c r="J435" s="22" t="s">
        <v>818</v>
      </c>
      <c r="K435" s="24" t="s">
        <v>337</v>
      </c>
      <c r="L435" s="24">
        <v>1</v>
      </c>
      <c r="M435" s="130">
        <v>1</v>
      </c>
      <c r="N435" s="22" t="s">
        <v>819</v>
      </c>
      <c r="O435" s="25"/>
    </row>
    <row r="436" spans="1:15" ht="26.25" thickBot="1" x14ac:dyDescent="0.3">
      <c r="A436" s="287"/>
      <c r="B436" s="219"/>
      <c r="C436" s="22"/>
      <c r="D436" s="53"/>
      <c r="E436" s="53"/>
      <c r="F436" s="53"/>
      <c r="G436" s="53"/>
      <c r="H436" s="53"/>
      <c r="I436" s="67"/>
      <c r="J436" s="22" t="s">
        <v>820</v>
      </c>
      <c r="K436" s="24" t="s">
        <v>337</v>
      </c>
      <c r="L436" s="24">
        <v>560</v>
      </c>
      <c r="M436" s="131">
        <v>600</v>
      </c>
      <c r="N436" s="22" t="s">
        <v>821</v>
      </c>
      <c r="O436" s="25"/>
    </row>
    <row r="437" spans="1:15" ht="38.25" x14ac:dyDescent="0.25">
      <c r="A437" s="285" t="s">
        <v>822</v>
      </c>
      <c r="B437" s="217" t="s">
        <v>823</v>
      </c>
      <c r="C437" s="17" t="s">
        <v>26</v>
      </c>
      <c r="D437" s="51">
        <f>SUM(D438:D438)+1274.7</f>
        <v>1274.7</v>
      </c>
      <c r="E437" s="51">
        <f>SUM(E438:E438)+1274.7</f>
        <v>1274.7</v>
      </c>
      <c r="F437" s="51">
        <f>SUM(F438:F438)+1274.7</f>
        <v>1274.7</v>
      </c>
      <c r="G437" s="51"/>
      <c r="H437" s="51"/>
      <c r="I437" s="54">
        <f t="shared" ref="I437" si="57">SUM(F437/E437)</f>
        <v>1</v>
      </c>
      <c r="J437" s="17" t="s">
        <v>814</v>
      </c>
      <c r="K437" s="18" t="s">
        <v>337</v>
      </c>
      <c r="L437" s="18">
        <v>3</v>
      </c>
      <c r="M437" s="125">
        <v>3</v>
      </c>
      <c r="N437" s="17" t="s">
        <v>815</v>
      </c>
      <c r="O437" s="19"/>
    </row>
    <row r="438" spans="1:15" ht="26.25" thickBot="1" x14ac:dyDescent="0.3">
      <c r="A438" s="287"/>
      <c r="B438" s="219"/>
      <c r="C438" s="22"/>
      <c r="D438" s="53"/>
      <c r="E438" s="53"/>
      <c r="F438" s="53"/>
      <c r="G438" s="53"/>
      <c r="H438" s="53"/>
      <c r="I438" s="67"/>
      <c r="J438" s="22" t="s">
        <v>816</v>
      </c>
      <c r="K438" s="24" t="s">
        <v>337</v>
      </c>
      <c r="L438" s="24">
        <v>660</v>
      </c>
      <c r="M438" s="131">
        <v>738</v>
      </c>
      <c r="N438" s="22" t="s">
        <v>817</v>
      </c>
      <c r="O438" s="25"/>
    </row>
    <row r="439" spans="1:15" ht="25.5" x14ac:dyDescent="0.25">
      <c r="A439" s="285" t="s">
        <v>824</v>
      </c>
      <c r="B439" s="217" t="s">
        <v>825</v>
      </c>
      <c r="C439" s="17" t="s">
        <v>26</v>
      </c>
      <c r="D439" s="51">
        <f>SUM(D440:D440)+929.1</f>
        <v>929.1</v>
      </c>
      <c r="E439" s="51">
        <f>SUM(E440:E440)+929.1</f>
        <v>929.1</v>
      </c>
      <c r="F439" s="51">
        <f>SUM(F440:F440)+893.2</f>
        <v>893.2</v>
      </c>
      <c r="G439" s="51">
        <f>SUM(G440:G440)+35.9</f>
        <v>35.9</v>
      </c>
      <c r="H439" s="51">
        <f>SUM(H440:H440)+35.9</f>
        <v>35.9</v>
      </c>
      <c r="I439" s="54">
        <f t="shared" ref="I439" si="58">SUM(F439/E439)</f>
        <v>0.96136045635561296</v>
      </c>
      <c r="J439" s="17" t="s">
        <v>818</v>
      </c>
      <c r="K439" s="18" t="s">
        <v>337</v>
      </c>
      <c r="L439" s="18">
        <v>1</v>
      </c>
      <c r="M439" s="125">
        <v>1</v>
      </c>
      <c r="N439" s="17" t="s">
        <v>819</v>
      </c>
      <c r="O439" s="19"/>
    </row>
    <row r="440" spans="1:15" ht="26.25" thickBot="1" x14ac:dyDescent="0.3">
      <c r="A440" s="287"/>
      <c r="B440" s="219"/>
      <c r="C440" s="22"/>
      <c r="D440" s="53"/>
      <c r="E440" s="53"/>
      <c r="F440" s="53"/>
      <c r="G440" s="53"/>
      <c r="H440" s="53"/>
      <c r="I440" s="67"/>
      <c r="J440" s="22" t="s">
        <v>820</v>
      </c>
      <c r="K440" s="24" t="s">
        <v>337</v>
      </c>
      <c r="L440" s="24">
        <v>560</v>
      </c>
      <c r="M440" s="131">
        <v>600</v>
      </c>
      <c r="N440" s="22" t="s">
        <v>821</v>
      </c>
      <c r="O440" s="25"/>
    </row>
    <row r="441" spans="1:15" ht="25.5" x14ac:dyDescent="0.25">
      <c r="A441" s="285" t="s">
        <v>826</v>
      </c>
      <c r="B441" s="217" t="s">
        <v>827</v>
      </c>
      <c r="C441" s="17"/>
      <c r="D441" s="51">
        <f>SUM(D442:D447)</f>
        <v>5632.9</v>
      </c>
      <c r="E441" s="51">
        <f>SUM(E442:E447)</f>
        <v>5632.9</v>
      </c>
      <c r="F441" s="51">
        <f>SUM(F442:F447)</f>
        <v>5300.2000000000007</v>
      </c>
      <c r="G441" s="51">
        <f>SUM(G442:G447)</f>
        <v>332.70000000000005</v>
      </c>
      <c r="H441" s="51">
        <f>SUM(H442:H447)</f>
        <v>332.70000000000005</v>
      </c>
      <c r="I441" s="54">
        <f t="shared" ref="I441:I448" si="59">SUM(F441/E441)</f>
        <v>0.94093628503967774</v>
      </c>
      <c r="J441" s="17" t="s">
        <v>828</v>
      </c>
      <c r="K441" s="18" t="s">
        <v>337</v>
      </c>
      <c r="L441" s="79">
        <v>2925</v>
      </c>
      <c r="M441" s="126">
        <v>2845</v>
      </c>
      <c r="N441" s="17" t="s">
        <v>829</v>
      </c>
      <c r="O441" s="166"/>
    </row>
    <row r="442" spans="1:15" ht="25.5" x14ac:dyDescent="0.25">
      <c r="A442" s="286"/>
      <c r="B442" s="218"/>
      <c r="C442" s="22" t="s">
        <v>168</v>
      </c>
      <c r="D442" s="53">
        <v>139.4</v>
      </c>
      <c r="E442" s="53">
        <v>139.4</v>
      </c>
      <c r="F442" s="53">
        <v>83.8</v>
      </c>
      <c r="G442" s="53">
        <v>55.6</v>
      </c>
      <c r="H442" s="53">
        <v>55.6</v>
      </c>
      <c r="I442" s="54">
        <f t="shared" si="59"/>
        <v>0.60114777618364412</v>
      </c>
      <c r="J442" s="22" t="s">
        <v>780</v>
      </c>
      <c r="K442" s="24" t="s">
        <v>337</v>
      </c>
      <c r="L442" s="24">
        <v>47</v>
      </c>
      <c r="M442" s="131">
        <v>52</v>
      </c>
      <c r="N442" s="22" t="s">
        <v>830</v>
      </c>
      <c r="O442" s="25"/>
    </row>
    <row r="443" spans="1:15" ht="25.5" x14ac:dyDescent="0.25">
      <c r="A443" s="286"/>
      <c r="B443" s="218"/>
      <c r="C443" s="22" t="s">
        <v>165</v>
      </c>
      <c r="D443" s="53">
        <v>237.5</v>
      </c>
      <c r="E443" s="53">
        <v>237.5</v>
      </c>
      <c r="F443" s="53">
        <v>130.19999999999999</v>
      </c>
      <c r="G443" s="53">
        <v>107.3</v>
      </c>
      <c r="H443" s="53">
        <v>107.3</v>
      </c>
      <c r="I443" s="54">
        <f t="shared" si="59"/>
        <v>0.54821052631578937</v>
      </c>
      <c r="J443" s="22" t="s">
        <v>782</v>
      </c>
      <c r="K443" s="24" t="s">
        <v>337</v>
      </c>
      <c r="L443" s="24">
        <v>163</v>
      </c>
      <c r="M443" s="137">
        <v>151</v>
      </c>
      <c r="N443" s="22"/>
      <c r="O443" s="25" t="s">
        <v>831</v>
      </c>
    </row>
    <row r="444" spans="1:15" x14ac:dyDescent="0.25">
      <c r="A444" s="286"/>
      <c r="B444" s="218"/>
      <c r="C444" s="22" t="s">
        <v>30</v>
      </c>
      <c r="D444" s="53">
        <v>101.5</v>
      </c>
      <c r="E444" s="53">
        <v>101.5</v>
      </c>
      <c r="F444" s="53">
        <v>101.5</v>
      </c>
      <c r="G444" s="53"/>
      <c r="H444" s="53"/>
      <c r="I444" s="54">
        <f t="shared" si="59"/>
        <v>1</v>
      </c>
      <c r="J444" s="22"/>
      <c r="K444" s="24"/>
      <c r="L444" s="81"/>
      <c r="M444" s="82"/>
      <c r="N444" s="22"/>
      <c r="O444" s="25"/>
    </row>
    <row r="445" spans="1:15" x14ac:dyDescent="0.25">
      <c r="A445" s="286"/>
      <c r="B445" s="218"/>
      <c r="C445" s="22" t="s">
        <v>171</v>
      </c>
      <c r="D445" s="53">
        <v>579.5</v>
      </c>
      <c r="E445" s="53">
        <v>579.5</v>
      </c>
      <c r="F445" s="53">
        <v>556.1</v>
      </c>
      <c r="G445" s="53">
        <v>23.4</v>
      </c>
      <c r="H445" s="53">
        <v>23.4</v>
      </c>
      <c r="I445" s="54">
        <f t="shared" si="59"/>
        <v>0.95962036238136328</v>
      </c>
      <c r="J445" s="22"/>
      <c r="K445" s="24"/>
      <c r="L445" s="81"/>
      <c r="M445" s="82"/>
      <c r="N445" s="22"/>
      <c r="O445" s="25"/>
    </row>
    <row r="446" spans="1:15" x14ac:dyDescent="0.25">
      <c r="A446" s="286"/>
      <c r="B446" s="218"/>
      <c r="C446" s="22" t="s">
        <v>26</v>
      </c>
      <c r="D446" s="53">
        <v>4506.8999999999996</v>
      </c>
      <c r="E446" s="53">
        <v>4506.8999999999996</v>
      </c>
      <c r="F446" s="53">
        <v>4428.6000000000004</v>
      </c>
      <c r="G446" s="53">
        <v>78.3</v>
      </c>
      <c r="H446" s="53">
        <v>78.3</v>
      </c>
      <c r="I446" s="54">
        <f t="shared" si="59"/>
        <v>0.9826266391532984</v>
      </c>
      <c r="J446" s="22"/>
      <c r="K446" s="24"/>
      <c r="L446" s="81"/>
      <c r="M446" s="82"/>
      <c r="N446" s="22"/>
      <c r="O446" s="25"/>
    </row>
    <row r="447" spans="1:15" ht="15.75" thickBot="1" x14ac:dyDescent="0.3">
      <c r="A447" s="287"/>
      <c r="B447" s="219"/>
      <c r="C447" s="22" t="s">
        <v>178</v>
      </c>
      <c r="D447" s="53">
        <v>68.099999999999994</v>
      </c>
      <c r="E447" s="53">
        <v>68.099999999999994</v>
      </c>
      <c r="F447" s="53"/>
      <c r="G447" s="53">
        <v>68.099999999999994</v>
      </c>
      <c r="H447" s="53">
        <v>68.099999999999994</v>
      </c>
      <c r="I447" s="68">
        <f t="shared" si="59"/>
        <v>0</v>
      </c>
      <c r="J447" s="22"/>
      <c r="K447" s="24"/>
      <c r="L447" s="81"/>
      <c r="M447" s="82"/>
      <c r="N447" s="22"/>
      <c r="O447" s="25"/>
    </row>
    <row r="448" spans="1:15" ht="51.75" thickBot="1" x14ac:dyDescent="0.3">
      <c r="A448" s="15" t="s">
        <v>832</v>
      </c>
      <c r="B448" s="16" t="s">
        <v>833</v>
      </c>
      <c r="C448" s="17" t="s">
        <v>26</v>
      </c>
      <c r="D448" s="61">
        <v>33</v>
      </c>
      <c r="E448" s="61">
        <v>33</v>
      </c>
      <c r="F448" s="61">
        <v>33</v>
      </c>
      <c r="G448" s="61"/>
      <c r="H448" s="61"/>
      <c r="I448" s="54">
        <f t="shared" si="59"/>
        <v>1</v>
      </c>
      <c r="J448" s="17" t="s">
        <v>834</v>
      </c>
      <c r="K448" s="18" t="s">
        <v>337</v>
      </c>
      <c r="L448" s="18">
        <v>270</v>
      </c>
      <c r="M448" s="139">
        <v>330</v>
      </c>
      <c r="N448" s="17" t="s">
        <v>835</v>
      </c>
      <c r="O448" s="19"/>
    </row>
    <row r="449" spans="1:15" ht="26.25" thickBot="1" x14ac:dyDescent="0.3">
      <c r="A449" s="12" t="s">
        <v>836</v>
      </c>
      <c r="B449" s="13" t="s">
        <v>837</v>
      </c>
      <c r="C449" s="14"/>
      <c r="D449" s="49">
        <f>D450+D453+D454+D455+D458+D459+D460</f>
        <v>480.40000000000003</v>
      </c>
      <c r="E449" s="49">
        <f>E450+E453+E454+E455+E458+E459+E460</f>
        <v>480.40000000000003</v>
      </c>
      <c r="F449" s="49">
        <f>F450+F453+F454+F455+F458+F459+F460</f>
        <v>403.5</v>
      </c>
      <c r="G449" s="49">
        <f>G450+G453+G454+G455+G458+G459+G460</f>
        <v>76.899999999999991</v>
      </c>
      <c r="H449" s="49">
        <f>H450+H453+H454+H455+H458+H459+H460</f>
        <v>76.899999999999991</v>
      </c>
      <c r="I449" s="66">
        <f>SUM(F449/E449)</f>
        <v>0.83992506244795995</v>
      </c>
      <c r="J449" s="263"/>
      <c r="K449" s="264"/>
      <c r="L449" s="264"/>
      <c r="M449" s="264"/>
      <c r="N449" s="264"/>
      <c r="O449" s="265"/>
    </row>
    <row r="450" spans="1:15" ht="51" x14ac:dyDescent="0.25">
      <c r="A450" s="304" t="s">
        <v>838</v>
      </c>
      <c r="B450" s="217" t="s">
        <v>839</v>
      </c>
      <c r="C450" s="17"/>
      <c r="D450" s="51">
        <f>SUM(D451:D452)</f>
        <v>217.1</v>
      </c>
      <c r="E450" s="51">
        <f>SUM(E451:E452)</f>
        <v>217.1</v>
      </c>
      <c r="F450" s="51">
        <f>SUM(F451:F452)</f>
        <v>217.1</v>
      </c>
      <c r="G450" s="51"/>
      <c r="H450" s="51"/>
      <c r="I450" s="54">
        <f t="shared" ref="I450:I452" si="60">SUM(F450/E450)</f>
        <v>1</v>
      </c>
      <c r="J450" s="17" t="s">
        <v>840</v>
      </c>
      <c r="K450" s="18" t="s">
        <v>25</v>
      </c>
      <c r="L450" s="18">
        <v>10</v>
      </c>
      <c r="M450" s="136">
        <v>4</v>
      </c>
      <c r="N450" s="17" t="s">
        <v>841</v>
      </c>
      <c r="O450" s="19" t="s">
        <v>1788</v>
      </c>
    </row>
    <row r="451" spans="1:15" x14ac:dyDescent="0.25">
      <c r="A451" s="305"/>
      <c r="B451" s="218"/>
      <c r="C451" s="22" t="s">
        <v>842</v>
      </c>
      <c r="D451" s="53">
        <v>213.6</v>
      </c>
      <c r="E451" s="53">
        <v>213.6</v>
      </c>
      <c r="F451" s="53">
        <v>213.6</v>
      </c>
      <c r="G451" s="53"/>
      <c r="H451" s="53"/>
      <c r="I451" s="54">
        <f t="shared" si="60"/>
        <v>1</v>
      </c>
      <c r="J451" s="22"/>
      <c r="K451" s="24"/>
      <c r="L451" s="81"/>
      <c r="M451" s="82"/>
      <c r="N451" s="22"/>
      <c r="O451" s="25"/>
    </row>
    <row r="452" spans="1:15" ht="15.75" thickBot="1" x14ac:dyDescent="0.3">
      <c r="A452" s="306"/>
      <c r="B452" s="219"/>
      <c r="C452" s="22" t="s">
        <v>26</v>
      </c>
      <c r="D452" s="53">
        <v>3.5</v>
      </c>
      <c r="E452" s="53">
        <v>3.5</v>
      </c>
      <c r="F452" s="53">
        <v>3.5</v>
      </c>
      <c r="G452" s="53"/>
      <c r="H452" s="53"/>
      <c r="I452" s="54">
        <f t="shared" si="60"/>
        <v>1</v>
      </c>
      <c r="J452" s="22"/>
      <c r="K452" s="24"/>
      <c r="L452" s="81"/>
      <c r="M452" s="82"/>
      <c r="N452" s="22"/>
      <c r="O452" s="25"/>
    </row>
    <row r="453" spans="1:15" ht="26.25" thickBot="1" x14ac:dyDescent="0.3">
      <c r="A453" s="15" t="s">
        <v>843</v>
      </c>
      <c r="B453" s="16" t="s">
        <v>844</v>
      </c>
      <c r="C453" s="17"/>
      <c r="D453" s="61"/>
      <c r="E453" s="61"/>
      <c r="F453" s="61"/>
      <c r="G453" s="61"/>
      <c r="H453" s="61"/>
      <c r="I453" s="70"/>
      <c r="J453" s="17"/>
      <c r="K453" s="18"/>
      <c r="L453" s="79"/>
      <c r="M453" s="80"/>
      <c r="N453" s="17"/>
      <c r="O453" s="19"/>
    </row>
    <row r="454" spans="1:15" ht="39" thickBot="1" x14ac:dyDescent="0.3">
      <c r="A454" s="15" t="s">
        <v>845</v>
      </c>
      <c r="B454" s="16" t="s">
        <v>846</v>
      </c>
      <c r="C454" s="17" t="s">
        <v>26</v>
      </c>
      <c r="D454" s="61"/>
      <c r="E454" s="61"/>
      <c r="F454" s="61"/>
      <c r="G454" s="61"/>
      <c r="H454" s="61"/>
      <c r="I454" s="69"/>
      <c r="J454" s="17" t="s">
        <v>847</v>
      </c>
      <c r="K454" s="18" t="s">
        <v>19</v>
      </c>
      <c r="L454" s="18">
        <v>1</v>
      </c>
      <c r="M454" s="161">
        <v>0</v>
      </c>
      <c r="N454" s="17"/>
      <c r="O454" s="19" t="s">
        <v>1789</v>
      </c>
    </row>
    <row r="455" spans="1:15" ht="38.25" customHeight="1" x14ac:dyDescent="0.25">
      <c r="A455" s="285" t="s">
        <v>848</v>
      </c>
      <c r="B455" s="217" t="s">
        <v>849</v>
      </c>
      <c r="C455" s="17"/>
      <c r="D455" s="51">
        <f>SUM(D456:D457)</f>
        <v>66.7</v>
      </c>
      <c r="E455" s="51">
        <f>SUM(E456:E457)</f>
        <v>66.7</v>
      </c>
      <c r="F455" s="51">
        <f>SUM(F456:F457)</f>
        <v>62.400000000000006</v>
      </c>
      <c r="G455" s="51">
        <f>SUM(G456:G457)</f>
        <v>4.3</v>
      </c>
      <c r="H455" s="51">
        <f>SUM(H456:H457)</f>
        <v>4.3</v>
      </c>
      <c r="I455" s="54">
        <f t="shared" ref="I455:I458" si="61">SUM(F455/E455)</f>
        <v>0.93553223388305851</v>
      </c>
      <c r="J455" s="17" t="s">
        <v>850</v>
      </c>
      <c r="K455" s="18" t="s">
        <v>25</v>
      </c>
      <c r="L455" s="18">
        <v>100</v>
      </c>
      <c r="M455" s="125">
        <v>100</v>
      </c>
      <c r="N455" s="17" t="s">
        <v>851</v>
      </c>
      <c r="O455" s="19"/>
    </row>
    <row r="456" spans="1:15" ht="25.5" x14ac:dyDescent="0.25">
      <c r="A456" s="286"/>
      <c r="B456" s="218"/>
      <c r="C456" s="22" t="s">
        <v>26</v>
      </c>
      <c r="D456" s="53">
        <v>40.4</v>
      </c>
      <c r="E456" s="53">
        <v>40.4</v>
      </c>
      <c r="F456" s="53">
        <v>36.1</v>
      </c>
      <c r="G456" s="53">
        <v>4.3</v>
      </c>
      <c r="H456" s="53">
        <v>4.3</v>
      </c>
      <c r="I456" s="54">
        <f t="shared" si="61"/>
        <v>0.89356435643564358</v>
      </c>
      <c r="J456" s="22" t="s">
        <v>852</v>
      </c>
      <c r="K456" s="24" t="s">
        <v>25</v>
      </c>
      <c r="L456" s="24">
        <v>100</v>
      </c>
      <c r="M456" s="137">
        <v>95</v>
      </c>
      <c r="N456" s="22" t="s">
        <v>853</v>
      </c>
      <c r="O456" s="25" t="s">
        <v>1790</v>
      </c>
    </row>
    <row r="457" spans="1:15" ht="15.75" thickBot="1" x14ac:dyDescent="0.3">
      <c r="A457" s="287"/>
      <c r="B457" s="219"/>
      <c r="C457" s="22" t="s">
        <v>30</v>
      </c>
      <c r="D457" s="53">
        <v>26.3</v>
      </c>
      <c r="E457" s="53">
        <v>26.3</v>
      </c>
      <c r="F457" s="53">
        <v>26.3</v>
      </c>
      <c r="G457" s="53"/>
      <c r="H457" s="53"/>
      <c r="I457" s="68">
        <f t="shared" si="61"/>
        <v>1</v>
      </c>
      <c r="J457" s="22"/>
      <c r="K457" s="24"/>
      <c r="L457" s="81"/>
      <c r="M457" s="82"/>
      <c r="N457" s="22"/>
      <c r="O457" s="25"/>
    </row>
    <row r="458" spans="1:15" ht="25.5" customHeight="1" thickBot="1" x14ac:dyDescent="0.3">
      <c r="A458" s="37" t="s">
        <v>854</v>
      </c>
      <c r="B458" s="17" t="s">
        <v>855</v>
      </c>
      <c r="C458" s="17" t="s">
        <v>26</v>
      </c>
      <c r="D458" s="61">
        <v>162.5</v>
      </c>
      <c r="E458" s="61">
        <v>162.5</v>
      </c>
      <c r="F458" s="61">
        <v>89.9</v>
      </c>
      <c r="G458" s="61">
        <v>72.599999999999994</v>
      </c>
      <c r="H458" s="61">
        <v>72.599999999999994</v>
      </c>
      <c r="I458" s="54">
        <f t="shared" si="61"/>
        <v>0.5532307692307693</v>
      </c>
      <c r="J458" s="17" t="s">
        <v>856</v>
      </c>
      <c r="K458" s="18" t="s">
        <v>25</v>
      </c>
      <c r="L458" s="18">
        <v>100</v>
      </c>
      <c r="M458" s="135">
        <v>80</v>
      </c>
      <c r="N458" s="17" t="s">
        <v>857</v>
      </c>
      <c r="O458" s="19" t="s">
        <v>1791</v>
      </c>
    </row>
    <row r="459" spans="1:15" ht="26.25" hidden="1" thickBot="1" x14ac:dyDescent="0.3">
      <c r="A459" s="37" t="s">
        <v>858</v>
      </c>
      <c r="B459" s="17" t="s">
        <v>859</v>
      </c>
      <c r="C459" s="17" t="s">
        <v>26</v>
      </c>
      <c r="D459" s="61"/>
      <c r="E459" s="61"/>
      <c r="F459" s="61"/>
      <c r="G459" s="61"/>
      <c r="H459" s="61"/>
      <c r="I459" s="69"/>
      <c r="J459" s="17" t="s">
        <v>847</v>
      </c>
      <c r="K459" s="18" t="s">
        <v>19</v>
      </c>
      <c r="L459" s="18">
        <v>0</v>
      </c>
      <c r="M459" s="18">
        <v>0</v>
      </c>
      <c r="N459" s="17"/>
      <c r="O459" s="19"/>
    </row>
    <row r="460" spans="1:15" ht="38.25" customHeight="1" x14ac:dyDescent="0.25">
      <c r="A460" s="285" t="s">
        <v>860</v>
      </c>
      <c r="B460" s="217" t="s">
        <v>861</v>
      </c>
      <c r="C460" s="17"/>
      <c r="D460" s="51">
        <f>SUM(D461:D461)</f>
        <v>34.1</v>
      </c>
      <c r="E460" s="51">
        <f>SUM(E461:E461)</f>
        <v>34.1</v>
      </c>
      <c r="F460" s="51">
        <f>SUM(F461:F461)</f>
        <v>34.1</v>
      </c>
      <c r="G460" s="51"/>
      <c r="H460" s="51"/>
      <c r="I460" s="54">
        <f t="shared" ref="I460:I461" si="62">SUM(F460/E460)</f>
        <v>1</v>
      </c>
      <c r="J460" s="17" t="s">
        <v>840</v>
      </c>
      <c r="K460" s="18" t="s">
        <v>25</v>
      </c>
      <c r="L460" s="18">
        <v>30</v>
      </c>
      <c r="M460" s="125">
        <v>30</v>
      </c>
      <c r="N460" s="17" t="s">
        <v>862</v>
      </c>
      <c r="O460" s="19"/>
    </row>
    <row r="461" spans="1:15" ht="15.75" thickBot="1" x14ac:dyDescent="0.3">
      <c r="A461" s="287"/>
      <c r="B461" s="219"/>
      <c r="C461" s="22" t="s">
        <v>26</v>
      </c>
      <c r="D461" s="53">
        <v>34.1</v>
      </c>
      <c r="E461" s="53">
        <v>34.1</v>
      </c>
      <c r="F461" s="53">
        <v>34.1</v>
      </c>
      <c r="G461" s="53"/>
      <c r="H461" s="53"/>
      <c r="I461" s="54">
        <f t="shared" si="62"/>
        <v>1</v>
      </c>
      <c r="J461" s="22"/>
      <c r="K461" s="24"/>
      <c r="L461" s="81"/>
      <c r="M461" s="82"/>
      <c r="N461" s="22"/>
      <c r="O461" s="25"/>
    </row>
    <row r="462" spans="1:15" ht="26.25" thickBot="1" x14ac:dyDescent="0.3">
      <c r="A462" s="12" t="s">
        <v>863</v>
      </c>
      <c r="B462" s="13" t="s">
        <v>864</v>
      </c>
      <c r="C462" s="14"/>
      <c r="D462" s="49">
        <f>D463+D465</f>
        <v>128.4</v>
      </c>
      <c r="E462" s="49">
        <f>E463+E465</f>
        <v>128.4</v>
      </c>
      <c r="F462" s="49">
        <f>F463+F465</f>
        <v>128.4</v>
      </c>
      <c r="G462" s="49"/>
      <c r="H462" s="49"/>
      <c r="I462" s="66">
        <f>SUM(F462/E462)</f>
        <v>1</v>
      </c>
      <c r="J462" s="263"/>
      <c r="K462" s="264"/>
      <c r="L462" s="264"/>
      <c r="M462" s="264"/>
      <c r="N462" s="264"/>
      <c r="O462" s="265"/>
    </row>
    <row r="463" spans="1:15" ht="51" x14ac:dyDescent="0.25">
      <c r="A463" s="285" t="s">
        <v>865</v>
      </c>
      <c r="B463" s="217" t="s">
        <v>866</v>
      </c>
      <c r="C463" s="17" t="s">
        <v>26</v>
      </c>
      <c r="D463" s="51">
        <f>SUM(D464:D464)+60</f>
        <v>60</v>
      </c>
      <c r="E463" s="51">
        <f>SUM(E464:E464)+60</f>
        <v>60</v>
      </c>
      <c r="F463" s="51">
        <f>SUM(F464:F464)+60</f>
        <v>60</v>
      </c>
      <c r="G463" s="51"/>
      <c r="H463" s="51"/>
      <c r="I463" s="54">
        <f t="shared" ref="I463" si="63">SUM(F463/E463)</f>
        <v>1</v>
      </c>
      <c r="J463" s="17" t="s">
        <v>867</v>
      </c>
      <c r="K463" s="18" t="s">
        <v>25</v>
      </c>
      <c r="L463" s="18">
        <v>10</v>
      </c>
      <c r="M463" s="113">
        <v>9</v>
      </c>
      <c r="N463" s="17"/>
      <c r="O463" s="19" t="s">
        <v>868</v>
      </c>
    </row>
    <row r="464" spans="1:15" ht="64.5" thickBot="1" x14ac:dyDescent="0.3">
      <c r="A464" s="287"/>
      <c r="B464" s="219"/>
      <c r="C464" s="22"/>
      <c r="D464" s="53"/>
      <c r="E464" s="53"/>
      <c r="F464" s="53"/>
      <c r="G464" s="53"/>
      <c r="H464" s="53"/>
      <c r="I464" s="67"/>
      <c r="J464" s="22" t="s">
        <v>869</v>
      </c>
      <c r="K464" s="24" t="s">
        <v>337</v>
      </c>
      <c r="L464" s="24">
        <v>6</v>
      </c>
      <c r="M464" s="156">
        <v>3</v>
      </c>
      <c r="N464" s="22" t="s">
        <v>870</v>
      </c>
      <c r="O464" s="25" t="s">
        <v>1904</v>
      </c>
    </row>
    <row r="465" spans="1:19" ht="39" thickBot="1" x14ac:dyDescent="0.3">
      <c r="A465" s="15" t="s">
        <v>871</v>
      </c>
      <c r="B465" s="16" t="s">
        <v>872</v>
      </c>
      <c r="C465" s="17" t="s">
        <v>26</v>
      </c>
      <c r="D465" s="61">
        <v>68.400000000000006</v>
      </c>
      <c r="E465" s="61">
        <v>68.400000000000006</v>
      </c>
      <c r="F465" s="61">
        <v>68.400000000000006</v>
      </c>
      <c r="G465" s="61"/>
      <c r="H465" s="61"/>
      <c r="I465" s="54">
        <f t="shared" ref="I465" si="64">SUM(F465/E465)</f>
        <v>1</v>
      </c>
      <c r="J465" s="17" t="s">
        <v>873</v>
      </c>
      <c r="K465" s="18" t="s">
        <v>25</v>
      </c>
      <c r="L465" s="80">
        <v>18.2</v>
      </c>
      <c r="M465" s="119">
        <v>23.8</v>
      </c>
      <c r="N465" s="17" t="s">
        <v>874</v>
      </c>
      <c r="O465" s="19"/>
    </row>
    <row r="466" spans="1:19" ht="26.25" thickBot="1" x14ac:dyDescent="0.3">
      <c r="A466" s="4" t="s">
        <v>875</v>
      </c>
      <c r="B466" s="5" t="s">
        <v>876</v>
      </c>
      <c r="C466" s="6"/>
      <c r="D466" s="45">
        <f>D467+D567</f>
        <v>115344.6</v>
      </c>
      <c r="E466" s="45">
        <f>E467+E567</f>
        <v>115344.6</v>
      </c>
      <c r="F466" s="45">
        <f>F467+F567-0.1</f>
        <v>108236.59999999999</v>
      </c>
      <c r="G466" s="45">
        <f>G467+G567+0.1</f>
        <v>7108</v>
      </c>
      <c r="H466" s="45">
        <f>H467+H567+0.1</f>
        <v>7108</v>
      </c>
      <c r="I466" s="46">
        <f>SUM(F466/E466)</f>
        <v>0.93837596211699537</v>
      </c>
      <c r="J466" s="269"/>
      <c r="K466" s="270"/>
      <c r="L466" s="270"/>
      <c r="M466" s="270"/>
      <c r="N466" s="270"/>
      <c r="O466" s="271"/>
    </row>
    <row r="467" spans="1:19" ht="38.25" customHeight="1" x14ac:dyDescent="0.25">
      <c r="A467" s="293" t="s">
        <v>877</v>
      </c>
      <c r="B467" s="296" t="s">
        <v>878</v>
      </c>
      <c r="C467" s="9"/>
      <c r="D467" s="47">
        <f>D468+D469+D498</f>
        <v>104089.40000000001</v>
      </c>
      <c r="E467" s="47">
        <f>E468+E469+E498</f>
        <v>104089.40000000001</v>
      </c>
      <c r="F467" s="47">
        <f>F468+F469+F498</f>
        <v>99806.7</v>
      </c>
      <c r="G467" s="47">
        <f>G468+G469+G498</f>
        <v>4282.7</v>
      </c>
      <c r="H467" s="47">
        <f>H468+H469+H498</f>
        <v>4282.7</v>
      </c>
      <c r="I467" s="48">
        <f>SUM(F467/E467)</f>
        <v>0.95885556070070521</v>
      </c>
      <c r="J467" s="41" t="s">
        <v>879</v>
      </c>
      <c r="K467" s="42" t="s">
        <v>25</v>
      </c>
      <c r="L467" s="92">
        <v>100</v>
      </c>
      <c r="M467" s="90">
        <v>100</v>
      </c>
      <c r="N467" s="277"/>
      <c r="O467" s="278"/>
      <c r="Q467" s="194"/>
      <c r="R467" s="195" t="s">
        <v>1</v>
      </c>
      <c r="S467" s="195" t="s">
        <v>1975</v>
      </c>
    </row>
    <row r="468" spans="1:19" ht="26.25" thickBot="1" x14ac:dyDescent="0.3">
      <c r="A468" s="295"/>
      <c r="B468" s="298"/>
      <c r="C468" s="35"/>
      <c r="D468" s="64"/>
      <c r="E468" s="64"/>
      <c r="F468" s="64"/>
      <c r="G468" s="64"/>
      <c r="H468" s="64"/>
      <c r="I468" s="65"/>
      <c r="J468" s="35" t="s">
        <v>880</v>
      </c>
      <c r="K468" s="36" t="s">
        <v>337</v>
      </c>
      <c r="L468" s="93">
        <v>13500</v>
      </c>
      <c r="M468" s="94">
        <v>14327</v>
      </c>
      <c r="N468" s="279"/>
      <c r="O468" s="280"/>
      <c r="Q468" s="196"/>
      <c r="R468" s="197" t="s">
        <v>1961</v>
      </c>
      <c r="S468" s="215">
        <v>17</v>
      </c>
    </row>
    <row r="469" spans="1:19" ht="32.25" thickBot="1" x14ac:dyDescent="0.3">
      <c r="A469" s="12" t="s">
        <v>881</v>
      </c>
      <c r="B469" s="13" t="s">
        <v>882</v>
      </c>
      <c r="C469" s="14"/>
      <c r="D469" s="49">
        <f>D470+D477+D479+D485+D496+D497</f>
        <v>891.9</v>
      </c>
      <c r="E469" s="49">
        <f>E470+E477+E479+E485+E496+E497</f>
        <v>891.9</v>
      </c>
      <c r="F469" s="49">
        <f>F470+F477+F479+F485+F496+F497</f>
        <v>880.9</v>
      </c>
      <c r="G469" s="49">
        <f>G470+G477+G479+G485+G496+G497</f>
        <v>11</v>
      </c>
      <c r="H469" s="49">
        <f>H470+H477+H479+H485+H496+H497</f>
        <v>11</v>
      </c>
      <c r="I469" s="66">
        <f>SUM(F469/E469)</f>
        <v>0.98766677878685949</v>
      </c>
      <c r="J469" s="263"/>
      <c r="K469" s="264"/>
      <c r="L469" s="264"/>
      <c r="M469" s="264"/>
      <c r="N469" s="264"/>
      <c r="O469" s="265"/>
      <c r="Q469" s="199"/>
      <c r="R469" s="197" t="s">
        <v>1962</v>
      </c>
      <c r="S469" s="198">
        <v>3</v>
      </c>
    </row>
    <row r="470" spans="1:19" ht="38.25" x14ac:dyDescent="0.25">
      <c r="A470" s="285" t="s">
        <v>883</v>
      </c>
      <c r="B470" s="217" t="s">
        <v>884</v>
      </c>
      <c r="C470" s="17" t="s">
        <v>26</v>
      </c>
      <c r="D470" s="51">
        <f>SUM(D471:D476)+166.3</f>
        <v>166.3</v>
      </c>
      <c r="E470" s="51">
        <f>SUM(E471:E476)+166.3</f>
        <v>166.3</v>
      </c>
      <c r="F470" s="51">
        <f>SUM(F471:F476)+166.3</f>
        <v>166.3</v>
      </c>
      <c r="G470" s="51"/>
      <c r="H470" s="51"/>
      <c r="I470" s="54">
        <f t="shared" ref="I470" si="65">SUM(F470/E470)</f>
        <v>1</v>
      </c>
      <c r="J470" s="17" t="s">
        <v>885</v>
      </c>
      <c r="K470" s="18" t="s">
        <v>337</v>
      </c>
      <c r="L470" s="18">
        <v>4</v>
      </c>
      <c r="M470" s="125">
        <v>4</v>
      </c>
      <c r="N470" s="17" t="s">
        <v>1792</v>
      </c>
      <c r="O470" s="19"/>
      <c r="Q470" s="200"/>
      <c r="R470" s="197" t="s">
        <v>1963</v>
      </c>
      <c r="S470" s="198">
        <v>10</v>
      </c>
    </row>
    <row r="471" spans="1:19" ht="31.5" x14ac:dyDescent="0.25">
      <c r="A471" s="286"/>
      <c r="B471" s="218"/>
      <c r="C471" s="22"/>
      <c r="D471" s="53"/>
      <c r="E471" s="53"/>
      <c r="F471" s="53"/>
      <c r="G471" s="53"/>
      <c r="H471" s="53"/>
      <c r="I471" s="55"/>
      <c r="J471" s="22" t="s">
        <v>886</v>
      </c>
      <c r="K471" s="24" t="s">
        <v>337</v>
      </c>
      <c r="L471" s="81">
        <v>1200</v>
      </c>
      <c r="M471" s="137">
        <v>982</v>
      </c>
      <c r="N471" s="22"/>
      <c r="O471" s="167"/>
      <c r="Q471" s="202"/>
      <c r="R471" s="197" t="s">
        <v>1964</v>
      </c>
      <c r="S471" s="198">
        <v>7</v>
      </c>
    </row>
    <row r="472" spans="1:19" ht="31.5" x14ac:dyDescent="0.25">
      <c r="A472" s="286"/>
      <c r="B472" s="218"/>
      <c r="C472" s="22"/>
      <c r="D472" s="53"/>
      <c r="E472" s="53"/>
      <c r="F472" s="53"/>
      <c r="G472" s="53"/>
      <c r="H472" s="53"/>
      <c r="I472" s="55"/>
      <c r="J472" s="22" t="s">
        <v>887</v>
      </c>
      <c r="K472" s="24" t="s">
        <v>337</v>
      </c>
      <c r="L472" s="24">
        <v>10</v>
      </c>
      <c r="M472" s="130">
        <v>10</v>
      </c>
      <c r="N472" s="22" t="s">
        <v>888</v>
      </c>
      <c r="O472" s="25"/>
      <c r="Q472" s="204"/>
      <c r="R472" s="197" t="s">
        <v>1965</v>
      </c>
      <c r="S472" s="198">
        <v>1</v>
      </c>
    </row>
    <row r="473" spans="1:19" ht="38.25" x14ac:dyDescent="0.25">
      <c r="A473" s="286"/>
      <c r="B473" s="218"/>
      <c r="C473" s="22"/>
      <c r="D473" s="53"/>
      <c r="E473" s="53"/>
      <c r="F473" s="53"/>
      <c r="G473" s="53"/>
      <c r="H473" s="53"/>
      <c r="I473" s="55"/>
      <c r="J473" s="22" t="s">
        <v>889</v>
      </c>
      <c r="K473" s="24" t="s">
        <v>337</v>
      </c>
      <c r="L473" s="24">
        <v>100</v>
      </c>
      <c r="M473" s="137">
        <v>66</v>
      </c>
      <c r="N473" s="22"/>
      <c r="O473" s="25" t="s">
        <v>890</v>
      </c>
      <c r="Q473" s="194"/>
      <c r="R473" s="205" t="s">
        <v>1966</v>
      </c>
      <c r="S473" s="198">
        <f>+SUM(S468:S472)</f>
        <v>38</v>
      </c>
    </row>
    <row r="474" spans="1:19" ht="68.25" customHeight="1" x14ac:dyDescent="0.25">
      <c r="A474" s="286"/>
      <c r="B474" s="218"/>
      <c r="C474" s="22"/>
      <c r="D474" s="53"/>
      <c r="E474" s="53"/>
      <c r="F474" s="53"/>
      <c r="G474" s="53"/>
      <c r="H474" s="53"/>
      <c r="I474" s="55"/>
      <c r="J474" s="22" t="s">
        <v>891</v>
      </c>
      <c r="K474" s="24" t="s">
        <v>337</v>
      </c>
      <c r="L474" s="24">
        <v>25</v>
      </c>
      <c r="M474" s="131">
        <v>360</v>
      </c>
      <c r="N474" s="22" t="s">
        <v>1793</v>
      </c>
      <c r="O474" s="25"/>
    </row>
    <row r="475" spans="1:19" x14ac:dyDescent="0.25">
      <c r="A475" s="286"/>
      <c r="B475" s="218"/>
      <c r="C475" s="22"/>
      <c r="D475" s="53"/>
      <c r="E475" s="53"/>
      <c r="F475" s="53"/>
      <c r="G475" s="53"/>
      <c r="H475" s="53"/>
      <c r="I475" s="55"/>
      <c r="J475" s="22" t="s">
        <v>892</v>
      </c>
      <c r="K475" s="24" t="s">
        <v>337</v>
      </c>
      <c r="L475" s="81">
        <v>1100</v>
      </c>
      <c r="M475" s="120">
        <v>1219</v>
      </c>
      <c r="N475" s="22" t="s">
        <v>1794</v>
      </c>
      <c r="O475" s="25"/>
    </row>
    <row r="476" spans="1:19" ht="26.25" thickBot="1" x14ac:dyDescent="0.3">
      <c r="A476" s="287"/>
      <c r="B476" s="219"/>
      <c r="C476" s="22"/>
      <c r="D476" s="53"/>
      <c r="E476" s="53"/>
      <c r="F476" s="53"/>
      <c r="G476" s="53"/>
      <c r="H476" s="53"/>
      <c r="I476" s="67"/>
      <c r="J476" s="22" t="s">
        <v>893</v>
      </c>
      <c r="K476" s="24" t="s">
        <v>337</v>
      </c>
      <c r="L476" s="24">
        <v>1</v>
      </c>
      <c r="M476" s="130">
        <v>1</v>
      </c>
      <c r="N476" s="22"/>
      <c r="O476" s="25"/>
    </row>
    <row r="477" spans="1:19" ht="38.25" x14ac:dyDescent="0.25">
      <c r="A477" s="285" t="s">
        <v>894</v>
      </c>
      <c r="B477" s="217" t="s">
        <v>895</v>
      </c>
      <c r="C477" s="17" t="s">
        <v>26</v>
      </c>
      <c r="D477" s="51">
        <f>SUM(D478:D478)+192.3</f>
        <v>192.3</v>
      </c>
      <c r="E477" s="51">
        <f>SUM(E478:E478)+192.3</f>
        <v>192.3</v>
      </c>
      <c r="F477" s="51">
        <f>SUM(F478:F478)+191.1</f>
        <v>191.1</v>
      </c>
      <c r="G477" s="51">
        <f>SUM(G478:G478)+1.2</f>
        <v>1.2</v>
      </c>
      <c r="H477" s="51">
        <f>SUM(H478:H478)+1.2</f>
        <v>1.2</v>
      </c>
      <c r="I477" s="54">
        <f t="shared" ref="I477" si="66">SUM(F477/E477)</f>
        <v>0.99375975039001552</v>
      </c>
      <c r="J477" s="17" t="s">
        <v>896</v>
      </c>
      <c r="K477" s="18" t="s">
        <v>19</v>
      </c>
      <c r="L477" s="18">
        <v>32</v>
      </c>
      <c r="M477" s="125">
        <v>32</v>
      </c>
      <c r="N477" s="17" t="s">
        <v>897</v>
      </c>
      <c r="O477" s="19"/>
    </row>
    <row r="478" spans="1:19" ht="15.75" thickBot="1" x14ac:dyDescent="0.3">
      <c r="A478" s="287"/>
      <c r="B478" s="219"/>
      <c r="C478" s="22"/>
      <c r="D478" s="53"/>
      <c r="E478" s="53"/>
      <c r="F478" s="53"/>
      <c r="G478" s="53"/>
      <c r="H478" s="53"/>
      <c r="I478" s="67"/>
      <c r="J478" s="22" t="s">
        <v>898</v>
      </c>
      <c r="K478" s="24" t="s">
        <v>19</v>
      </c>
      <c r="L478" s="24">
        <v>14</v>
      </c>
      <c r="M478" s="130">
        <v>14</v>
      </c>
      <c r="N478" s="22"/>
      <c r="O478" s="25"/>
    </row>
    <row r="479" spans="1:19" ht="25.5" x14ac:dyDescent="0.25">
      <c r="A479" s="285" t="s">
        <v>899</v>
      </c>
      <c r="B479" s="217" t="s">
        <v>900</v>
      </c>
      <c r="C479" s="17"/>
      <c r="D479" s="51">
        <f>SUM(D480:D484)</f>
        <v>28.4</v>
      </c>
      <c r="E479" s="51">
        <f>SUM(E480:E484)</f>
        <v>28.4</v>
      </c>
      <c r="F479" s="51">
        <f>SUM(F480:F484)</f>
        <v>28.3</v>
      </c>
      <c r="G479" s="51">
        <f>SUM(G480:G484)</f>
        <v>0.1</v>
      </c>
      <c r="H479" s="51">
        <f>SUM(H480:H484)</f>
        <v>0.1</v>
      </c>
      <c r="I479" s="54">
        <f t="shared" ref="I479:I481" si="67">SUM(F479/E479)</f>
        <v>0.99647887323943674</v>
      </c>
      <c r="J479" s="17" t="s">
        <v>901</v>
      </c>
      <c r="K479" s="18" t="s">
        <v>337</v>
      </c>
      <c r="L479" s="18">
        <v>24</v>
      </c>
      <c r="M479" s="125">
        <v>24</v>
      </c>
      <c r="N479" s="17" t="s">
        <v>902</v>
      </c>
      <c r="O479" s="19"/>
    </row>
    <row r="480" spans="1:19" ht="38.25" x14ac:dyDescent="0.25">
      <c r="A480" s="286"/>
      <c r="B480" s="218"/>
      <c r="C480" s="22" t="s">
        <v>26</v>
      </c>
      <c r="D480" s="53">
        <v>13.4</v>
      </c>
      <c r="E480" s="53">
        <v>13.4</v>
      </c>
      <c r="F480" s="53">
        <v>13.3</v>
      </c>
      <c r="G480" s="53">
        <v>0.1</v>
      </c>
      <c r="H480" s="53">
        <v>0.1</v>
      </c>
      <c r="I480" s="54">
        <f t="shared" si="67"/>
        <v>0.9925373134328358</v>
      </c>
      <c r="J480" s="22" t="s">
        <v>903</v>
      </c>
      <c r="K480" s="24" t="s">
        <v>337</v>
      </c>
      <c r="L480" s="24">
        <v>45</v>
      </c>
      <c r="M480" s="130">
        <v>45</v>
      </c>
      <c r="N480" s="22"/>
      <c r="O480" s="25"/>
    </row>
    <row r="481" spans="1:15" ht="25.5" x14ac:dyDescent="0.25">
      <c r="A481" s="286"/>
      <c r="B481" s="218"/>
      <c r="C481" s="22" t="s">
        <v>30</v>
      </c>
      <c r="D481" s="53">
        <v>15</v>
      </c>
      <c r="E481" s="53">
        <v>15</v>
      </c>
      <c r="F481" s="53">
        <v>15</v>
      </c>
      <c r="G481" s="53"/>
      <c r="H481" s="53"/>
      <c r="I481" s="54">
        <f t="shared" si="67"/>
        <v>1</v>
      </c>
      <c r="J481" s="22" t="s">
        <v>904</v>
      </c>
      <c r="K481" s="24" t="s">
        <v>19</v>
      </c>
      <c r="L481" s="24">
        <v>1</v>
      </c>
      <c r="M481" s="130">
        <v>1</v>
      </c>
      <c r="N481" s="22" t="s">
        <v>905</v>
      </c>
      <c r="O481" s="25"/>
    </row>
    <row r="482" spans="1:15" ht="25.5" x14ac:dyDescent="0.25">
      <c r="A482" s="286"/>
      <c r="B482" s="218"/>
      <c r="C482" s="22"/>
      <c r="D482" s="53"/>
      <c r="E482" s="53"/>
      <c r="F482" s="53"/>
      <c r="G482" s="53"/>
      <c r="H482" s="53"/>
      <c r="I482" s="55"/>
      <c r="J482" s="22" t="s">
        <v>906</v>
      </c>
      <c r="K482" s="24" t="s">
        <v>19</v>
      </c>
      <c r="L482" s="24">
        <v>1</v>
      </c>
      <c r="M482" s="130">
        <v>1</v>
      </c>
      <c r="N482" s="22" t="s">
        <v>907</v>
      </c>
      <c r="O482" s="25"/>
    </row>
    <row r="483" spans="1:15" ht="25.5" x14ac:dyDescent="0.25">
      <c r="A483" s="286"/>
      <c r="B483" s="218"/>
      <c r="C483" s="22"/>
      <c r="D483" s="53"/>
      <c r="E483" s="53"/>
      <c r="F483" s="53"/>
      <c r="G483" s="53"/>
      <c r="H483" s="53"/>
      <c r="I483" s="55"/>
      <c r="J483" s="22" t="s">
        <v>908</v>
      </c>
      <c r="K483" s="24" t="s">
        <v>19</v>
      </c>
      <c r="L483" s="24">
        <v>1</v>
      </c>
      <c r="M483" s="162">
        <v>0</v>
      </c>
      <c r="N483" s="22"/>
      <c r="O483" s="25" t="s">
        <v>1938</v>
      </c>
    </row>
    <row r="484" spans="1:15" ht="15.75" thickBot="1" x14ac:dyDescent="0.3">
      <c r="A484" s="287"/>
      <c r="B484" s="219"/>
      <c r="C484" s="22"/>
      <c r="D484" s="53"/>
      <c r="E484" s="53"/>
      <c r="F484" s="53"/>
      <c r="G484" s="53"/>
      <c r="H484" s="53"/>
      <c r="I484" s="67"/>
      <c r="J484" s="22" t="s">
        <v>909</v>
      </c>
      <c r="K484" s="24" t="s">
        <v>337</v>
      </c>
      <c r="L484" s="24">
        <v>1</v>
      </c>
      <c r="M484" s="130">
        <v>1</v>
      </c>
      <c r="N484" s="22"/>
      <c r="O484" s="25"/>
    </row>
    <row r="485" spans="1:15" ht="38.25" x14ac:dyDescent="0.25">
      <c r="A485" s="285" t="s">
        <v>910</v>
      </c>
      <c r="B485" s="217" t="s">
        <v>911</v>
      </c>
      <c r="C485" s="17" t="s">
        <v>26</v>
      </c>
      <c r="D485" s="51">
        <f>SUM(D486:D495)+397.1</f>
        <v>397.1</v>
      </c>
      <c r="E485" s="51">
        <f>SUM(E486:E495)+397.1</f>
        <v>397.1</v>
      </c>
      <c r="F485" s="51">
        <f>SUM(F486:F495)+387.6</f>
        <v>387.6</v>
      </c>
      <c r="G485" s="51">
        <f>SUM(G486:G495)+9.5</f>
        <v>9.5</v>
      </c>
      <c r="H485" s="51">
        <f>SUM(H486:H495)+9.5</f>
        <v>9.5</v>
      </c>
      <c r="I485" s="54">
        <f t="shared" ref="I485" si="68">SUM(F485/E485)</f>
        <v>0.97607655502392343</v>
      </c>
      <c r="J485" s="17" t="s">
        <v>912</v>
      </c>
      <c r="K485" s="18" t="s">
        <v>337</v>
      </c>
      <c r="L485" s="18">
        <v>120</v>
      </c>
      <c r="M485" s="139">
        <v>125</v>
      </c>
      <c r="N485" s="17" t="s">
        <v>913</v>
      </c>
      <c r="O485" s="19"/>
    </row>
    <row r="486" spans="1:15" ht="25.5" x14ac:dyDescent="0.25">
      <c r="A486" s="286"/>
      <c r="B486" s="218"/>
      <c r="C486" s="22"/>
      <c r="D486" s="53"/>
      <c r="E486" s="53"/>
      <c r="F486" s="53"/>
      <c r="G486" s="53"/>
      <c r="H486" s="53"/>
      <c r="I486" s="55"/>
      <c r="J486" s="22" t="s">
        <v>914</v>
      </c>
      <c r="K486" s="24" t="s">
        <v>337</v>
      </c>
      <c r="L486" s="24">
        <v>4</v>
      </c>
      <c r="M486" s="137">
        <v>3</v>
      </c>
      <c r="N486" s="22" t="s">
        <v>915</v>
      </c>
      <c r="O486" s="25" t="s">
        <v>1939</v>
      </c>
    </row>
    <row r="487" spans="1:15" ht="38.25" x14ac:dyDescent="0.25">
      <c r="A487" s="286"/>
      <c r="B487" s="218"/>
      <c r="C487" s="22"/>
      <c r="D487" s="53"/>
      <c r="E487" s="53"/>
      <c r="F487" s="53"/>
      <c r="G487" s="53"/>
      <c r="H487" s="53"/>
      <c r="I487" s="55"/>
      <c r="J487" s="22" t="s">
        <v>916</v>
      </c>
      <c r="K487" s="24" t="s">
        <v>337</v>
      </c>
      <c r="L487" s="24">
        <v>6</v>
      </c>
      <c r="M487" s="137">
        <v>4</v>
      </c>
      <c r="N487" s="22" t="s">
        <v>917</v>
      </c>
      <c r="O487" s="25" t="s">
        <v>1940</v>
      </c>
    </row>
    <row r="488" spans="1:15" ht="38.25" x14ac:dyDescent="0.25">
      <c r="A488" s="286"/>
      <c r="B488" s="218"/>
      <c r="C488" s="22"/>
      <c r="D488" s="53"/>
      <c r="E488" s="53"/>
      <c r="F488" s="53"/>
      <c r="G488" s="53"/>
      <c r="H488" s="53"/>
      <c r="I488" s="55"/>
      <c r="J488" s="22" t="s">
        <v>918</v>
      </c>
      <c r="K488" s="24" t="s">
        <v>337</v>
      </c>
      <c r="L488" s="24">
        <v>1</v>
      </c>
      <c r="M488" s="130">
        <v>1</v>
      </c>
      <c r="N488" s="22" t="s">
        <v>919</v>
      </c>
      <c r="O488" s="25"/>
    </row>
    <row r="489" spans="1:15" ht="25.5" x14ac:dyDescent="0.25">
      <c r="A489" s="286"/>
      <c r="B489" s="218"/>
      <c r="C489" s="22"/>
      <c r="D489" s="53"/>
      <c r="E489" s="53"/>
      <c r="F489" s="53"/>
      <c r="G489" s="53"/>
      <c r="H489" s="53"/>
      <c r="I489" s="55"/>
      <c r="J489" s="22" t="s">
        <v>920</v>
      </c>
      <c r="K489" s="24" t="s">
        <v>337</v>
      </c>
      <c r="L489" s="24">
        <v>10</v>
      </c>
      <c r="M489" s="130">
        <v>10</v>
      </c>
      <c r="N489" s="22" t="s">
        <v>1941</v>
      </c>
      <c r="O489" s="25"/>
    </row>
    <row r="490" spans="1:15" ht="51" x14ac:dyDescent="0.25">
      <c r="A490" s="286"/>
      <c r="B490" s="218"/>
      <c r="C490" s="22"/>
      <c r="D490" s="53"/>
      <c r="E490" s="53"/>
      <c r="F490" s="53"/>
      <c r="G490" s="53"/>
      <c r="H490" s="53"/>
      <c r="I490" s="55"/>
      <c r="J490" s="22" t="s">
        <v>921</v>
      </c>
      <c r="K490" s="24" t="s">
        <v>337</v>
      </c>
      <c r="L490" s="24">
        <v>50</v>
      </c>
      <c r="M490" s="137">
        <v>44</v>
      </c>
      <c r="N490" s="22" t="s">
        <v>1942</v>
      </c>
      <c r="O490" s="146" t="s">
        <v>1956</v>
      </c>
    </row>
    <row r="491" spans="1:15" ht="25.5" x14ac:dyDescent="0.25">
      <c r="A491" s="286"/>
      <c r="B491" s="218"/>
      <c r="C491" s="22"/>
      <c r="D491" s="53"/>
      <c r="E491" s="53"/>
      <c r="F491" s="53"/>
      <c r="G491" s="53"/>
      <c r="H491" s="53"/>
      <c r="I491" s="55"/>
      <c r="J491" s="22" t="s">
        <v>922</v>
      </c>
      <c r="K491" s="24" t="s">
        <v>337</v>
      </c>
      <c r="L491" s="24">
        <v>2</v>
      </c>
      <c r="M491" s="130">
        <v>2</v>
      </c>
      <c r="N491" s="22" t="s">
        <v>923</v>
      </c>
      <c r="O491" s="25"/>
    </row>
    <row r="492" spans="1:15" ht="38.25" x14ac:dyDescent="0.25">
      <c r="A492" s="286"/>
      <c r="B492" s="218"/>
      <c r="C492" s="22"/>
      <c r="D492" s="53"/>
      <c r="E492" s="53"/>
      <c r="F492" s="53"/>
      <c r="G492" s="53"/>
      <c r="H492" s="53"/>
      <c r="I492" s="55"/>
      <c r="J492" s="22" t="s">
        <v>924</v>
      </c>
      <c r="K492" s="24" t="s">
        <v>925</v>
      </c>
      <c r="L492" s="24">
        <v>1</v>
      </c>
      <c r="M492" s="130">
        <v>1</v>
      </c>
      <c r="N492" s="22" t="s">
        <v>926</v>
      </c>
      <c r="O492" s="25"/>
    </row>
    <row r="493" spans="1:15" ht="114.75" x14ac:dyDescent="0.25">
      <c r="A493" s="286"/>
      <c r="B493" s="218"/>
      <c r="C493" s="22"/>
      <c r="D493" s="53"/>
      <c r="E493" s="53"/>
      <c r="F493" s="53"/>
      <c r="G493" s="53"/>
      <c r="H493" s="53"/>
      <c r="I493" s="55"/>
      <c r="J493" s="22" t="s">
        <v>927</v>
      </c>
      <c r="K493" s="24" t="s">
        <v>19</v>
      </c>
      <c r="L493" s="24">
        <v>1</v>
      </c>
      <c r="M493" s="130">
        <v>1</v>
      </c>
      <c r="N493" s="22" t="s">
        <v>928</v>
      </c>
      <c r="O493" s="25"/>
    </row>
    <row r="494" spans="1:15" ht="38.25" x14ac:dyDescent="0.25">
      <c r="A494" s="286"/>
      <c r="B494" s="218"/>
      <c r="C494" s="22"/>
      <c r="D494" s="53"/>
      <c r="E494" s="53"/>
      <c r="F494" s="53"/>
      <c r="G494" s="53"/>
      <c r="H494" s="53"/>
      <c r="I494" s="55"/>
      <c r="J494" s="22" t="s">
        <v>929</v>
      </c>
      <c r="K494" s="24" t="s">
        <v>925</v>
      </c>
      <c r="L494" s="24">
        <v>1</v>
      </c>
      <c r="M494" s="130">
        <v>1</v>
      </c>
      <c r="N494" s="22" t="s">
        <v>930</v>
      </c>
      <c r="O494" s="25"/>
    </row>
    <row r="495" spans="1:15" ht="26.25" thickBot="1" x14ac:dyDescent="0.3">
      <c r="A495" s="287"/>
      <c r="B495" s="219"/>
      <c r="C495" s="22"/>
      <c r="D495" s="53"/>
      <c r="E495" s="53"/>
      <c r="F495" s="53"/>
      <c r="G495" s="53"/>
      <c r="H495" s="53"/>
      <c r="I495" s="67"/>
      <c r="J495" s="22" t="s">
        <v>931</v>
      </c>
      <c r="K495" s="24" t="s">
        <v>337</v>
      </c>
      <c r="L495" s="24">
        <v>2</v>
      </c>
      <c r="M495" s="137">
        <v>1</v>
      </c>
      <c r="N495" s="22" t="s">
        <v>932</v>
      </c>
      <c r="O495" s="25" t="s">
        <v>1795</v>
      </c>
    </row>
    <row r="496" spans="1:15" ht="268.5" thickBot="1" x14ac:dyDescent="0.3">
      <c r="A496" s="15" t="s">
        <v>933</v>
      </c>
      <c r="B496" s="16" t="s">
        <v>934</v>
      </c>
      <c r="C496" s="17" t="s">
        <v>26</v>
      </c>
      <c r="D496" s="61">
        <v>27.4</v>
      </c>
      <c r="E496" s="61">
        <v>27.4</v>
      </c>
      <c r="F496" s="61">
        <v>27.2</v>
      </c>
      <c r="G496" s="61">
        <v>0.2</v>
      </c>
      <c r="H496" s="61">
        <v>0.2</v>
      </c>
      <c r="I496" s="62">
        <f t="shared" ref="I496:I497" si="69">SUM(F496/E496)</f>
        <v>0.99270072992700731</v>
      </c>
      <c r="J496" s="17" t="s">
        <v>935</v>
      </c>
      <c r="K496" s="18" t="s">
        <v>337</v>
      </c>
      <c r="L496" s="79">
        <v>11</v>
      </c>
      <c r="M496" s="125">
        <v>11</v>
      </c>
      <c r="N496" s="17" t="s">
        <v>936</v>
      </c>
      <c r="O496" s="19"/>
    </row>
    <row r="497" spans="1:15" ht="77.25" thickBot="1" x14ac:dyDescent="0.3">
      <c r="A497" s="15" t="s">
        <v>937</v>
      </c>
      <c r="B497" s="16" t="s">
        <v>938</v>
      </c>
      <c r="C497" s="17" t="s">
        <v>26</v>
      </c>
      <c r="D497" s="61">
        <v>80.400000000000006</v>
      </c>
      <c r="E497" s="61">
        <v>80.400000000000006</v>
      </c>
      <c r="F497" s="61">
        <v>80.400000000000006</v>
      </c>
      <c r="G497" s="61"/>
      <c r="H497" s="61"/>
      <c r="I497" s="54">
        <f t="shared" si="69"/>
        <v>1</v>
      </c>
      <c r="J497" s="17" t="s">
        <v>939</v>
      </c>
      <c r="K497" s="18" t="s">
        <v>337</v>
      </c>
      <c r="L497" s="18">
        <v>6</v>
      </c>
      <c r="M497" s="125">
        <v>6</v>
      </c>
      <c r="N497" s="17" t="s">
        <v>940</v>
      </c>
      <c r="O497" s="19"/>
    </row>
    <row r="498" spans="1:15" ht="26.25" thickBot="1" x14ac:dyDescent="0.3">
      <c r="A498" s="12" t="s">
        <v>941</v>
      </c>
      <c r="B498" s="13" t="s">
        <v>942</v>
      </c>
      <c r="C498" s="14"/>
      <c r="D498" s="49">
        <f>D499+D509+D513+D514+D523+D526+D534+D537+D538+D547+D548+D549+D559+D560+D561+D563+D564+0.1</f>
        <v>103197.50000000001</v>
      </c>
      <c r="E498" s="49">
        <f>E499+E509+E513+E514+E523+E526+E534+E537+E538+E547+E548+E549+E559+E560+E561+E563+E564+0.1</f>
        <v>103197.50000000001</v>
      </c>
      <c r="F498" s="49">
        <f>F499+F509+F513+F514+F523+F526+F534+F537+F538+F547+F548+F549+F559+F560+F561+F563+F564</f>
        <v>98925.8</v>
      </c>
      <c r="G498" s="49">
        <f>G499+G509+G513+G514+G523+G526+G534+G537+G538+G547+G548+G549+G559+G560+G561+G563+G564</f>
        <v>4271.7</v>
      </c>
      <c r="H498" s="49">
        <f>H499+H509+H513+H514+H523+H526+H534+H537+H538+H547+H548+H549+H559+H560+H561+H563+H564</f>
        <v>4271.7</v>
      </c>
      <c r="I498" s="66">
        <f>SUM(F498/E498)</f>
        <v>0.95860655539136108</v>
      </c>
      <c r="J498" s="263"/>
      <c r="K498" s="264"/>
      <c r="L498" s="264"/>
      <c r="M498" s="264"/>
      <c r="N498" s="264"/>
      <c r="O498" s="265"/>
    </row>
    <row r="499" spans="1:15" ht="25.5" x14ac:dyDescent="0.25">
      <c r="A499" s="285" t="s">
        <v>943</v>
      </c>
      <c r="B499" s="217" t="s">
        <v>944</v>
      </c>
      <c r="C499" s="17"/>
      <c r="D499" s="51">
        <f>SUM(D500:D508)</f>
        <v>65010.5</v>
      </c>
      <c r="E499" s="51">
        <f>SUM(E500:E508)</f>
        <v>65010.5</v>
      </c>
      <c r="F499" s="51">
        <f>SUM(F500:F508)+0.1</f>
        <v>62330.299999999996</v>
      </c>
      <c r="G499" s="51">
        <f>SUM(G500:G508)-0.1</f>
        <v>2680.2000000000003</v>
      </c>
      <c r="H499" s="51">
        <f>SUM(H500:H508)-0.1</f>
        <v>2680.2000000000003</v>
      </c>
      <c r="I499" s="54">
        <f t="shared" ref="I499:I507" si="70">SUM(F499/E499)</f>
        <v>0.95877281362241473</v>
      </c>
      <c r="J499" s="17" t="s">
        <v>945</v>
      </c>
      <c r="K499" s="18" t="s">
        <v>337</v>
      </c>
      <c r="L499" s="18">
        <v>32</v>
      </c>
      <c r="M499" s="125">
        <v>32</v>
      </c>
      <c r="N499" s="17" t="s">
        <v>946</v>
      </c>
      <c r="O499" s="19"/>
    </row>
    <row r="500" spans="1:15" ht="25.5" x14ac:dyDescent="0.25">
      <c r="A500" s="286"/>
      <c r="B500" s="218"/>
      <c r="C500" s="22" t="s">
        <v>171</v>
      </c>
      <c r="D500" s="53">
        <v>1819.6</v>
      </c>
      <c r="E500" s="53">
        <v>1819.6</v>
      </c>
      <c r="F500" s="53">
        <v>1528.1</v>
      </c>
      <c r="G500" s="53">
        <v>291.5</v>
      </c>
      <c r="H500" s="53">
        <v>291.5</v>
      </c>
      <c r="I500" s="54">
        <f t="shared" si="70"/>
        <v>0.83979995603429325</v>
      </c>
      <c r="J500" s="22" t="s">
        <v>947</v>
      </c>
      <c r="K500" s="24" t="s">
        <v>337</v>
      </c>
      <c r="L500" s="81">
        <v>14000</v>
      </c>
      <c r="M500" s="120">
        <v>14327</v>
      </c>
      <c r="N500" s="22"/>
      <c r="O500" s="25"/>
    </row>
    <row r="501" spans="1:15" x14ac:dyDescent="0.25">
      <c r="A501" s="286"/>
      <c r="B501" s="218"/>
      <c r="C501" s="22" t="s">
        <v>181</v>
      </c>
      <c r="D501" s="53">
        <v>8399.7999999999993</v>
      </c>
      <c r="E501" s="53">
        <v>8399.7999999999993</v>
      </c>
      <c r="F501" s="53">
        <v>8369.7000000000007</v>
      </c>
      <c r="G501" s="53">
        <v>30.1</v>
      </c>
      <c r="H501" s="53">
        <v>30.1</v>
      </c>
      <c r="I501" s="54">
        <f t="shared" si="70"/>
        <v>0.99641658134717515</v>
      </c>
      <c r="J501" s="22" t="s">
        <v>948</v>
      </c>
      <c r="K501" s="24" t="s">
        <v>19</v>
      </c>
      <c r="L501" s="24">
        <v>1</v>
      </c>
      <c r="M501" s="130">
        <v>1</v>
      </c>
      <c r="N501" s="22"/>
      <c r="O501" s="25"/>
    </row>
    <row r="502" spans="1:15" ht="25.5" x14ac:dyDescent="0.25">
      <c r="A502" s="286"/>
      <c r="B502" s="218"/>
      <c r="C502" s="22" t="s">
        <v>168</v>
      </c>
      <c r="D502" s="53">
        <v>1280</v>
      </c>
      <c r="E502" s="53">
        <v>1280</v>
      </c>
      <c r="F502" s="53">
        <v>603.29999999999995</v>
      </c>
      <c r="G502" s="53">
        <v>676.7</v>
      </c>
      <c r="H502" s="53">
        <v>676.7</v>
      </c>
      <c r="I502" s="54">
        <f t="shared" si="70"/>
        <v>0.47132812499999999</v>
      </c>
      <c r="J502" s="22" t="s">
        <v>949</v>
      </c>
      <c r="K502" s="24" t="s">
        <v>337</v>
      </c>
      <c r="L502" s="81">
        <v>5500</v>
      </c>
      <c r="M502" s="128">
        <v>5500</v>
      </c>
      <c r="N502" s="22"/>
      <c r="O502" s="25"/>
    </row>
    <row r="503" spans="1:15" ht="38.25" x14ac:dyDescent="0.25">
      <c r="A503" s="286"/>
      <c r="B503" s="218"/>
      <c r="C503" s="22" t="s">
        <v>178</v>
      </c>
      <c r="D503" s="53">
        <v>1460</v>
      </c>
      <c r="E503" s="53">
        <v>1460</v>
      </c>
      <c r="F503" s="53">
        <v>805.5</v>
      </c>
      <c r="G503" s="53">
        <v>654.5</v>
      </c>
      <c r="H503" s="53">
        <v>654.5</v>
      </c>
      <c r="I503" s="54">
        <f t="shared" si="70"/>
        <v>0.55171232876712328</v>
      </c>
      <c r="J503" s="22" t="s">
        <v>950</v>
      </c>
      <c r="K503" s="24" t="s">
        <v>337</v>
      </c>
      <c r="L503" s="24">
        <v>300</v>
      </c>
      <c r="M503" s="130">
        <v>300</v>
      </c>
      <c r="N503" s="22"/>
      <c r="O503" s="25"/>
    </row>
    <row r="504" spans="1:15" ht="25.5" x14ac:dyDescent="0.25">
      <c r="A504" s="286"/>
      <c r="B504" s="218"/>
      <c r="C504" s="22" t="s">
        <v>30</v>
      </c>
      <c r="D504" s="53">
        <v>338.4</v>
      </c>
      <c r="E504" s="53">
        <v>338.4</v>
      </c>
      <c r="F504" s="53">
        <v>332.8</v>
      </c>
      <c r="G504" s="53">
        <v>5.6</v>
      </c>
      <c r="H504" s="53">
        <v>5.6</v>
      </c>
      <c r="I504" s="54">
        <f t="shared" si="70"/>
        <v>0.98345153664302609</v>
      </c>
      <c r="J504" s="22" t="s">
        <v>951</v>
      </c>
      <c r="K504" s="24" t="s">
        <v>19</v>
      </c>
      <c r="L504" s="24">
        <v>1</v>
      </c>
      <c r="M504" s="130">
        <v>1</v>
      </c>
      <c r="N504" s="22"/>
      <c r="O504" s="25"/>
    </row>
    <row r="505" spans="1:15" ht="25.5" x14ac:dyDescent="0.25">
      <c r="A505" s="286"/>
      <c r="B505" s="218"/>
      <c r="C505" s="22" t="s">
        <v>952</v>
      </c>
      <c r="D505" s="53">
        <v>38010.400000000001</v>
      </c>
      <c r="E505" s="53">
        <v>38010.400000000001</v>
      </c>
      <c r="F505" s="53">
        <v>38010</v>
      </c>
      <c r="G505" s="53">
        <v>0.4</v>
      </c>
      <c r="H505" s="53">
        <v>0.4</v>
      </c>
      <c r="I505" s="54">
        <f t="shared" si="70"/>
        <v>0.9999894765643087</v>
      </c>
      <c r="J505" s="22" t="s">
        <v>953</v>
      </c>
      <c r="K505" s="24" t="s">
        <v>337</v>
      </c>
      <c r="L505" s="24">
        <v>27</v>
      </c>
      <c r="M505" s="130">
        <v>27</v>
      </c>
      <c r="N505" s="22"/>
      <c r="O505" s="25"/>
    </row>
    <row r="506" spans="1:15" ht="25.5" x14ac:dyDescent="0.25">
      <c r="A506" s="286"/>
      <c r="B506" s="218"/>
      <c r="C506" s="22" t="s">
        <v>165</v>
      </c>
      <c r="D506" s="53">
        <v>1250</v>
      </c>
      <c r="E506" s="53">
        <v>1250</v>
      </c>
      <c r="F506" s="53">
        <v>559.6</v>
      </c>
      <c r="G506" s="53">
        <v>690.4</v>
      </c>
      <c r="H506" s="53">
        <v>690.4</v>
      </c>
      <c r="I506" s="54">
        <f t="shared" si="70"/>
        <v>0.44768000000000002</v>
      </c>
      <c r="J506" s="22" t="s">
        <v>954</v>
      </c>
      <c r="K506" s="24" t="s">
        <v>296</v>
      </c>
      <c r="L506" s="24">
        <v>12</v>
      </c>
      <c r="M506" s="112">
        <v>11.7</v>
      </c>
      <c r="N506" s="22"/>
      <c r="O506" s="25"/>
    </row>
    <row r="507" spans="1:15" ht="51" x14ac:dyDescent="0.25">
      <c r="A507" s="286"/>
      <c r="B507" s="218"/>
      <c r="C507" s="22" t="s">
        <v>26</v>
      </c>
      <c r="D507" s="53">
        <v>12452.3</v>
      </c>
      <c r="E507" s="53">
        <v>12452.3</v>
      </c>
      <c r="F507" s="53">
        <v>12121.2</v>
      </c>
      <c r="G507" s="53">
        <v>331.1</v>
      </c>
      <c r="H507" s="53">
        <v>331.1</v>
      </c>
      <c r="I507" s="54">
        <f t="shared" si="70"/>
        <v>0.97341053460003379</v>
      </c>
      <c r="J507" s="22" t="s">
        <v>955</v>
      </c>
      <c r="K507" s="24" t="s">
        <v>337</v>
      </c>
      <c r="L507" s="81">
        <v>13202</v>
      </c>
      <c r="M507" s="120">
        <v>13570</v>
      </c>
      <c r="N507" s="22"/>
      <c r="O507" s="25"/>
    </row>
    <row r="508" spans="1:15" ht="40.5" customHeight="1" thickBot="1" x14ac:dyDescent="0.3">
      <c r="A508" s="287"/>
      <c r="B508" s="219"/>
      <c r="C508" s="22"/>
      <c r="D508" s="53"/>
      <c r="E508" s="53"/>
      <c r="F508" s="53"/>
      <c r="G508" s="53"/>
      <c r="H508" s="53"/>
      <c r="I508" s="67"/>
      <c r="J508" s="22" t="s">
        <v>956</v>
      </c>
      <c r="K508" s="24" t="s">
        <v>25</v>
      </c>
      <c r="L508" s="24">
        <v>10</v>
      </c>
      <c r="M508" s="131">
        <v>24</v>
      </c>
      <c r="N508" s="22"/>
      <c r="O508" s="25"/>
    </row>
    <row r="509" spans="1:15" ht="38.25" x14ac:dyDescent="0.25">
      <c r="A509" s="285" t="s">
        <v>957</v>
      </c>
      <c r="B509" s="217" t="s">
        <v>958</v>
      </c>
      <c r="C509" s="17"/>
      <c r="D509" s="51">
        <f>SUM(D510:D512)</f>
        <v>35.200000000000003</v>
      </c>
      <c r="E509" s="51">
        <f>SUM(E510:E512)</f>
        <v>35.200000000000003</v>
      </c>
      <c r="F509" s="51">
        <f>SUM(F510:F512)</f>
        <v>35.1</v>
      </c>
      <c r="G509" s="51">
        <f>SUM(G510:G512)</f>
        <v>0.1</v>
      </c>
      <c r="H509" s="51">
        <f>SUM(H510:H512)</f>
        <v>0.1</v>
      </c>
      <c r="I509" s="54">
        <f t="shared" ref="I509" si="71">SUM(F509/E509)</f>
        <v>0.99715909090909083</v>
      </c>
      <c r="J509" s="17" t="s">
        <v>959</v>
      </c>
      <c r="K509" s="18" t="s">
        <v>337</v>
      </c>
      <c r="L509" s="18">
        <v>55</v>
      </c>
      <c r="M509" s="135">
        <v>54</v>
      </c>
      <c r="N509" s="17"/>
      <c r="O509" s="166" t="s">
        <v>1943</v>
      </c>
    </row>
    <row r="510" spans="1:15" ht="26.25" thickBot="1" x14ac:dyDescent="0.3">
      <c r="A510" s="287"/>
      <c r="B510" s="219"/>
      <c r="C510" s="22"/>
      <c r="D510" s="53"/>
      <c r="E510" s="53"/>
      <c r="F510" s="53"/>
      <c r="G510" s="53"/>
      <c r="H510" s="53"/>
      <c r="I510" s="67"/>
      <c r="J510" s="22" t="s">
        <v>960</v>
      </c>
      <c r="K510" s="24" t="s">
        <v>337</v>
      </c>
      <c r="L510" s="24">
        <v>30</v>
      </c>
      <c r="M510" s="130">
        <v>30</v>
      </c>
      <c r="N510" s="22"/>
      <c r="O510" s="25"/>
    </row>
    <row r="511" spans="1:15" ht="26.25" thickBot="1" x14ac:dyDescent="0.3">
      <c r="A511" s="15" t="s">
        <v>961</v>
      </c>
      <c r="B511" s="16" t="s">
        <v>962</v>
      </c>
      <c r="C511" s="17" t="s">
        <v>952</v>
      </c>
      <c r="D511" s="61">
        <v>35.200000000000003</v>
      </c>
      <c r="E511" s="61">
        <v>35.200000000000003</v>
      </c>
      <c r="F511" s="61">
        <v>35.1</v>
      </c>
      <c r="G511" s="61">
        <v>0.1</v>
      </c>
      <c r="H511" s="61">
        <v>0.1</v>
      </c>
      <c r="I511" s="54">
        <f t="shared" ref="I511" si="72">SUM(F511/E511)</f>
        <v>0.99715909090909083</v>
      </c>
      <c r="J511" s="17" t="s">
        <v>963</v>
      </c>
      <c r="K511" s="18" t="s">
        <v>337</v>
      </c>
      <c r="L511" s="18">
        <v>400</v>
      </c>
      <c r="M511" s="135">
        <v>396</v>
      </c>
      <c r="N511" s="17"/>
      <c r="O511" s="166" t="s">
        <v>1897</v>
      </c>
    </row>
    <row r="512" spans="1:15" ht="64.5" thickBot="1" x14ac:dyDescent="0.3">
      <c r="A512" s="15" t="s">
        <v>964</v>
      </c>
      <c r="B512" s="16" t="s">
        <v>965</v>
      </c>
      <c r="C512" s="17"/>
      <c r="D512" s="61"/>
      <c r="E512" s="61"/>
      <c r="F512" s="61"/>
      <c r="G512" s="61"/>
      <c r="H512" s="61"/>
      <c r="I512" s="69"/>
      <c r="J512" s="17" t="s">
        <v>966</v>
      </c>
      <c r="K512" s="18" t="s">
        <v>337</v>
      </c>
      <c r="L512" s="18">
        <v>55</v>
      </c>
      <c r="M512" s="135">
        <v>54</v>
      </c>
      <c r="N512" s="17" t="s">
        <v>967</v>
      </c>
      <c r="O512" s="19" t="s">
        <v>1796</v>
      </c>
    </row>
    <row r="513" spans="1:15" ht="26.25" thickBot="1" x14ac:dyDescent="0.3">
      <c r="A513" s="15" t="s">
        <v>968</v>
      </c>
      <c r="B513" s="16" t="s">
        <v>969</v>
      </c>
      <c r="C513" s="17" t="s">
        <v>26</v>
      </c>
      <c r="D513" s="61">
        <v>56.7</v>
      </c>
      <c r="E513" s="61">
        <v>56.7</v>
      </c>
      <c r="F513" s="61">
        <v>54.5</v>
      </c>
      <c r="G513" s="61">
        <v>2.2000000000000002</v>
      </c>
      <c r="H513" s="61">
        <v>2.2000000000000002</v>
      </c>
      <c r="I513" s="63">
        <f t="shared" ref="I513:I514" si="73">SUM(F513/E513)</f>
        <v>0.96119929453262787</v>
      </c>
      <c r="J513" s="17" t="s">
        <v>970</v>
      </c>
      <c r="K513" s="18" t="s">
        <v>337</v>
      </c>
      <c r="L513" s="18">
        <v>700</v>
      </c>
      <c r="M513" s="135">
        <v>654</v>
      </c>
      <c r="N513" s="17" t="s">
        <v>971</v>
      </c>
      <c r="O513" s="19" t="s">
        <v>1797</v>
      </c>
    </row>
    <row r="514" spans="1:15" ht="54" customHeight="1" x14ac:dyDescent="0.25">
      <c r="A514" s="285" t="s">
        <v>972</v>
      </c>
      <c r="B514" s="217" t="s">
        <v>973</v>
      </c>
      <c r="C514" s="17"/>
      <c r="D514" s="51">
        <f>D515+D516+D519+D522</f>
        <v>916.1</v>
      </c>
      <c r="E514" s="51">
        <f>E515+E516+E519+E522</f>
        <v>916.1</v>
      </c>
      <c r="F514" s="51">
        <f>F515+F516+F519+F522</f>
        <v>916.1</v>
      </c>
      <c r="G514" s="51"/>
      <c r="H514" s="51"/>
      <c r="I514" s="54">
        <f t="shared" si="73"/>
        <v>1</v>
      </c>
      <c r="J514" s="17" t="s">
        <v>974</v>
      </c>
      <c r="K514" s="18" t="s">
        <v>337</v>
      </c>
      <c r="L514" s="18">
        <v>2</v>
      </c>
      <c r="M514" s="125">
        <v>2</v>
      </c>
      <c r="N514" s="17"/>
      <c r="O514" s="19"/>
    </row>
    <row r="515" spans="1:15" ht="26.25" thickBot="1" x14ac:dyDescent="0.3">
      <c r="A515" s="287"/>
      <c r="B515" s="219"/>
      <c r="C515" s="22"/>
      <c r="D515" s="53"/>
      <c r="E515" s="53"/>
      <c r="F515" s="53"/>
      <c r="G515" s="53"/>
      <c r="H515" s="53"/>
      <c r="I515" s="67"/>
      <c r="J515" s="22" t="s">
        <v>975</v>
      </c>
      <c r="K515" s="24" t="s">
        <v>337</v>
      </c>
      <c r="L515" s="24">
        <v>1</v>
      </c>
      <c r="M515" s="130">
        <v>1</v>
      </c>
      <c r="N515" s="22"/>
      <c r="O515" s="25"/>
    </row>
    <row r="516" spans="1:15" ht="25.5" customHeight="1" x14ac:dyDescent="0.25">
      <c r="A516" s="285" t="s">
        <v>976</v>
      </c>
      <c r="B516" s="217" t="s">
        <v>977</v>
      </c>
      <c r="C516" s="17"/>
      <c r="D516" s="51">
        <f>SUM(D517:D518)</f>
        <v>553.1</v>
      </c>
      <c r="E516" s="51">
        <f>SUM(E517:E518)</f>
        <v>553.1</v>
      </c>
      <c r="F516" s="51">
        <f>SUM(F517:F518)</f>
        <v>553.1</v>
      </c>
      <c r="G516" s="51"/>
      <c r="H516" s="51"/>
      <c r="I516" s="54">
        <f t="shared" ref="I516:I566" si="74">SUM(F516/E516)</f>
        <v>1</v>
      </c>
      <c r="J516" s="17" t="s">
        <v>978</v>
      </c>
      <c r="K516" s="18" t="s">
        <v>337</v>
      </c>
      <c r="L516" s="18">
        <v>1</v>
      </c>
      <c r="M516" s="125">
        <v>1</v>
      </c>
      <c r="N516" s="17"/>
      <c r="O516" s="19"/>
    </row>
    <row r="517" spans="1:15" x14ac:dyDescent="0.25">
      <c r="A517" s="286"/>
      <c r="B517" s="218"/>
      <c r="C517" s="22" t="s">
        <v>952</v>
      </c>
      <c r="D517" s="53">
        <v>552.20000000000005</v>
      </c>
      <c r="E517" s="53">
        <v>552.20000000000005</v>
      </c>
      <c r="F517" s="53">
        <v>552.20000000000005</v>
      </c>
      <c r="G517" s="53"/>
      <c r="H517" s="53"/>
      <c r="I517" s="54">
        <f t="shared" si="74"/>
        <v>1</v>
      </c>
      <c r="J517" s="22"/>
      <c r="K517" s="24"/>
      <c r="L517" s="81"/>
      <c r="M517" s="82"/>
      <c r="N517" s="22"/>
      <c r="O517" s="25"/>
    </row>
    <row r="518" spans="1:15" ht="15.75" thickBot="1" x14ac:dyDescent="0.3">
      <c r="A518" s="287"/>
      <c r="B518" s="219"/>
      <c r="C518" s="22" t="s">
        <v>26</v>
      </c>
      <c r="D518" s="53">
        <v>0.9</v>
      </c>
      <c r="E518" s="53">
        <v>0.9</v>
      </c>
      <c r="F518" s="53">
        <v>0.9</v>
      </c>
      <c r="G518" s="53"/>
      <c r="H518" s="53"/>
      <c r="I518" s="68">
        <f t="shared" si="74"/>
        <v>1</v>
      </c>
      <c r="J518" s="22"/>
      <c r="K518" s="24"/>
      <c r="L518" s="81"/>
      <c r="M518" s="82"/>
      <c r="N518" s="22"/>
      <c r="O518" s="25"/>
    </row>
    <row r="519" spans="1:15" ht="25.5" customHeight="1" x14ac:dyDescent="0.25">
      <c r="A519" s="285" t="s">
        <v>979</v>
      </c>
      <c r="B519" s="217" t="s">
        <v>980</v>
      </c>
      <c r="C519" s="17"/>
      <c r="D519" s="51">
        <f>SUM(D520:D521)</f>
        <v>307</v>
      </c>
      <c r="E519" s="51">
        <f>SUM(E520:E521)</f>
        <v>307</v>
      </c>
      <c r="F519" s="51">
        <f>SUM(F520:F521)</f>
        <v>307</v>
      </c>
      <c r="G519" s="51"/>
      <c r="H519" s="51"/>
      <c r="I519" s="54">
        <f t="shared" si="74"/>
        <v>1</v>
      </c>
      <c r="J519" s="17" t="s">
        <v>978</v>
      </c>
      <c r="K519" s="18" t="s">
        <v>337</v>
      </c>
      <c r="L519" s="18">
        <v>1</v>
      </c>
      <c r="M519" s="125">
        <v>1</v>
      </c>
      <c r="N519" s="17"/>
      <c r="O519" s="19"/>
    </row>
    <row r="520" spans="1:15" x14ac:dyDescent="0.25">
      <c r="A520" s="286"/>
      <c r="B520" s="218"/>
      <c r="C520" s="22" t="s">
        <v>952</v>
      </c>
      <c r="D520" s="53">
        <v>306.8</v>
      </c>
      <c r="E520" s="53">
        <v>306.8</v>
      </c>
      <c r="F520" s="53">
        <v>306.8</v>
      </c>
      <c r="G520" s="53"/>
      <c r="H520" s="53"/>
      <c r="I520" s="54">
        <f t="shared" si="74"/>
        <v>1</v>
      </c>
      <c r="J520" s="22"/>
      <c r="K520" s="24"/>
      <c r="L520" s="81"/>
      <c r="M520" s="82"/>
      <c r="N520" s="22"/>
      <c r="O520" s="25"/>
    </row>
    <row r="521" spans="1:15" ht="15.75" thickBot="1" x14ac:dyDescent="0.3">
      <c r="A521" s="287"/>
      <c r="B521" s="219"/>
      <c r="C521" s="22" t="s">
        <v>26</v>
      </c>
      <c r="D521" s="53">
        <v>0.2</v>
      </c>
      <c r="E521" s="53">
        <v>0.2</v>
      </c>
      <c r="F521" s="53">
        <v>0.2</v>
      </c>
      <c r="G521" s="53"/>
      <c r="H521" s="53"/>
      <c r="I521" s="68">
        <f t="shared" si="74"/>
        <v>1</v>
      </c>
      <c r="J521" s="22"/>
      <c r="K521" s="24"/>
      <c r="L521" s="81"/>
      <c r="M521" s="82"/>
      <c r="N521" s="22"/>
      <c r="O521" s="25"/>
    </row>
    <row r="522" spans="1:15" ht="39" thickBot="1" x14ac:dyDescent="0.3">
      <c r="A522" s="15" t="s">
        <v>981</v>
      </c>
      <c r="B522" s="16" t="s">
        <v>982</v>
      </c>
      <c r="C522" s="17" t="s">
        <v>26</v>
      </c>
      <c r="D522" s="61">
        <v>56</v>
      </c>
      <c r="E522" s="61">
        <v>56</v>
      </c>
      <c r="F522" s="61">
        <v>56</v>
      </c>
      <c r="G522" s="61"/>
      <c r="H522" s="61"/>
      <c r="I522" s="63">
        <f t="shared" si="74"/>
        <v>1</v>
      </c>
      <c r="J522" s="17" t="s">
        <v>978</v>
      </c>
      <c r="K522" s="18" t="s">
        <v>337</v>
      </c>
      <c r="L522" s="18">
        <v>1</v>
      </c>
      <c r="M522" s="125">
        <v>1</v>
      </c>
      <c r="N522" s="17"/>
      <c r="O522" s="19"/>
    </row>
    <row r="523" spans="1:15" ht="46.5" customHeight="1" x14ac:dyDescent="0.25">
      <c r="A523" s="285" t="s">
        <v>983</v>
      </c>
      <c r="B523" s="217" t="s">
        <v>984</v>
      </c>
      <c r="C523" s="17"/>
      <c r="D523" s="51">
        <f>SUM(D524:D525)</f>
        <v>97.8</v>
      </c>
      <c r="E523" s="51">
        <f>SUM(E524:E525)</f>
        <v>97.8</v>
      </c>
      <c r="F523" s="51">
        <f>SUM(F524:F525)</f>
        <v>48.8</v>
      </c>
      <c r="G523" s="51">
        <f>SUM(G524:G525)</f>
        <v>49</v>
      </c>
      <c r="H523" s="51">
        <f>SUM(H524:H525)</f>
        <v>49</v>
      </c>
      <c r="I523" s="54">
        <f t="shared" si="74"/>
        <v>0.49897750511247441</v>
      </c>
      <c r="J523" s="17" t="s">
        <v>985</v>
      </c>
      <c r="K523" s="18" t="s">
        <v>337</v>
      </c>
      <c r="L523" s="18">
        <v>6</v>
      </c>
      <c r="M523" s="125">
        <v>6</v>
      </c>
      <c r="N523" s="17" t="s">
        <v>986</v>
      </c>
      <c r="O523" s="19"/>
    </row>
    <row r="524" spans="1:15" x14ac:dyDescent="0.25">
      <c r="A524" s="286"/>
      <c r="B524" s="218"/>
      <c r="C524" s="22" t="s">
        <v>191</v>
      </c>
      <c r="D524" s="53">
        <v>48.9</v>
      </c>
      <c r="E524" s="53">
        <v>48.9</v>
      </c>
      <c r="F524" s="53">
        <v>48.8</v>
      </c>
      <c r="G524" s="53">
        <v>0.1</v>
      </c>
      <c r="H524" s="53">
        <v>0.1</v>
      </c>
      <c r="I524" s="54">
        <f t="shared" si="74"/>
        <v>0.99795501022494881</v>
      </c>
      <c r="J524" s="22"/>
      <c r="K524" s="24"/>
      <c r="L524" s="81"/>
      <c r="M524" s="82"/>
      <c r="N524" s="22"/>
      <c r="O524" s="25"/>
    </row>
    <row r="525" spans="1:15" ht="15.75" thickBot="1" x14ac:dyDescent="0.3">
      <c r="A525" s="287"/>
      <c r="B525" s="219"/>
      <c r="C525" s="22" t="s">
        <v>26</v>
      </c>
      <c r="D525" s="53">
        <v>48.9</v>
      </c>
      <c r="E525" s="53">
        <v>48.9</v>
      </c>
      <c r="F525" s="53">
        <v>0</v>
      </c>
      <c r="G525" s="53">
        <v>48.9</v>
      </c>
      <c r="H525" s="53">
        <v>48.9</v>
      </c>
      <c r="I525" s="68">
        <f t="shared" si="74"/>
        <v>0</v>
      </c>
      <c r="J525" s="22"/>
      <c r="K525" s="24"/>
      <c r="L525" s="81"/>
      <c r="M525" s="82"/>
      <c r="N525" s="22"/>
      <c r="O525" s="25"/>
    </row>
    <row r="526" spans="1:15" ht="38.25" x14ac:dyDescent="0.25">
      <c r="A526" s="285" t="s">
        <v>987</v>
      </c>
      <c r="B526" s="217" t="s">
        <v>988</v>
      </c>
      <c r="C526" s="17"/>
      <c r="D526" s="51">
        <f>SUM(D527:D533)</f>
        <v>6290.7999999999993</v>
      </c>
      <c r="E526" s="51">
        <f>SUM(E527:E533)</f>
        <v>6290.7999999999993</v>
      </c>
      <c r="F526" s="51">
        <f>SUM(F527:F533)</f>
        <v>5929.9</v>
      </c>
      <c r="G526" s="51">
        <f>SUM(G527:G533)</f>
        <v>360.90000000000003</v>
      </c>
      <c r="H526" s="51">
        <f>SUM(H527:H533)</f>
        <v>360.90000000000003</v>
      </c>
      <c r="I526" s="54">
        <f t="shared" si="74"/>
        <v>0.94263050804349213</v>
      </c>
      <c r="J526" s="17" t="s">
        <v>989</v>
      </c>
      <c r="K526" s="18" t="s">
        <v>337</v>
      </c>
      <c r="L526" s="18">
        <v>10</v>
      </c>
      <c r="M526" s="135">
        <v>8</v>
      </c>
      <c r="N526" s="17" t="s">
        <v>990</v>
      </c>
      <c r="O526" s="19" t="s">
        <v>1944</v>
      </c>
    </row>
    <row r="527" spans="1:15" ht="25.5" x14ac:dyDescent="0.25">
      <c r="A527" s="286"/>
      <c r="B527" s="218"/>
      <c r="C527" s="22" t="s">
        <v>168</v>
      </c>
      <c r="D527" s="53">
        <v>118.7</v>
      </c>
      <c r="E527" s="53">
        <v>118.7</v>
      </c>
      <c r="F527" s="53">
        <v>46.6</v>
      </c>
      <c r="G527" s="53">
        <v>72.099999999999994</v>
      </c>
      <c r="H527" s="53">
        <v>72.099999999999994</v>
      </c>
      <c r="I527" s="54">
        <f t="shared" si="74"/>
        <v>0.39258635214827298</v>
      </c>
      <c r="J527" s="22" t="s">
        <v>991</v>
      </c>
      <c r="K527" s="24" t="s">
        <v>337</v>
      </c>
      <c r="L527" s="81">
        <v>4450</v>
      </c>
      <c r="M527" s="132">
        <v>3750</v>
      </c>
      <c r="N527" s="22"/>
      <c r="O527" s="167" t="s">
        <v>1945</v>
      </c>
    </row>
    <row r="528" spans="1:15" x14ac:dyDescent="0.25">
      <c r="A528" s="286"/>
      <c r="B528" s="218"/>
      <c r="C528" s="22" t="s">
        <v>30</v>
      </c>
      <c r="D528" s="53">
        <v>86.2</v>
      </c>
      <c r="E528" s="53">
        <v>86.2</v>
      </c>
      <c r="F528" s="53">
        <v>86.2</v>
      </c>
      <c r="G528" s="53"/>
      <c r="H528" s="53"/>
      <c r="I528" s="54">
        <f t="shared" si="74"/>
        <v>1</v>
      </c>
      <c r="J528" s="22" t="s">
        <v>992</v>
      </c>
      <c r="K528" s="24" t="s">
        <v>337</v>
      </c>
      <c r="L528" s="24">
        <v>130</v>
      </c>
      <c r="M528" s="120">
        <v>1045</v>
      </c>
      <c r="N528" s="22"/>
      <c r="O528" s="25"/>
    </row>
    <row r="529" spans="1:15" x14ac:dyDescent="0.25">
      <c r="A529" s="286"/>
      <c r="B529" s="218"/>
      <c r="C529" s="22" t="s">
        <v>178</v>
      </c>
      <c r="D529" s="53">
        <v>356.4</v>
      </c>
      <c r="E529" s="53">
        <v>356.4</v>
      </c>
      <c r="F529" s="53">
        <v>207.5</v>
      </c>
      <c r="G529" s="53">
        <v>148.9</v>
      </c>
      <c r="H529" s="53">
        <v>148.9</v>
      </c>
      <c r="I529" s="54">
        <f t="shared" si="74"/>
        <v>0.58221099887766559</v>
      </c>
      <c r="J529" s="22"/>
      <c r="K529" s="24"/>
      <c r="L529" s="81"/>
      <c r="M529" s="82"/>
      <c r="N529" s="22"/>
      <c r="O529" s="25"/>
    </row>
    <row r="530" spans="1:15" x14ac:dyDescent="0.25">
      <c r="A530" s="286"/>
      <c r="B530" s="218"/>
      <c r="C530" s="22" t="s">
        <v>171</v>
      </c>
      <c r="D530" s="53">
        <v>407.1</v>
      </c>
      <c r="E530" s="53">
        <v>407.1</v>
      </c>
      <c r="F530" s="53">
        <v>303.3</v>
      </c>
      <c r="G530" s="53">
        <v>103.8</v>
      </c>
      <c r="H530" s="53">
        <v>103.8</v>
      </c>
      <c r="I530" s="54">
        <f t="shared" si="74"/>
        <v>0.74502579218865139</v>
      </c>
      <c r="J530" s="22"/>
      <c r="K530" s="24"/>
      <c r="L530" s="81"/>
      <c r="M530" s="82"/>
      <c r="N530" s="22"/>
      <c r="O530" s="25"/>
    </row>
    <row r="531" spans="1:15" x14ac:dyDescent="0.25">
      <c r="A531" s="286"/>
      <c r="B531" s="218"/>
      <c r="C531" s="22" t="s">
        <v>26</v>
      </c>
      <c r="D531" s="53">
        <v>4992.5</v>
      </c>
      <c r="E531" s="53">
        <v>4992.5</v>
      </c>
      <c r="F531" s="53">
        <v>4968.3999999999996</v>
      </c>
      <c r="G531" s="53">
        <v>24.1</v>
      </c>
      <c r="H531" s="53">
        <v>24.1</v>
      </c>
      <c r="I531" s="54">
        <f t="shared" si="74"/>
        <v>0.99517275913870795</v>
      </c>
      <c r="J531" s="22"/>
      <c r="K531" s="24"/>
      <c r="L531" s="81"/>
      <c r="M531" s="82"/>
      <c r="N531" s="22"/>
      <c r="O531" s="25"/>
    </row>
    <row r="532" spans="1:15" x14ac:dyDescent="0.25">
      <c r="A532" s="286"/>
      <c r="B532" s="218"/>
      <c r="C532" s="22" t="s">
        <v>165</v>
      </c>
      <c r="D532" s="53">
        <v>12</v>
      </c>
      <c r="E532" s="53">
        <v>12</v>
      </c>
      <c r="F532" s="53">
        <v>0</v>
      </c>
      <c r="G532" s="53">
        <v>12</v>
      </c>
      <c r="H532" s="53">
        <v>12</v>
      </c>
      <c r="I532" s="54">
        <f t="shared" si="74"/>
        <v>0</v>
      </c>
      <c r="J532" s="22"/>
      <c r="K532" s="24"/>
      <c r="L532" s="81"/>
      <c r="M532" s="82"/>
      <c r="N532" s="22"/>
      <c r="O532" s="25"/>
    </row>
    <row r="533" spans="1:15" ht="15.75" thickBot="1" x14ac:dyDescent="0.3">
      <c r="A533" s="287"/>
      <c r="B533" s="219"/>
      <c r="C533" s="22" t="s">
        <v>952</v>
      </c>
      <c r="D533" s="53">
        <v>317.89999999999998</v>
      </c>
      <c r="E533" s="53">
        <v>317.89999999999998</v>
      </c>
      <c r="F533" s="53">
        <v>317.89999999999998</v>
      </c>
      <c r="G533" s="53"/>
      <c r="H533" s="53"/>
      <c r="I533" s="68">
        <f t="shared" si="74"/>
        <v>1</v>
      </c>
      <c r="J533" s="22"/>
      <c r="K533" s="24"/>
      <c r="L533" s="81"/>
      <c r="M533" s="82"/>
      <c r="N533" s="22"/>
      <c r="O533" s="25"/>
    </row>
    <row r="534" spans="1:15" ht="105.75" customHeight="1" x14ac:dyDescent="0.25">
      <c r="A534" s="285" t="s">
        <v>993</v>
      </c>
      <c r="B534" s="217" t="s">
        <v>994</v>
      </c>
      <c r="C534" s="17"/>
      <c r="D534" s="51">
        <f>SUM(D535:D536)</f>
        <v>720.4</v>
      </c>
      <c r="E534" s="51">
        <f>SUM(E535:E536)</f>
        <v>720.4</v>
      </c>
      <c r="F534" s="51">
        <f>SUM(F535:F536)</f>
        <v>567.9</v>
      </c>
      <c r="G534" s="51">
        <f>SUM(G535:G536)</f>
        <v>152.5</v>
      </c>
      <c r="H534" s="51">
        <f>SUM(H535:H536)</f>
        <v>152.5</v>
      </c>
      <c r="I534" s="54">
        <f t="shared" si="74"/>
        <v>0.78831204886174344</v>
      </c>
      <c r="J534" s="17" t="s">
        <v>995</v>
      </c>
      <c r="K534" s="18" t="s">
        <v>337</v>
      </c>
      <c r="L534" s="18">
        <v>65</v>
      </c>
      <c r="M534" s="139">
        <v>113</v>
      </c>
      <c r="N534" s="17" t="s">
        <v>1875</v>
      </c>
      <c r="O534" s="19"/>
    </row>
    <row r="535" spans="1:15" x14ac:dyDescent="0.25">
      <c r="A535" s="286"/>
      <c r="B535" s="218"/>
      <c r="C535" s="22" t="s">
        <v>181</v>
      </c>
      <c r="D535" s="53">
        <v>720.4</v>
      </c>
      <c r="E535" s="53">
        <v>720.4</v>
      </c>
      <c r="F535" s="53">
        <v>567.9</v>
      </c>
      <c r="G535" s="53">
        <v>152.5</v>
      </c>
      <c r="H535" s="53">
        <v>152.5</v>
      </c>
      <c r="I535" s="54">
        <f t="shared" si="74"/>
        <v>0.78831204886174344</v>
      </c>
      <c r="J535" s="22" t="s">
        <v>996</v>
      </c>
      <c r="K535" s="24" t="s">
        <v>337</v>
      </c>
      <c r="L535" s="24">
        <v>45</v>
      </c>
      <c r="M535" s="131">
        <v>127</v>
      </c>
      <c r="N535" s="22"/>
      <c r="O535" s="25"/>
    </row>
    <row r="536" spans="1:15" ht="39" thickBot="1" x14ac:dyDescent="0.3">
      <c r="A536" s="287"/>
      <c r="B536" s="219"/>
      <c r="C536" s="22"/>
      <c r="D536" s="53"/>
      <c r="E536" s="53"/>
      <c r="F536" s="53"/>
      <c r="G536" s="53"/>
      <c r="H536" s="53"/>
      <c r="I536" s="68"/>
      <c r="J536" s="22" t="s">
        <v>997</v>
      </c>
      <c r="K536" s="24" t="s">
        <v>337</v>
      </c>
      <c r="L536" s="81">
        <v>2000</v>
      </c>
      <c r="M536" s="120">
        <v>3222</v>
      </c>
      <c r="N536" s="22" t="s">
        <v>998</v>
      </c>
      <c r="O536" s="25"/>
    </row>
    <row r="537" spans="1:15" ht="39" thickBot="1" x14ac:dyDescent="0.3">
      <c r="A537" s="37" t="s">
        <v>999</v>
      </c>
      <c r="B537" s="17" t="s">
        <v>1000</v>
      </c>
      <c r="C537" s="17" t="s">
        <v>26</v>
      </c>
      <c r="D537" s="61">
        <v>10.7</v>
      </c>
      <c r="E537" s="61">
        <v>10.7</v>
      </c>
      <c r="F537" s="61">
        <v>10.7</v>
      </c>
      <c r="G537" s="61"/>
      <c r="H537" s="61"/>
      <c r="I537" s="63">
        <f t="shared" si="74"/>
        <v>1</v>
      </c>
      <c r="J537" s="17" t="s">
        <v>1001</v>
      </c>
      <c r="K537" s="18" t="s">
        <v>337</v>
      </c>
      <c r="L537" s="18">
        <v>70</v>
      </c>
      <c r="M537" s="139">
        <v>72</v>
      </c>
      <c r="N537" s="17" t="s">
        <v>1002</v>
      </c>
      <c r="O537" s="19"/>
    </row>
    <row r="538" spans="1:15" ht="25.5" x14ac:dyDescent="0.25">
      <c r="A538" s="285" t="s">
        <v>1003</v>
      </c>
      <c r="B538" s="217" t="s">
        <v>1004</v>
      </c>
      <c r="C538" s="17"/>
      <c r="D538" s="51">
        <f>SUM(D539:D546)</f>
        <v>28007.5</v>
      </c>
      <c r="E538" s="51">
        <f>SUM(E539:E546)</f>
        <v>28007.5</v>
      </c>
      <c r="F538" s="51">
        <f>SUM(F539:F546)-0.1</f>
        <v>27092.600000000002</v>
      </c>
      <c r="G538" s="51">
        <f>SUM(G539:G546)</f>
        <v>914.90000000000009</v>
      </c>
      <c r="H538" s="51">
        <f>SUM(H539:H546)</f>
        <v>914.90000000000009</v>
      </c>
      <c r="I538" s="54">
        <f t="shared" si="74"/>
        <v>0.9673337498884228</v>
      </c>
      <c r="J538" s="17" t="s">
        <v>1005</v>
      </c>
      <c r="K538" s="18" t="s">
        <v>337</v>
      </c>
      <c r="L538" s="18">
        <v>25</v>
      </c>
      <c r="M538" s="135">
        <v>24</v>
      </c>
      <c r="N538" s="17" t="s">
        <v>1006</v>
      </c>
      <c r="O538" s="19" t="s">
        <v>1946</v>
      </c>
    </row>
    <row r="539" spans="1:15" ht="25.5" x14ac:dyDescent="0.25">
      <c r="A539" s="286"/>
      <c r="B539" s="218"/>
      <c r="C539" s="22" t="s">
        <v>171</v>
      </c>
      <c r="D539" s="53">
        <v>2993.8</v>
      </c>
      <c r="E539" s="53">
        <v>2993.8</v>
      </c>
      <c r="F539" s="53">
        <v>2432.6</v>
      </c>
      <c r="G539" s="53">
        <v>561.20000000000005</v>
      </c>
      <c r="H539" s="53">
        <v>561.20000000000005</v>
      </c>
      <c r="I539" s="54">
        <f t="shared" si="74"/>
        <v>0.81254592825172012</v>
      </c>
      <c r="J539" s="22" t="s">
        <v>1007</v>
      </c>
      <c r="K539" s="24" t="s">
        <v>337</v>
      </c>
      <c r="L539" s="81">
        <v>4300</v>
      </c>
      <c r="M539" s="120">
        <v>4767</v>
      </c>
      <c r="N539" s="22"/>
      <c r="O539" s="25"/>
    </row>
    <row r="540" spans="1:15" x14ac:dyDescent="0.25">
      <c r="A540" s="286"/>
      <c r="B540" s="218"/>
      <c r="C540" s="22" t="s">
        <v>165</v>
      </c>
      <c r="D540" s="53">
        <v>370.4</v>
      </c>
      <c r="E540" s="53">
        <v>370.4</v>
      </c>
      <c r="F540" s="53">
        <v>205.9</v>
      </c>
      <c r="G540" s="53">
        <v>164.5</v>
      </c>
      <c r="H540" s="53">
        <v>164.5</v>
      </c>
      <c r="I540" s="54">
        <f t="shared" si="74"/>
        <v>0.55588552915766742</v>
      </c>
      <c r="J540" s="22" t="s">
        <v>1008</v>
      </c>
      <c r="K540" s="24" t="s">
        <v>337</v>
      </c>
      <c r="L540" s="24">
        <v>2</v>
      </c>
      <c r="M540" s="130">
        <v>2</v>
      </c>
      <c r="N540" s="22"/>
      <c r="O540" s="25"/>
    </row>
    <row r="541" spans="1:15" x14ac:dyDescent="0.25">
      <c r="A541" s="286"/>
      <c r="B541" s="218"/>
      <c r="C541" s="22" t="s">
        <v>168</v>
      </c>
      <c r="D541" s="53">
        <v>97.7</v>
      </c>
      <c r="E541" s="53">
        <v>97.7</v>
      </c>
      <c r="F541" s="53">
        <v>33.200000000000003</v>
      </c>
      <c r="G541" s="53">
        <v>64.5</v>
      </c>
      <c r="H541" s="53">
        <v>64.5</v>
      </c>
      <c r="I541" s="54">
        <f t="shared" si="74"/>
        <v>0.3398157625383828</v>
      </c>
      <c r="J541" s="22"/>
      <c r="K541" s="24"/>
      <c r="L541" s="81"/>
      <c r="M541" s="82"/>
      <c r="N541" s="22"/>
      <c r="O541" s="25"/>
    </row>
    <row r="542" spans="1:15" x14ac:dyDescent="0.25">
      <c r="A542" s="286"/>
      <c r="B542" s="218"/>
      <c r="C542" s="22" t="s">
        <v>26</v>
      </c>
      <c r="D542" s="53">
        <v>13130.4</v>
      </c>
      <c r="E542" s="53">
        <v>13130.4</v>
      </c>
      <c r="F542" s="53">
        <v>13036.5</v>
      </c>
      <c r="G542" s="53">
        <v>93.9</v>
      </c>
      <c r="H542" s="53">
        <v>93.9</v>
      </c>
      <c r="I542" s="54">
        <f t="shared" si="74"/>
        <v>0.99284865655273258</v>
      </c>
      <c r="J542" s="22"/>
      <c r="K542" s="24"/>
      <c r="L542" s="81"/>
      <c r="M542" s="82"/>
      <c r="N542" s="22"/>
      <c r="O542" s="25"/>
    </row>
    <row r="543" spans="1:15" x14ac:dyDescent="0.25">
      <c r="A543" s="286"/>
      <c r="B543" s="218"/>
      <c r="C543" s="22" t="s">
        <v>178</v>
      </c>
      <c r="D543" s="53">
        <v>67.3</v>
      </c>
      <c r="E543" s="53">
        <v>67.3</v>
      </c>
      <c r="F543" s="53">
        <v>36.6</v>
      </c>
      <c r="G543" s="53">
        <v>30.7</v>
      </c>
      <c r="H543" s="53">
        <v>30.7</v>
      </c>
      <c r="I543" s="54">
        <f t="shared" si="74"/>
        <v>0.54383358098068357</v>
      </c>
      <c r="J543" s="22"/>
      <c r="K543" s="24"/>
      <c r="L543" s="81"/>
      <c r="M543" s="82"/>
      <c r="N543" s="22"/>
      <c r="O543" s="25"/>
    </row>
    <row r="544" spans="1:15" x14ac:dyDescent="0.25">
      <c r="A544" s="286"/>
      <c r="B544" s="218"/>
      <c r="C544" s="22" t="s">
        <v>952</v>
      </c>
      <c r="D544" s="53">
        <v>10792.4</v>
      </c>
      <c r="E544" s="53">
        <v>10792.4</v>
      </c>
      <c r="F544" s="53">
        <v>10792.4</v>
      </c>
      <c r="G544" s="53"/>
      <c r="H544" s="53"/>
      <c r="I544" s="54">
        <f t="shared" si="74"/>
        <v>1</v>
      </c>
      <c r="J544" s="22"/>
      <c r="K544" s="24"/>
      <c r="L544" s="81"/>
      <c r="M544" s="82"/>
      <c r="N544" s="22"/>
      <c r="O544" s="25"/>
    </row>
    <row r="545" spans="1:15" x14ac:dyDescent="0.25">
      <c r="A545" s="286"/>
      <c r="B545" s="218"/>
      <c r="C545" s="22" t="s">
        <v>181</v>
      </c>
      <c r="D545" s="53">
        <v>455.4</v>
      </c>
      <c r="E545" s="53">
        <v>455.4</v>
      </c>
      <c r="F545" s="53">
        <v>455.4</v>
      </c>
      <c r="G545" s="53"/>
      <c r="H545" s="53"/>
      <c r="I545" s="54">
        <f t="shared" si="74"/>
        <v>1</v>
      </c>
      <c r="J545" s="22"/>
      <c r="K545" s="24"/>
      <c r="L545" s="81"/>
      <c r="M545" s="82"/>
      <c r="N545" s="22"/>
      <c r="O545" s="25"/>
    </row>
    <row r="546" spans="1:15" ht="15.75" thickBot="1" x14ac:dyDescent="0.3">
      <c r="A546" s="287"/>
      <c r="B546" s="219"/>
      <c r="C546" s="22" t="s">
        <v>30</v>
      </c>
      <c r="D546" s="53">
        <v>100.1</v>
      </c>
      <c r="E546" s="53">
        <v>100.1</v>
      </c>
      <c r="F546" s="53">
        <v>100.1</v>
      </c>
      <c r="G546" s="53">
        <v>0.1</v>
      </c>
      <c r="H546" s="53">
        <v>0.1</v>
      </c>
      <c r="I546" s="68">
        <f t="shared" si="74"/>
        <v>1</v>
      </c>
      <c r="J546" s="22"/>
      <c r="K546" s="24"/>
      <c r="L546" s="81"/>
      <c r="M546" s="82"/>
      <c r="N546" s="22"/>
      <c r="O546" s="25"/>
    </row>
    <row r="547" spans="1:15" ht="26.25" thickBot="1" x14ac:dyDescent="0.3">
      <c r="A547" s="15" t="s">
        <v>1009</v>
      </c>
      <c r="B547" s="16" t="s">
        <v>1010</v>
      </c>
      <c r="C547" s="17" t="s">
        <v>26</v>
      </c>
      <c r="D547" s="61">
        <v>303.10000000000002</v>
      </c>
      <c r="E547" s="61">
        <v>303.10000000000002</v>
      </c>
      <c r="F547" s="61">
        <v>303.10000000000002</v>
      </c>
      <c r="G547" s="61"/>
      <c r="H547" s="61"/>
      <c r="I547" s="63">
        <f t="shared" si="74"/>
        <v>1</v>
      </c>
      <c r="J547" s="17" t="s">
        <v>1011</v>
      </c>
      <c r="K547" s="18" t="s">
        <v>337</v>
      </c>
      <c r="L547" s="18">
        <v>730</v>
      </c>
      <c r="M547" s="139">
        <v>904</v>
      </c>
      <c r="N547" s="17" t="s">
        <v>1012</v>
      </c>
      <c r="O547" s="19"/>
    </row>
    <row r="548" spans="1:15" ht="51.75" thickBot="1" x14ac:dyDescent="0.3">
      <c r="A548" s="15" t="s">
        <v>1013</v>
      </c>
      <c r="B548" s="16" t="s">
        <v>1014</v>
      </c>
      <c r="C548" s="17" t="s">
        <v>26</v>
      </c>
      <c r="D548" s="61">
        <v>256</v>
      </c>
      <c r="E548" s="61">
        <v>256</v>
      </c>
      <c r="F548" s="61">
        <v>252.8</v>
      </c>
      <c r="G548" s="61">
        <v>3.2</v>
      </c>
      <c r="H548" s="61">
        <v>3.2</v>
      </c>
      <c r="I548" s="63">
        <f t="shared" si="74"/>
        <v>0.98750000000000004</v>
      </c>
      <c r="J548" s="17" t="s">
        <v>1015</v>
      </c>
      <c r="K548" s="18" t="s">
        <v>337</v>
      </c>
      <c r="L548" s="18">
        <v>310</v>
      </c>
      <c r="M548" s="135">
        <v>291</v>
      </c>
      <c r="N548" s="17" t="s">
        <v>1016</v>
      </c>
      <c r="O548" s="19" t="s">
        <v>1947</v>
      </c>
    </row>
    <row r="549" spans="1:15" ht="51.75" thickBot="1" x14ac:dyDescent="0.3">
      <c r="A549" s="15" t="s">
        <v>1017</v>
      </c>
      <c r="B549" s="16" t="s">
        <v>1018</v>
      </c>
      <c r="C549" s="17"/>
      <c r="D549" s="51">
        <f>D550+D551+D552+D555+D558-0.1</f>
        <v>699</v>
      </c>
      <c r="E549" s="51">
        <f>E550+E551+E552+E555+E558-0.1</f>
        <v>699</v>
      </c>
      <c r="F549" s="51">
        <f>F550+F551+F552+F555+F558-0.1</f>
        <v>699</v>
      </c>
      <c r="G549" s="51"/>
      <c r="H549" s="51"/>
      <c r="I549" s="63">
        <f t="shared" si="74"/>
        <v>1</v>
      </c>
      <c r="J549" s="17" t="s">
        <v>978</v>
      </c>
      <c r="K549" s="18" t="s">
        <v>337</v>
      </c>
      <c r="L549" s="18">
        <v>5</v>
      </c>
      <c r="M549" s="125">
        <v>5</v>
      </c>
      <c r="N549" s="17"/>
      <c r="O549" s="19"/>
    </row>
    <row r="550" spans="1:15" ht="26.25" thickBot="1" x14ac:dyDescent="0.3">
      <c r="A550" s="15" t="s">
        <v>1019</v>
      </c>
      <c r="B550" s="16" t="s">
        <v>1020</v>
      </c>
      <c r="C550" s="17" t="s">
        <v>181</v>
      </c>
      <c r="D550" s="61">
        <v>40.200000000000003</v>
      </c>
      <c r="E550" s="61">
        <v>40.200000000000003</v>
      </c>
      <c r="F550" s="61">
        <v>40.200000000000003</v>
      </c>
      <c r="G550" s="61"/>
      <c r="H550" s="61"/>
      <c r="I550" s="63">
        <f t="shared" si="74"/>
        <v>1</v>
      </c>
      <c r="J550" s="17" t="s">
        <v>978</v>
      </c>
      <c r="K550" s="18" t="s">
        <v>337</v>
      </c>
      <c r="L550" s="18">
        <v>1</v>
      </c>
      <c r="M550" s="125">
        <v>1</v>
      </c>
      <c r="N550" s="17"/>
      <c r="O550" s="19"/>
    </row>
    <row r="551" spans="1:15" ht="26.25" thickBot="1" x14ac:dyDescent="0.3">
      <c r="A551" s="15" t="s">
        <v>1021</v>
      </c>
      <c r="B551" s="16" t="s">
        <v>1022</v>
      </c>
      <c r="C551" s="17" t="s">
        <v>952</v>
      </c>
      <c r="D551" s="61">
        <v>293.5</v>
      </c>
      <c r="E551" s="61">
        <v>293.5</v>
      </c>
      <c r="F551" s="61">
        <v>293.5</v>
      </c>
      <c r="G551" s="61"/>
      <c r="H551" s="61"/>
      <c r="I551" s="63">
        <f t="shared" si="74"/>
        <v>1</v>
      </c>
      <c r="J551" s="17" t="s">
        <v>978</v>
      </c>
      <c r="K551" s="18" t="s">
        <v>337</v>
      </c>
      <c r="L551" s="18">
        <v>1</v>
      </c>
      <c r="M551" s="125">
        <v>1</v>
      </c>
      <c r="N551" s="17"/>
      <c r="O551" s="19"/>
    </row>
    <row r="552" spans="1:15" ht="25.5" customHeight="1" x14ac:dyDescent="0.25">
      <c r="A552" s="285" t="s">
        <v>1023</v>
      </c>
      <c r="B552" s="217" t="s">
        <v>1024</v>
      </c>
      <c r="C552" s="17"/>
      <c r="D552" s="51">
        <f>SUM(D553:D554)</f>
        <v>212.4</v>
      </c>
      <c r="E552" s="51">
        <f>SUM(E553:E554)</f>
        <v>212.4</v>
      </c>
      <c r="F552" s="51">
        <f>SUM(F553:F554)</f>
        <v>212.4</v>
      </c>
      <c r="G552" s="51"/>
      <c r="H552" s="51"/>
      <c r="I552" s="54">
        <f t="shared" si="74"/>
        <v>1</v>
      </c>
      <c r="J552" s="17" t="s">
        <v>978</v>
      </c>
      <c r="K552" s="18" t="s">
        <v>337</v>
      </c>
      <c r="L552" s="18">
        <v>1</v>
      </c>
      <c r="M552" s="125">
        <v>1</v>
      </c>
      <c r="N552" s="17"/>
      <c r="O552" s="19"/>
    </row>
    <row r="553" spans="1:15" x14ac:dyDescent="0.25">
      <c r="A553" s="286"/>
      <c r="B553" s="218"/>
      <c r="C553" s="22" t="s">
        <v>181</v>
      </c>
      <c r="D553" s="53">
        <v>2.9</v>
      </c>
      <c r="E553" s="53">
        <v>2.9</v>
      </c>
      <c r="F553" s="53">
        <v>2.9</v>
      </c>
      <c r="G553" s="53"/>
      <c r="H553" s="53"/>
      <c r="I553" s="54">
        <f t="shared" si="74"/>
        <v>1</v>
      </c>
      <c r="J553" s="22"/>
      <c r="K553" s="24"/>
      <c r="L553" s="81"/>
      <c r="M553" s="82"/>
      <c r="N553" s="22"/>
      <c r="O553" s="25"/>
    </row>
    <row r="554" spans="1:15" ht="15.75" thickBot="1" x14ac:dyDescent="0.3">
      <c r="A554" s="287"/>
      <c r="B554" s="219"/>
      <c r="C554" s="22" t="s">
        <v>952</v>
      </c>
      <c r="D554" s="53">
        <v>209.5</v>
      </c>
      <c r="E554" s="53">
        <v>209.5</v>
      </c>
      <c r="F554" s="53">
        <v>209.5</v>
      </c>
      <c r="G554" s="53"/>
      <c r="H554" s="53"/>
      <c r="I554" s="68">
        <f t="shared" si="74"/>
        <v>1</v>
      </c>
      <c r="J554" s="22"/>
      <c r="K554" s="24"/>
      <c r="L554" s="81"/>
      <c r="M554" s="82"/>
      <c r="N554" s="22"/>
      <c r="O554" s="25"/>
    </row>
    <row r="555" spans="1:15" ht="25.5" customHeight="1" x14ac:dyDescent="0.25">
      <c r="A555" s="285" t="s">
        <v>1025</v>
      </c>
      <c r="B555" s="217" t="s">
        <v>1026</v>
      </c>
      <c r="C555" s="17"/>
      <c r="D555" s="51">
        <f>SUM(D556:D557)</f>
        <v>71.400000000000006</v>
      </c>
      <c r="E555" s="51">
        <f>SUM(E556:E557)</f>
        <v>71.400000000000006</v>
      </c>
      <c r="F555" s="51">
        <f>SUM(F556:F557)</f>
        <v>71.400000000000006</v>
      </c>
      <c r="G555" s="51"/>
      <c r="H555" s="51"/>
      <c r="I555" s="54">
        <f t="shared" si="74"/>
        <v>1</v>
      </c>
      <c r="J555" s="17" t="s">
        <v>978</v>
      </c>
      <c r="K555" s="18" t="s">
        <v>337</v>
      </c>
      <c r="L555" s="18">
        <v>1</v>
      </c>
      <c r="M555" s="125">
        <v>1</v>
      </c>
      <c r="N555" s="17"/>
      <c r="O555" s="19"/>
    </row>
    <row r="556" spans="1:15" x14ac:dyDescent="0.25">
      <c r="A556" s="286"/>
      <c r="B556" s="218"/>
      <c r="C556" s="22" t="s">
        <v>952</v>
      </c>
      <c r="D556" s="53">
        <v>70.400000000000006</v>
      </c>
      <c r="E556" s="53">
        <v>70.400000000000006</v>
      </c>
      <c r="F556" s="53">
        <v>70.400000000000006</v>
      </c>
      <c r="G556" s="53"/>
      <c r="H556" s="53"/>
      <c r="I556" s="54">
        <f t="shared" si="74"/>
        <v>1</v>
      </c>
      <c r="J556" s="22"/>
      <c r="K556" s="24"/>
      <c r="L556" s="81"/>
      <c r="M556" s="82"/>
      <c r="N556" s="22"/>
      <c r="O556" s="25"/>
    </row>
    <row r="557" spans="1:15" ht="15.75" thickBot="1" x14ac:dyDescent="0.3">
      <c r="A557" s="287"/>
      <c r="B557" s="219"/>
      <c r="C557" s="22" t="s">
        <v>181</v>
      </c>
      <c r="D557" s="53">
        <v>1</v>
      </c>
      <c r="E557" s="53">
        <v>1</v>
      </c>
      <c r="F557" s="53">
        <v>1</v>
      </c>
      <c r="G557" s="53"/>
      <c r="H557" s="53"/>
      <c r="I557" s="68">
        <f t="shared" si="74"/>
        <v>1</v>
      </c>
      <c r="J557" s="22"/>
      <c r="K557" s="24"/>
      <c r="L557" s="81"/>
      <c r="M557" s="82"/>
      <c r="N557" s="22"/>
      <c r="O557" s="25"/>
    </row>
    <row r="558" spans="1:15" ht="26.25" thickBot="1" x14ac:dyDescent="0.3">
      <c r="A558" s="15" t="s">
        <v>1027</v>
      </c>
      <c r="B558" s="16" t="s">
        <v>1028</v>
      </c>
      <c r="C558" s="17" t="s">
        <v>952</v>
      </c>
      <c r="D558" s="61">
        <v>81.599999999999994</v>
      </c>
      <c r="E558" s="61">
        <v>81.599999999999994</v>
      </c>
      <c r="F558" s="61">
        <v>81.599999999999994</v>
      </c>
      <c r="G558" s="61"/>
      <c r="H558" s="61"/>
      <c r="I558" s="63">
        <f t="shared" si="74"/>
        <v>1</v>
      </c>
      <c r="J558" s="17" t="s">
        <v>978</v>
      </c>
      <c r="K558" s="18" t="s">
        <v>337</v>
      </c>
      <c r="L558" s="18">
        <v>1</v>
      </c>
      <c r="M558" s="125">
        <v>1</v>
      </c>
      <c r="N558" s="17"/>
      <c r="O558" s="19"/>
    </row>
    <row r="559" spans="1:15" ht="39" thickBot="1" x14ac:dyDescent="0.3">
      <c r="A559" s="15" t="s">
        <v>1029</v>
      </c>
      <c r="B559" s="16" t="s">
        <v>1030</v>
      </c>
      <c r="C559" s="17" t="s">
        <v>26</v>
      </c>
      <c r="D559" s="61">
        <v>119.4</v>
      </c>
      <c r="E559" s="61">
        <v>119.4</v>
      </c>
      <c r="F559" s="61">
        <v>119.4</v>
      </c>
      <c r="G559" s="61"/>
      <c r="H559" s="61"/>
      <c r="I559" s="63">
        <f t="shared" si="74"/>
        <v>1</v>
      </c>
      <c r="J559" s="17" t="s">
        <v>1031</v>
      </c>
      <c r="K559" s="18" t="s">
        <v>337</v>
      </c>
      <c r="L559" s="79">
        <v>1500</v>
      </c>
      <c r="M559" s="126">
        <v>1131</v>
      </c>
      <c r="N559" s="17" t="s">
        <v>1032</v>
      </c>
      <c r="O559" s="19" t="s">
        <v>1798</v>
      </c>
    </row>
    <row r="560" spans="1:15" ht="39" thickBot="1" x14ac:dyDescent="0.3">
      <c r="A560" s="15" t="s">
        <v>1033</v>
      </c>
      <c r="B560" s="16" t="s">
        <v>1034</v>
      </c>
      <c r="C560" s="17" t="s">
        <v>26</v>
      </c>
      <c r="D560" s="61">
        <v>228.5</v>
      </c>
      <c r="E560" s="61">
        <v>228.5</v>
      </c>
      <c r="F560" s="61">
        <v>209.7</v>
      </c>
      <c r="G560" s="61">
        <v>18.8</v>
      </c>
      <c r="H560" s="61">
        <v>18.8</v>
      </c>
      <c r="I560" s="63">
        <f t="shared" si="74"/>
        <v>0.91772428884026258</v>
      </c>
      <c r="J560" s="17" t="s">
        <v>1035</v>
      </c>
      <c r="K560" s="18" t="s">
        <v>25</v>
      </c>
      <c r="L560" s="18">
        <v>100</v>
      </c>
      <c r="M560" s="125">
        <v>100</v>
      </c>
      <c r="N560" s="17" t="s">
        <v>1036</v>
      </c>
      <c r="O560" s="19"/>
    </row>
    <row r="561" spans="1:15" ht="25.5" x14ac:dyDescent="0.25">
      <c r="A561" s="285" t="s">
        <v>1037</v>
      </c>
      <c r="B561" s="217" t="s">
        <v>1038</v>
      </c>
      <c r="C561" s="17" t="s">
        <v>191</v>
      </c>
      <c r="D561" s="51">
        <f>SUM(D562:D562)+281.1</f>
        <v>281.10000000000002</v>
      </c>
      <c r="E561" s="51">
        <f>SUM(E562:E562)+281.1</f>
        <v>281.10000000000002</v>
      </c>
      <c r="F561" s="51">
        <f>SUM(F562:F562)+208.8</f>
        <v>208.8</v>
      </c>
      <c r="G561" s="51">
        <f>SUM(G562:G562)+72.4</f>
        <v>72.400000000000006</v>
      </c>
      <c r="H561" s="51">
        <f>SUM(H562:H562)+72.4</f>
        <v>72.400000000000006</v>
      </c>
      <c r="I561" s="54">
        <f t="shared" si="74"/>
        <v>0.74279615795090714</v>
      </c>
      <c r="J561" s="17" t="s">
        <v>1039</v>
      </c>
      <c r="K561" s="18" t="s">
        <v>337</v>
      </c>
      <c r="L561" s="18">
        <v>30</v>
      </c>
      <c r="M561" s="125">
        <v>30</v>
      </c>
      <c r="N561" s="17" t="s">
        <v>1040</v>
      </c>
      <c r="O561" s="19"/>
    </row>
    <row r="562" spans="1:15" ht="15.75" thickBot="1" x14ac:dyDescent="0.3">
      <c r="A562" s="287"/>
      <c r="B562" s="219"/>
      <c r="C562" s="22"/>
      <c r="D562" s="53"/>
      <c r="E562" s="53"/>
      <c r="F562" s="53"/>
      <c r="G562" s="53"/>
      <c r="H562" s="53"/>
      <c r="I562" s="68"/>
      <c r="J562" s="22" t="s">
        <v>1041</v>
      </c>
      <c r="K562" s="24" t="s">
        <v>337</v>
      </c>
      <c r="L562" s="24">
        <v>17</v>
      </c>
      <c r="M562" s="130">
        <v>17</v>
      </c>
      <c r="N562" s="22"/>
      <c r="O562" s="25"/>
    </row>
    <row r="563" spans="1:15" ht="39" thickBot="1" x14ac:dyDescent="0.3">
      <c r="A563" s="37" t="s">
        <v>1042</v>
      </c>
      <c r="B563" s="17" t="s">
        <v>1043</v>
      </c>
      <c r="C563" s="17" t="s">
        <v>30</v>
      </c>
      <c r="D563" s="61">
        <v>140</v>
      </c>
      <c r="E563" s="61">
        <v>140</v>
      </c>
      <c r="F563" s="61">
        <v>140</v>
      </c>
      <c r="G563" s="61"/>
      <c r="H563" s="61"/>
      <c r="I563" s="63">
        <f t="shared" si="74"/>
        <v>1</v>
      </c>
      <c r="J563" s="17" t="s">
        <v>1044</v>
      </c>
      <c r="K563" s="18" t="s">
        <v>337</v>
      </c>
      <c r="L563" s="18">
        <v>28</v>
      </c>
      <c r="M563" s="139">
        <v>30</v>
      </c>
      <c r="N563" s="17" t="s">
        <v>1045</v>
      </c>
      <c r="O563" s="19"/>
    </row>
    <row r="564" spans="1:15" ht="76.5" x14ac:dyDescent="0.25">
      <c r="A564" s="285" t="s">
        <v>1046</v>
      </c>
      <c r="B564" s="217" t="s">
        <v>1047</v>
      </c>
      <c r="C564" s="17"/>
      <c r="D564" s="51">
        <f>SUM(D565:D566)</f>
        <v>24.6</v>
      </c>
      <c r="E564" s="51">
        <f>SUM(E565:E566)</f>
        <v>24.6</v>
      </c>
      <c r="F564" s="51">
        <f>SUM(F565:F566)</f>
        <v>7.1</v>
      </c>
      <c r="G564" s="51">
        <f>SUM(G565:G566)</f>
        <v>17.5</v>
      </c>
      <c r="H564" s="51">
        <f>SUM(H565:H566)</f>
        <v>17.5</v>
      </c>
      <c r="I564" s="54">
        <f t="shared" si="74"/>
        <v>0.28861788617886175</v>
      </c>
      <c r="J564" s="17" t="s">
        <v>1048</v>
      </c>
      <c r="K564" s="18" t="s">
        <v>337</v>
      </c>
      <c r="L564" s="18">
        <v>3</v>
      </c>
      <c r="M564" s="125">
        <v>3</v>
      </c>
      <c r="N564" s="17" t="s">
        <v>1049</v>
      </c>
      <c r="O564" s="19"/>
    </row>
    <row r="565" spans="1:15" x14ac:dyDescent="0.25">
      <c r="A565" s="286"/>
      <c r="B565" s="218"/>
      <c r="C565" s="22" t="s">
        <v>26</v>
      </c>
      <c r="D565" s="53">
        <v>4.9000000000000004</v>
      </c>
      <c r="E565" s="53">
        <v>4.9000000000000004</v>
      </c>
      <c r="F565" s="53">
        <v>0</v>
      </c>
      <c r="G565" s="53">
        <v>4.9000000000000004</v>
      </c>
      <c r="H565" s="53">
        <v>4.9000000000000004</v>
      </c>
      <c r="I565" s="54">
        <f t="shared" si="74"/>
        <v>0</v>
      </c>
      <c r="J565" s="22"/>
      <c r="K565" s="24"/>
      <c r="L565" s="81"/>
      <c r="M565" s="82"/>
      <c r="N565" s="22"/>
      <c r="O565" s="25"/>
    </row>
    <row r="566" spans="1:15" ht="15.75" thickBot="1" x14ac:dyDescent="0.3">
      <c r="A566" s="287"/>
      <c r="B566" s="219"/>
      <c r="C566" s="22" t="s">
        <v>181</v>
      </c>
      <c r="D566" s="53">
        <v>19.7</v>
      </c>
      <c r="E566" s="53">
        <v>19.7</v>
      </c>
      <c r="F566" s="53">
        <v>7.1</v>
      </c>
      <c r="G566" s="53">
        <v>12.6</v>
      </c>
      <c r="H566" s="53">
        <v>12.6</v>
      </c>
      <c r="I566" s="54">
        <f t="shared" si="74"/>
        <v>0.36040609137055835</v>
      </c>
      <c r="J566" s="22"/>
      <c r="K566" s="24"/>
      <c r="L566" s="81"/>
      <c r="M566" s="82"/>
      <c r="N566" s="22"/>
      <c r="O566" s="25"/>
    </row>
    <row r="567" spans="1:15" ht="26.25" thickBot="1" x14ac:dyDescent="0.3">
      <c r="A567" s="7" t="s">
        <v>1050</v>
      </c>
      <c r="B567" s="8" t="s">
        <v>1051</v>
      </c>
      <c r="C567" s="9"/>
      <c r="D567" s="47">
        <f>SUM(D568:D568)</f>
        <v>11255.199999999999</v>
      </c>
      <c r="E567" s="47">
        <f>SUM(E568:E568)</f>
        <v>11255.199999999999</v>
      </c>
      <c r="F567" s="47">
        <f>SUM(F568:F568)</f>
        <v>8430</v>
      </c>
      <c r="G567" s="47">
        <f>SUM(G568:G568)</f>
        <v>2825.2</v>
      </c>
      <c r="H567" s="47">
        <f>SUM(H568:H568)</f>
        <v>2825.2</v>
      </c>
      <c r="I567" s="48">
        <f>SUM(F567/E567)</f>
        <v>0.74898713483545387</v>
      </c>
      <c r="J567" s="9" t="s">
        <v>1052</v>
      </c>
      <c r="K567" s="10" t="s">
        <v>337</v>
      </c>
      <c r="L567" s="10">
        <v>2</v>
      </c>
      <c r="M567" s="84">
        <v>0</v>
      </c>
      <c r="N567" s="273"/>
      <c r="O567" s="274"/>
    </row>
    <row r="568" spans="1:15" ht="26.25" thickBot="1" x14ac:dyDescent="0.3">
      <c r="A568" s="12" t="s">
        <v>1053</v>
      </c>
      <c r="B568" s="13" t="s">
        <v>1054</v>
      </c>
      <c r="C568" s="14"/>
      <c r="D568" s="49">
        <f>D569+D571+D572+D575+D578+D579+D581+D587+D589+D594+D599+D609+D614+D615+D616+D618+D620+D623</f>
        <v>11255.199999999999</v>
      </c>
      <c r="E568" s="49">
        <f>E569+E571+E572+E575+E578+E579+E581+E587+E589+E594+E599+E609+E614+E615+E616+E618+E620+E623</f>
        <v>11255.199999999999</v>
      </c>
      <c r="F568" s="49">
        <f>F569+F571+F572+F575+F578+F579+F581+F587+F589+F594+F599+F609+F614+F615+F616+F618+F620+F623</f>
        <v>8430</v>
      </c>
      <c r="G568" s="49">
        <f>G569+G571+G572+G575+G578+G579+G581+G587+G589+G594+G599+G609+G614+G615+G616+G618+G620+G623</f>
        <v>2825.2</v>
      </c>
      <c r="H568" s="49">
        <f>H569+H571+H572+H575+H578+H579+H581+H587+H589+H594+H599+H609+H614+H615+H616+H618+H620+H623</f>
        <v>2825.2</v>
      </c>
      <c r="I568" s="50">
        <f>SUM(F568/E568)</f>
        <v>0.74898713483545387</v>
      </c>
      <c r="J568" s="263"/>
      <c r="K568" s="264"/>
      <c r="L568" s="264"/>
      <c r="M568" s="264"/>
      <c r="N568" s="264"/>
      <c r="O568" s="265"/>
    </row>
    <row r="569" spans="1:15" ht="38.25" customHeight="1" x14ac:dyDescent="0.25">
      <c r="A569" s="285" t="s">
        <v>1055</v>
      </c>
      <c r="B569" s="217" t="s">
        <v>1056</v>
      </c>
      <c r="C569" s="17" t="s">
        <v>26</v>
      </c>
      <c r="D569" s="51"/>
      <c r="E569" s="51"/>
      <c r="F569" s="51"/>
      <c r="G569" s="51"/>
      <c r="H569" s="51"/>
      <c r="I569" s="71"/>
      <c r="J569" s="22" t="s">
        <v>1057</v>
      </c>
      <c r="K569" s="24" t="s">
        <v>25</v>
      </c>
      <c r="L569" s="183">
        <v>100</v>
      </c>
      <c r="M569" s="184">
        <v>100</v>
      </c>
      <c r="N569" s="185" t="s">
        <v>1948</v>
      </c>
      <c r="O569" s="19"/>
    </row>
    <row r="570" spans="1:15" ht="15" customHeight="1" thickBot="1" x14ac:dyDescent="0.3">
      <c r="A570" s="287"/>
      <c r="B570" s="219"/>
      <c r="C570" s="22"/>
      <c r="D570" s="53"/>
      <c r="E570" s="53"/>
      <c r="F570" s="53"/>
      <c r="G570" s="53"/>
      <c r="H570" s="53"/>
      <c r="I570" s="55"/>
      <c r="O570" s="25"/>
    </row>
    <row r="571" spans="1:15" ht="26.25" hidden="1" thickBot="1" x14ac:dyDescent="0.3">
      <c r="A571" s="37" t="s">
        <v>1058</v>
      </c>
      <c r="B571" s="17" t="s">
        <v>1059</v>
      </c>
      <c r="C571" s="17" t="s">
        <v>26</v>
      </c>
      <c r="D571" s="61"/>
      <c r="E571" s="61"/>
      <c r="F571" s="61"/>
      <c r="G571" s="61"/>
      <c r="H571" s="61"/>
      <c r="I571" s="69"/>
      <c r="J571" s="17" t="s">
        <v>1060</v>
      </c>
      <c r="K571" s="18" t="s">
        <v>25</v>
      </c>
      <c r="L571" s="18">
        <v>0</v>
      </c>
      <c r="M571" s="18">
        <v>0</v>
      </c>
      <c r="N571" s="17"/>
      <c r="O571" s="19"/>
    </row>
    <row r="572" spans="1:15" ht="25.5" x14ac:dyDescent="0.25">
      <c r="A572" s="285" t="s">
        <v>1061</v>
      </c>
      <c r="B572" s="217" t="s">
        <v>1062</v>
      </c>
      <c r="C572" s="17"/>
      <c r="D572" s="51">
        <f>SUM(D573:D574)</f>
        <v>1479.8</v>
      </c>
      <c r="E572" s="51">
        <f>SUM(E573:E574)</f>
        <v>1479.8</v>
      </c>
      <c r="F572" s="51">
        <f>SUM(F573:F574)</f>
        <v>1041.5999999999999</v>
      </c>
      <c r="G572" s="51">
        <f>SUM(G573:G574)</f>
        <v>438.2</v>
      </c>
      <c r="H572" s="51">
        <f>SUM(H573:H574)</f>
        <v>438.2</v>
      </c>
      <c r="I572" s="54">
        <f t="shared" ref="I572:I579" si="75">SUM(F572/E572)</f>
        <v>0.70387890255439922</v>
      </c>
      <c r="J572" s="17" t="s">
        <v>1063</v>
      </c>
      <c r="K572" s="18" t="s">
        <v>25</v>
      </c>
      <c r="L572" s="18">
        <v>100</v>
      </c>
      <c r="M572" s="125">
        <v>100</v>
      </c>
      <c r="N572" s="17" t="s">
        <v>1799</v>
      </c>
      <c r="O572" s="19"/>
    </row>
    <row r="573" spans="1:15" ht="51" x14ac:dyDescent="0.25">
      <c r="A573" s="286"/>
      <c r="B573" s="218"/>
      <c r="C573" s="22" t="s">
        <v>30</v>
      </c>
      <c r="D573" s="53">
        <v>423.7</v>
      </c>
      <c r="E573" s="53">
        <v>423.7</v>
      </c>
      <c r="F573" s="53">
        <v>423.7</v>
      </c>
      <c r="G573" s="53"/>
      <c r="H573" s="53"/>
      <c r="I573" s="54">
        <f t="shared" si="75"/>
        <v>1</v>
      </c>
      <c r="J573" s="22" t="s">
        <v>1064</v>
      </c>
      <c r="K573" s="24" t="s">
        <v>25</v>
      </c>
      <c r="L573" s="24">
        <v>10</v>
      </c>
      <c r="M573" s="162">
        <v>0</v>
      </c>
      <c r="N573" s="22" t="s">
        <v>1800</v>
      </c>
      <c r="O573" s="25" t="s">
        <v>1876</v>
      </c>
    </row>
    <row r="574" spans="1:15" ht="26.25" thickBot="1" x14ac:dyDescent="0.3">
      <c r="A574" s="287"/>
      <c r="B574" s="219"/>
      <c r="C574" s="22" t="s">
        <v>26</v>
      </c>
      <c r="D574" s="53">
        <v>1056.0999999999999</v>
      </c>
      <c r="E574" s="53">
        <v>1056.0999999999999</v>
      </c>
      <c r="F574" s="53">
        <v>617.9</v>
      </c>
      <c r="G574" s="53">
        <v>438.2</v>
      </c>
      <c r="H574" s="53">
        <v>438.2</v>
      </c>
      <c r="I574" s="68">
        <f t="shared" si="75"/>
        <v>0.58507717072246945</v>
      </c>
      <c r="J574" s="22" t="s">
        <v>1065</v>
      </c>
      <c r="K574" s="24" t="s">
        <v>25</v>
      </c>
      <c r="L574" s="24">
        <v>100</v>
      </c>
      <c r="M574" s="130">
        <v>100</v>
      </c>
      <c r="N574" s="22" t="s">
        <v>1801</v>
      </c>
      <c r="O574" s="25"/>
    </row>
    <row r="575" spans="1:15" ht="38.25" x14ac:dyDescent="0.25">
      <c r="A575" s="285" t="s">
        <v>1066</v>
      </c>
      <c r="B575" s="217" t="s">
        <v>1067</v>
      </c>
      <c r="C575" s="17"/>
      <c r="D575" s="51">
        <f>SUM(D576:D577)</f>
        <v>582.20000000000005</v>
      </c>
      <c r="E575" s="51">
        <f>SUM(E576:E577)</f>
        <v>582.20000000000005</v>
      </c>
      <c r="F575" s="51">
        <f>SUM(F576:F577)</f>
        <v>555</v>
      </c>
      <c r="G575" s="51">
        <f>SUM(G576:G577)</f>
        <v>27.2</v>
      </c>
      <c r="H575" s="51">
        <f>SUM(H576:H577)</f>
        <v>27.2</v>
      </c>
      <c r="I575" s="54">
        <f t="shared" si="75"/>
        <v>0.95328065956715902</v>
      </c>
      <c r="J575" s="17" t="s">
        <v>1068</v>
      </c>
      <c r="K575" s="18" t="s">
        <v>25</v>
      </c>
      <c r="L575" s="18">
        <v>100</v>
      </c>
      <c r="M575" s="125">
        <v>100</v>
      </c>
      <c r="N575" s="17" t="s">
        <v>1069</v>
      </c>
      <c r="O575" s="19"/>
    </row>
    <row r="576" spans="1:15" x14ac:dyDescent="0.25">
      <c r="A576" s="286"/>
      <c r="B576" s="218"/>
      <c r="C576" s="22" t="s">
        <v>26</v>
      </c>
      <c r="D576" s="53">
        <v>182.2</v>
      </c>
      <c r="E576" s="53">
        <v>182.2</v>
      </c>
      <c r="F576" s="53">
        <v>155</v>
      </c>
      <c r="G576" s="53">
        <v>27.2</v>
      </c>
      <c r="H576" s="53">
        <v>27.2</v>
      </c>
      <c r="I576" s="54">
        <f t="shared" si="75"/>
        <v>0.85071350164654236</v>
      </c>
      <c r="J576" s="22"/>
      <c r="K576" s="24"/>
      <c r="L576" s="81"/>
      <c r="M576" s="82"/>
      <c r="N576" s="22"/>
      <c r="O576" s="25"/>
    </row>
    <row r="577" spans="1:15" ht="15.75" thickBot="1" x14ac:dyDescent="0.3">
      <c r="A577" s="287"/>
      <c r="B577" s="219"/>
      <c r="C577" s="22" t="s">
        <v>842</v>
      </c>
      <c r="D577" s="53">
        <v>400</v>
      </c>
      <c r="E577" s="53">
        <v>400</v>
      </c>
      <c r="F577" s="53">
        <v>400</v>
      </c>
      <c r="G577" s="53"/>
      <c r="H577" s="53"/>
      <c r="I577" s="68">
        <f t="shared" si="75"/>
        <v>1</v>
      </c>
      <c r="J577" s="22"/>
      <c r="K577" s="24"/>
      <c r="L577" s="81"/>
      <c r="M577" s="82"/>
      <c r="N577" s="22"/>
      <c r="O577" s="25"/>
    </row>
    <row r="578" spans="1:15" ht="77.25" thickBot="1" x14ac:dyDescent="0.3">
      <c r="A578" s="15" t="s">
        <v>1070</v>
      </c>
      <c r="B578" s="16" t="s">
        <v>1071</v>
      </c>
      <c r="C578" s="17" t="s">
        <v>26</v>
      </c>
      <c r="D578" s="61">
        <v>118</v>
      </c>
      <c r="E578" s="61">
        <v>118</v>
      </c>
      <c r="F578" s="61">
        <v>98</v>
      </c>
      <c r="G578" s="61">
        <v>20</v>
      </c>
      <c r="H578" s="61">
        <v>20</v>
      </c>
      <c r="I578" s="62">
        <f t="shared" si="75"/>
        <v>0.83050847457627119</v>
      </c>
      <c r="J578" s="17" t="s">
        <v>1072</v>
      </c>
      <c r="K578" s="18" t="s">
        <v>337</v>
      </c>
      <c r="L578" s="18">
        <v>1</v>
      </c>
      <c r="M578" s="139">
        <v>2</v>
      </c>
      <c r="N578" s="17" t="s">
        <v>1802</v>
      </c>
      <c r="O578" s="19"/>
    </row>
    <row r="579" spans="1:15" ht="38.25" x14ac:dyDescent="0.25">
      <c r="A579" s="285" t="s">
        <v>1073</v>
      </c>
      <c r="B579" s="217" t="s">
        <v>1074</v>
      </c>
      <c r="C579" s="17" t="s">
        <v>26</v>
      </c>
      <c r="D579" s="51">
        <f>SUM(D580:D580)+105</f>
        <v>105</v>
      </c>
      <c r="E579" s="51">
        <f>SUM(E580:E580)+105</f>
        <v>105</v>
      </c>
      <c r="F579" s="51">
        <f>SUM(F580:F580)+105</f>
        <v>105</v>
      </c>
      <c r="G579" s="51"/>
      <c r="H579" s="51"/>
      <c r="I579" s="54">
        <f t="shared" si="75"/>
        <v>1</v>
      </c>
      <c r="J579" s="17" t="s">
        <v>1075</v>
      </c>
      <c r="K579" s="18" t="s">
        <v>337</v>
      </c>
      <c r="L579" s="18">
        <v>0</v>
      </c>
      <c r="M579" s="18">
        <v>0</v>
      </c>
      <c r="N579" s="17"/>
      <c r="O579" s="19"/>
    </row>
    <row r="580" spans="1:15" ht="77.25" thickBot="1" x14ac:dyDescent="0.3">
      <c r="A580" s="287"/>
      <c r="B580" s="219"/>
      <c r="C580" s="22"/>
      <c r="D580" s="53"/>
      <c r="E580" s="53"/>
      <c r="F580" s="53"/>
      <c r="G580" s="53"/>
      <c r="H580" s="53"/>
      <c r="I580" s="67"/>
      <c r="J580" s="114" t="s">
        <v>1728</v>
      </c>
      <c r="K580" s="24" t="s">
        <v>337</v>
      </c>
      <c r="L580" s="170">
        <v>5</v>
      </c>
      <c r="M580" s="137">
        <v>4</v>
      </c>
      <c r="N580" s="22" t="s">
        <v>1076</v>
      </c>
      <c r="O580" s="25" t="s">
        <v>1949</v>
      </c>
    </row>
    <row r="581" spans="1:15" ht="51" x14ac:dyDescent="0.25">
      <c r="A581" s="285" t="s">
        <v>1077</v>
      </c>
      <c r="B581" s="217" t="s">
        <v>1078</v>
      </c>
      <c r="C581" s="17"/>
      <c r="D581" s="51">
        <f>SUM(D582:D586)</f>
        <v>1712.8999999999999</v>
      </c>
      <c r="E581" s="51">
        <f>SUM(E582:E586)</f>
        <v>1712.8999999999999</v>
      </c>
      <c r="F581" s="51">
        <f>SUM(F582:F586)</f>
        <v>1323.3</v>
      </c>
      <c r="G581" s="51">
        <f>SUM(G582:G586)</f>
        <v>389.6</v>
      </c>
      <c r="H581" s="51">
        <f>SUM(H582:H586)</f>
        <v>389.6</v>
      </c>
      <c r="I581" s="54">
        <f t="shared" ref="I581:I583" si="76">SUM(F581/E581)</f>
        <v>0.77254947749430791</v>
      </c>
      <c r="J581" s="168" t="s">
        <v>1729</v>
      </c>
      <c r="K581" s="18" t="s">
        <v>337</v>
      </c>
      <c r="L581" s="169">
        <v>2</v>
      </c>
      <c r="M581" s="125">
        <v>2</v>
      </c>
      <c r="N581" s="17" t="s">
        <v>1978</v>
      </c>
      <c r="O581" s="157"/>
    </row>
    <row r="582" spans="1:15" ht="25.5" x14ac:dyDescent="0.25">
      <c r="A582" s="286"/>
      <c r="B582" s="218"/>
      <c r="C582" s="22" t="s">
        <v>26</v>
      </c>
      <c r="D582" s="53">
        <v>1703.3</v>
      </c>
      <c r="E582" s="53">
        <v>1703.3</v>
      </c>
      <c r="F582" s="53">
        <v>1313.7</v>
      </c>
      <c r="G582" s="53">
        <v>389.6</v>
      </c>
      <c r="H582" s="53">
        <v>389.6</v>
      </c>
      <c r="I582" s="54">
        <f t="shared" si="76"/>
        <v>0.77126753948218174</v>
      </c>
      <c r="J582" s="22" t="s">
        <v>1958</v>
      </c>
      <c r="K582" s="24" t="s">
        <v>337</v>
      </c>
      <c r="L582" s="24">
        <v>1</v>
      </c>
      <c r="M582" s="130">
        <v>1</v>
      </c>
      <c r="N582" s="22" t="s">
        <v>1914</v>
      </c>
      <c r="O582" s="25"/>
    </row>
    <row r="583" spans="1:15" ht="25.5" x14ac:dyDescent="0.25">
      <c r="A583" s="286"/>
      <c r="B583" s="218"/>
      <c r="C583" s="22" t="s">
        <v>30</v>
      </c>
      <c r="D583" s="53">
        <v>9.6</v>
      </c>
      <c r="E583" s="53">
        <v>9.6</v>
      </c>
      <c r="F583" s="53">
        <v>9.6</v>
      </c>
      <c r="G583" s="53"/>
      <c r="H583" s="53"/>
      <c r="I583" s="54">
        <f t="shared" si="76"/>
        <v>1</v>
      </c>
      <c r="J583" s="22" t="s">
        <v>1079</v>
      </c>
      <c r="K583" s="24" t="s">
        <v>337</v>
      </c>
      <c r="L583" s="24">
        <v>1</v>
      </c>
      <c r="M583" s="130">
        <v>1</v>
      </c>
      <c r="N583" s="22" t="s">
        <v>1803</v>
      </c>
      <c r="O583" s="159"/>
    </row>
    <row r="584" spans="1:15" ht="80.25" customHeight="1" x14ac:dyDescent="0.25">
      <c r="A584" s="286"/>
      <c r="B584" s="218"/>
      <c r="C584" s="22"/>
      <c r="D584" s="53"/>
      <c r="E584" s="53"/>
      <c r="F584" s="53"/>
      <c r="G584" s="53"/>
      <c r="H584" s="53"/>
      <c r="I584" s="55"/>
      <c r="J584" s="22" t="s">
        <v>1730</v>
      </c>
      <c r="K584" s="24" t="s">
        <v>337</v>
      </c>
      <c r="L584" s="24">
        <v>1</v>
      </c>
      <c r="M584" s="130">
        <v>1</v>
      </c>
      <c r="N584" s="22" t="s">
        <v>1976</v>
      </c>
      <c r="O584" s="193" t="s">
        <v>1955</v>
      </c>
    </row>
    <row r="585" spans="1:15" ht="53.25" customHeight="1" x14ac:dyDescent="0.25">
      <c r="A585" s="286"/>
      <c r="B585" s="218"/>
      <c r="C585" s="22"/>
      <c r="D585" s="53"/>
      <c r="E585" s="53"/>
      <c r="F585" s="53"/>
      <c r="G585" s="53"/>
      <c r="H585" s="53"/>
      <c r="I585" s="55"/>
      <c r="J585" s="114" t="s">
        <v>1731</v>
      </c>
      <c r="K585" s="170" t="s">
        <v>337</v>
      </c>
      <c r="L585" s="170">
        <v>1</v>
      </c>
      <c r="M585" s="130">
        <v>1</v>
      </c>
      <c r="N585" s="22" t="s">
        <v>1977</v>
      </c>
      <c r="O585" s="158"/>
    </row>
    <row r="586" spans="1:15" ht="64.5" thickBot="1" x14ac:dyDescent="0.3">
      <c r="A586" s="287"/>
      <c r="B586" s="219"/>
      <c r="C586" s="22"/>
      <c r="D586" s="53"/>
      <c r="E586" s="53"/>
      <c r="F586" s="53"/>
      <c r="G586" s="53"/>
      <c r="H586" s="53"/>
      <c r="I586" s="67"/>
      <c r="J586" s="22" t="s">
        <v>1080</v>
      </c>
      <c r="K586" s="24" t="s">
        <v>337</v>
      </c>
      <c r="L586" s="24">
        <v>4</v>
      </c>
      <c r="M586" s="137">
        <v>2</v>
      </c>
      <c r="N586" s="22" t="s">
        <v>1979</v>
      </c>
      <c r="O586" s="25" t="s">
        <v>1950</v>
      </c>
    </row>
    <row r="587" spans="1:15" ht="51" x14ac:dyDescent="0.25">
      <c r="A587" s="285" t="s">
        <v>1081</v>
      </c>
      <c r="B587" s="217" t="s">
        <v>1082</v>
      </c>
      <c r="C587" s="17"/>
      <c r="D587" s="51">
        <f>SUM(D588:D588)</f>
        <v>610</v>
      </c>
      <c r="E587" s="51">
        <f>SUM(E588:E588)</f>
        <v>610</v>
      </c>
      <c r="F587" s="51">
        <f>SUM(F588:F588)</f>
        <v>30.5</v>
      </c>
      <c r="G587" s="51">
        <f>SUM(G588:G588)</f>
        <v>579.5</v>
      </c>
      <c r="H587" s="51">
        <f>SUM(H588:H588)</f>
        <v>579.5</v>
      </c>
      <c r="I587" s="54">
        <f t="shared" ref="I587:I599" si="77">SUM(F587/E587)</f>
        <v>0.05</v>
      </c>
      <c r="J587" s="17" t="s">
        <v>1083</v>
      </c>
      <c r="K587" s="18" t="s">
        <v>25</v>
      </c>
      <c r="L587" s="18">
        <v>60</v>
      </c>
      <c r="M587" s="136">
        <v>10</v>
      </c>
      <c r="N587" s="17" t="s">
        <v>1980</v>
      </c>
      <c r="O587" s="19" t="s">
        <v>1877</v>
      </c>
    </row>
    <row r="588" spans="1:15" ht="15.75" thickBot="1" x14ac:dyDescent="0.3">
      <c r="A588" s="287"/>
      <c r="B588" s="219"/>
      <c r="C588" s="22" t="s">
        <v>30</v>
      </c>
      <c r="D588" s="53">
        <v>610</v>
      </c>
      <c r="E588" s="53">
        <v>610</v>
      </c>
      <c r="F588" s="53">
        <v>30.5</v>
      </c>
      <c r="G588" s="53">
        <v>579.5</v>
      </c>
      <c r="H588" s="53">
        <v>579.5</v>
      </c>
      <c r="I588" s="68">
        <f t="shared" si="77"/>
        <v>0.05</v>
      </c>
      <c r="J588" s="22"/>
      <c r="K588" s="24"/>
      <c r="L588" s="81"/>
      <c r="M588" s="82"/>
      <c r="N588" s="22"/>
      <c r="O588" s="25"/>
    </row>
    <row r="589" spans="1:15" ht="63.75" x14ac:dyDescent="0.25">
      <c r="A589" s="285" t="s">
        <v>1084</v>
      </c>
      <c r="B589" s="217" t="s">
        <v>1085</v>
      </c>
      <c r="C589" s="17"/>
      <c r="D589" s="51">
        <f>SUM(D590:D593)</f>
        <v>38.000000000000007</v>
      </c>
      <c r="E589" s="51">
        <f>SUM(E590:E593)</f>
        <v>38.000000000000007</v>
      </c>
      <c r="F589" s="51">
        <f>SUM(F590:F593)+0.1</f>
        <v>23.500000000000004</v>
      </c>
      <c r="G589" s="51">
        <f>SUM(G590:G593)-0.1</f>
        <v>14.499999999999998</v>
      </c>
      <c r="H589" s="51">
        <f>SUM(H590:H593)-0.1</f>
        <v>14.499999999999998</v>
      </c>
      <c r="I589" s="54">
        <f t="shared" si="77"/>
        <v>0.61842105263157887</v>
      </c>
      <c r="J589" s="17" t="s">
        <v>221</v>
      </c>
      <c r="K589" s="18" t="s">
        <v>19</v>
      </c>
      <c r="L589" s="18">
        <v>1</v>
      </c>
      <c r="M589" s="161">
        <v>0</v>
      </c>
      <c r="N589" s="17" t="s">
        <v>1086</v>
      </c>
      <c r="O589" s="19" t="s">
        <v>1878</v>
      </c>
    </row>
    <row r="590" spans="1:15" ht="76.5" x14ac:dyDescent="0.25">
      <c r="A590" s="286"/>
      <c r="B590" s="218"/>
      <c r="C590" s="22" t="s">
        <v>191</v>
      </c>
      <c r="D590" s="53">
        <v>33.700000000000003</v>
      </c>
      <c r="E590" s="53">
        <v>33.700000000000003</v>
      </c>
      <c r="F590" s="53">
        <v>20.5</v>
      </c>
      <c r="G590" s="53">
        <v>13.2</v>
      </c>
      <c r="H590" s="53">
        <v>13.2</v>
      </c>
      <c r="I590" s="54">
        <f t="shared" si="77"/>
        <v>0.6083086053412462</v>
      </c>
      <c r="J590" s="22" t="s">
        <v>1087</v>
      </c>
      <c r="K590" s="24" t="s">
        <v>280</v>
      </c>
      <c r="L590" s="24">
        <v>2</v>
      </c>
      <c r="M590" s="130">
        <v>2</v>
      </c>
      <c r="N590" s="22" t="s">
        <v>1088</v>
      </c>
      <c r="O590" s="25" t="s">
        <v>1879</v>
      </c>
    </row>
    <row r="591" spans="1:15" x14ac:dyDescent="0.25">
      <c r="A591" s="286"/>
      <c r="B591" s="218"/>
      <c r="C591" s="22" t="s">
        <v>26</v>
      </c>
      <c r="D591" s="53">
        <v>1.2</v>
      </c>
      <c r="E591" s="53">
        <v>1.2</v>
      </c>
      <c r="F591" s="53">
        <v>1.1000000000000001</v>
      </c>
      <c r="G591" s="53">
        <v>0.1</v>
      </c>
      <c r="H591" s="53">
        <v>0.1</v>
      </c>
      <c r="I591" s="54">
        <f t="shared" si="77"/>
        <v>0.91666666666666674</v>
      </c>
      <c r="J591" s="22"/>
      <c r="K591" s="24"/>
      <c r="L591" s="81"/>
      <c r="M591" s="82"/>
      <c r="N591" s="22"/>
      <c r="O591" s="25"/>
    </row>
    <row r="592" spans="1:15" x14ac:dyDescent="0.25">
      <c r="A592" s="286"/>
      <c r="B592" s="218"/>
      <c r="C592" s="22" t="s">
        <v>181</v>
      </c>
      <c r="D592" s="53">
        <v>3</v>
      </c>
      <c r="E592" s="53">
        <v>3</v>
      </c>
      <c r="F592" s="53">
        <v>1.8</v>
      </c>
      <c r="G592" s="53">
        <v>1.2</v>
      </c>
      <c r="H592" s="53">
        <v>1.2</v>
      </c>
      <c r="I592" s="54">
        <f t="shared" si="77"/>
        <v>0.6</v>
      </c>
      <c r="J592" s="22"/>
      <c r="K592" s="24"/>
      <c r="L592" s="81"/>
      <c r="M592" s="82"/>
      <c r="N592" s="22"/>
      <c r="O592" s="25"/>
    </row>
    <row r="593" spans="1:15" ht="15.75" thickBot="1" x14ac:dyDescent="0.3">
      <c r="A593" s="287"/>
      <c r="B593" s="219"/>
      <c r="C593" s="22" t="s">
        <v>30</v>
      </c>
      <c r="D593" s="53">
        <v>0.1</v>
      </c>
      <c r="E593" s="53">
        <v>0.1</v>
      </c>
      <c r="F593" s="53">
        <v>0</v>
      </c>
      <c r="G593" s="53">
        <v>0.1</v>
      </c>
      <c r="H593" s="53">
        <v>0.1</v>
      </c>
      <c r="I593" s="68">
        <f t="shared" si="77"/>
        <v>0</v>
      </c>
      <c r="J593" s="22"/>
      <c r="K593" s="24"/>
      <c r="L593" s="81"/>
      <c r="M593" s="82"/>
      <c r="N593" s="22"/>
      <c r="O593" s="25"/>
    </row>
    <row r="594" spans="1:15" ht="76.5" x14ac:dyDescent="0.25">
      <c r="A594" s="285" t="s">
        <v>1089</v>
      </c>
      <c r="B594" s="217" t="s">
        <v>1090</v>
      </c>
      <c r="C594" s="17"/>
      <c r="D594" s="51">
        <f>SUM(D595:D598)</f>
        <v>75.5</v>
      </c>
      <c r="E594" s="51">
        <f>SUM(E595:E598)</f>
        <v>75.5</v>
      </c>
      <c r="F594" s="51">
        <f>SUM(F595:F598)</f>
        <v>41.8</v>
      </c>
      <c r="G594" s="51">
        <f>SUM(G595:G598)</f>
        <v>33.699999999999996</v>
      </c>
      <c r="H594" s="51">
        <f>SUM(H595:H598)</f>
        <v>33.699999999999996</v>
      </c>
      <c r="I594" s="54">
        <f t="shared" si="77"/>
        <v>0.55364238410596023</v>
      </c>
      <c r="J594" s="17" t="s">
        <v>221</v>
      </c>
      <c r="K594" s="18" t="s">
        <v>19</v>
      </c>
      <c r="L594" s="18">
        <v>1</v>
      </c>
      <c r="M594" s="161">
        <v>0</v>
      </c>
      <c r="N594" s="17" t="s">
        <v>1091</v>
      </c>
      <c r="O594" s="19" t="s">
        <v>1880</v>
      </c>
    </row>
    <row r="595" spans="1:15" x14ac:dyDescent="0.25">
      <c r="A595" s="286"/>
      <c r="B595" s="218"/>
      <c r="C595" s="22" t="s">
        <v>30</v>
      </c>
      <c r="D595" s="53">
        <v>39</v>
      </c>
      <c r="E595" s="53">
        <v>39</v>
      </c>
      <c r="F595" s="53">
        <v>20.7</v>
      </c>
      <c r="G595" s="53">
        <v>18.3</v>
      </c>
      <c r="H595" s="53">
        <v>18.3</v>
      </c>
      <c r="I595" s="54">
        <f t="shared" si="77"/>
        <v>0.53076923076923077</v>
      </c>
      <c r="J595" s="22"/>
      <c r="K595" s="24"/>
      <c r="L595" s="81"/>
      <c r="M595" s="82"/>
      <c r="N595" s="22"/>
      <c r="O595" s="25"/>
    </row>
    <row r="596" spans="1:15" x14ac:dyDescent="0.25">
      <c r="A596" s="286"/>
      <c r="B596" s="218"/>
      <c r="C596" s="22" t="s">
        <v>191</v>
      </c>
      <c r="D596" s="53">
        <v>31.4</v>
      </c>
      <c r="E596" s="53">
        <v>31.4</v>
      </c>
      <c r="F596" s="53">
        <v>19.399999999999999</v>
      </c>
      <c r="G596" s="53">
        <v>12</v>
      </c>
      <c r="H596" s="53">
        <v>12</v>
      </c>
      <c r="I596" s="54">
        <f t="shared" si="77"/>
        <v>0.61783439490445857</v>
      </c>
      <c r="J596" s="22"/>
      <c r="K596" s="24"/>
      <c r="L596" s="81"/>
      <c r="M596" s="82"/>
      <c r="N596" s="22"/>
      <c r="O596" s="25"/>
    </row>
    <row r="597" spans="1:15" x14ac:dyDescent="0.25">
      <c r="A597" s="286"/>
      <c r="B597" s="218"/>
      <c r="C597" s="22" t="s">
        <v>26</v>
      </c>
      <c r="D597" s="53">
        <v>2.1</v>
      </c>
      <c r="E597" s="53">
        <v>2.1</v>
      </c>
      <c r="F597" s="53">
        <v>0</v>
      </c>
      <c r="G597" s="53">
        <v>2.1</v>
      </c>
      <c r="H597" s="53">
        <v>2.1</v>
      </c>
      <c r="I597" s="54">
        <f t="shared" si="77"/>
        <v>0</v>
      </c>
      <c r="J597" s="22"/>
      <c r="K597" s="24"/>
      <c r="L597" s="81"/>
      <c r="M597" s="82"/>
      <c r="N597" s="22"/>
      <c r="O597" s="25"/>
    </row>
    <row r="598" spans="1:15" ht="15.75" thickBot="1" x14ac:dyDescent="0.3">
      <c r="A598" s="287"/>
      <c r="B598" s="219"/>
      <c r="C598" s="22" t="s">
        <v>181</v>
      </c>
      <c r="D598" s="53">
        <v>3</v>
      </c>
      <c r="E598" s="53">
        <v>3</v>
      </c>
      <c r="F598" s="53">
        <v>1.7</v>
      </c>
      <c r="G598" s="53">
        <v>1.3</v>
      </c>
      <c r="H598" s="53">
        <v>1.3</v>
      </c>
      <c r="I598" s="68">
        <f t="shared" si="77"/>
        <v>0.56666666666666665</v>
      </c>
      <c r="J598" s="22"/>
      <c r="K598" s="24"/>
      <c r="L598" s="81"/>
      <c r="M598" s="82"/>
      <c r="N598" s="22"/>
      <c r="O598" s="25"/>
    </row>
    <row r="599" spans="1:15" ht="25.5" x14ac:dyDescent="0.25">
      <c r="A599" s="285" t="s">
        <v>1092</v>
      </c>
      <c r="B599" s="217" t="s">
        <v>1093</v>
      </c>
      <c r="C599" s="17"/>
      <c r="D599" s="51">
        <f>D600+D601+D602+D603+D605</f>
        <v>640.29999999999995</v>
      </c>
      <c r="E599" s="51">
        <f>E600+E601+E602+E603+E605</f>
        <v>640.29999999999995</v>
      </c>
      <c r="F599" s="51">
        <f>F600+F601+F602+F603+F605</f>
        <v>667.19999999999993</v>
      </c>
      <c r="G599" s="51">
        <f>G600+G601+G602+G603+G605</f>
        <v>-26.899999999999995</v>
      </c>
      <c r="H599" s="51">
        <f>H600+H601+H602+H603+H605</f>
        <v>-26.899999999999995</v>
      </c>
      <c r="I599" s="54">
        <f t="shared" si="77"/>
        <v>1.0420115570826174</v>
      </c>
      <c r="J599" s="17" t="s">
        <v>1094</v>
      </c>
      <c r="K599" s="18" t="s">
        <v>337</v>
      </c>
      <c r="L599" s="18">
        <v>1</v>
      </c>
      <c r="M599" s="161">
        <v>0</v>
      </c>
      <c r="N599" s="17"/>
      <c r="O599" s="19" t="s">
        <v>1952</v>
      </c>
    </row>
    <row r="600" spans="1:15" ht="25.5" x14ac:dyDescent="0.25">
      <c r="A600" s="286"/>
      <c r="B600" s="218"/>
      <c r="C600" s="22"/>
      <c r="D600" s="53"/>
      <c r="E600" s="53"/>
      <c r="F600" s="53"/>
      <c r="G600" s="53"/>
      <c r="H600" s="53"/>
      <c r="I600" s="55"/>
      <c r="J600" s="186" t="s">
        <v>1095</v>
      </c>
      <c r="K600" s="187" t="s">
        <v>337</v>
      </c>
      <c r="L600" s="187">
        <v>11</v>
      </c>
      <c r="M600" s="188">
        <v>0</v>
      </c>
      <c r="N600" s="22"/>
      <c r="O600" s="25" t="s">
        <v>1951</v>
      </c>
    </row>
    <row r="601" spans="1:15" ht="25.5" x14ac:dyDescent="0.25">
      <c r="A601" s="286"/>
      <c r="B601" s="218"/>
      <c r="C601" s="22"/>
      <c r="D601" s="53"/>
      <c r="E601" s="53"/>
      <c r="F601" s="53"/>
      <c r="G601" s="53"/>
      <c r="H601" s="53"/>
      <c r="I601" s="55"/>
      <c r="J601" s="22" t="s">
        <v>1096</v>
      </c>
      <c r="K601" s="24" t="s">
        <v>337</v>
      </c>
      <c r="L601" s="24">
        <v>9</v>
      </c>
      <c r="M601" s="162">
        <v>0</v>
      </c>
      <c r="N601" s="22"/>
      <c r="O601" s="25"/>
    </row>
    <row r="602" spans="1:15" ht="31.5" customHeight="1" thickBot="1" x14ac:dyDescent="0.3">
      <c r="A602" s="287"/>
      <c r="B602" s="219"/>
      <c r="C602" s="22"/>
      <c r="D602" s="53"/>
      <c r="E602" s="53"/>
      <c r="F602" s="53"/>
      <c r="G602" s="53"/>
      <c r="H602" s="53"/>
      <c r="I602" s="67"/>
      <c r="J602" s="22" t="s">
        <v>1097</v>
      </c>
      <c r="K602" s="24" t="s">
        <v>19</v>
      </c>
      <c r="L602" s="24">
        <v>10</v>
      </c>
      <c r="M602" s="130">
        <v>10</v>
      </c>
      <c r="N602" s="22"/>
      <c r="O602" s="25"/>
    </row>
    <row r="603" spans="1:15" ht="76.5" x14ac:dyDescent="0.25">
      <c r="A603" s="285" t="s">
        <v>1098</v>
      </c>
      <c r="B603" s="217" t="s">
        <v>1099</v>
      </c>
      <c r="C603" s="17"/>
      <c r="D603" s="51">
        <f>SUM(D604:D604)</f>
        <v>135</v>
      </c>
      <c r="E603" s="51">
        <f>SUM(E604:E604)</f>
        <v>135</v>
      </c>
      <c r="F603" s="51">
        <f>SUM(F604:F604)</f>
        <v>134.4</v>
      </c>
      <c r="G603" s="51">
        <f>SUM(G604:G604)</f>
        <v>0.6</v>
      </c>
      <c r="H603" s="51">
        <f>SUM(H604:H604)</f>
        <v>0.6</v>
      </c>
      <c r="I603" s="54">
        <f t="shared" ref="I603:I617" si="78">SUM(F603/E603)</f>
        <v>0.99555555555555564</v>
      </c>
      <c r="J603" s="17" t="s">
        <v>1959</v>
      </c>
      <c r="K603" s="18" t="s">
        <v>337</v>
      </c>
      <c r="L603" s="18">
        <v>1</v>
      </c>
      <c r="M603" s="161">
        <v>0</v>
      </c>
      <c r="N603" s="17"/>
      <c r="O603" s="19" t="s">
        <v>1100</v>
      </c>
    </row>
    <row r="604" spans="1:15" ht="51.75" thickBot="1" x14ac:dyDescent="0.3">
      <c r="A604" s="287"/>
      <c r="B604" s="219"/>
      <c r="C604" s="22" t="s">
        <v>26</v>
      </c>
      <c r="D604" s="53">
        <v>135</v>
      </c>
      <c r="E604" s="53">
        <v>135</v>
      </c>
      <c r="F604" s="53">
        <v>134.4</v>
      </c>
      <c r="G604" s="53">
        <v>0.6</v>
      </c>
      <c r="H604" s="53">
        <v>0.6</v>
      </c>
      <c r="I604" s="68">
        <f t="shared" si="78"/>
        <v>0.99555555555555564</v>
      </c>
      <c r="J604" s="22" t="s">
        <v>1096</v>
      </c>
      <c r="K604" s="24" t="s">
        <v>337</v>
      </c>
      <c r="L604" s="24">
        <v>9</v>
      </c>
      <c r="M604" s="162">
        <v>0</v>
      </c>
      <c r="N604" s="22"/>
      <c r="O604" s="25" t="s">
        <v>1953</v>
      </c>
    </row>
    <row r="605" spans="1:15" ht="51" customHeight="1" x14ac:dyDescent="0.25">
      <c r="A605" s="285" t="s">
        <v>1101</v>
      </c>
      <c r="B605" s="217" t="s">
        <v>1102</v>
      </c>
      <c r="C605" s="17"/>
      <c r="D605" s="51">
        <f>SUM(D606:D608)</f>
        <v>505.3</v>
      </c>
      <c r="E605" s="51">
        <f>SUM(E606:E608)</f>
        <v>505.3</v>
      </c>
      <c r="F605" s="51">
        <f>SUM(F606:F608)</f>
        <v>532.79999999999995</v>
      </c>
      <c r="G605" s="51">
        <f>SUM(G606:G608)</f>
        <v>-27.499999999999996</v>
      </c>
      <c r="H605" s="51">
        <f>SUM(H606:H608)</f>
        <v>-27.499999999999996</v>
      </c>
      <c r="I605" s="54">
        <f t="shared" si="78"/>
        <v>1.0544231149811991</v>
      </c>
      <c r="J605" s="17" t="s">
        <v>1097</v>
      </c>
      <c r="K605" s="18" t="s">
        <v>337</v>
      </c>
      <c r="L605" s="18">
        <v>10</v>
      </c>
      <c r="M605" s="125">
        <v>10</v>
      </c>
      <c r="N605" s="17" t="s">
        <v>1103</v>
      </c>
      <c r="O605" s="19"/>
    </row>
    <row r="606" spans="1:15" x14ac:dyDescent="0.25">
      <c r="A606" s="286"/>
      <c r="B606" s="218"/>
      <c r="C606" s="22" t="s">
        <v>181</v>
      </c>
      <c r="D606" s="53">
        <v>420.3</v>
      </c>
      <c r="E606" s="53">
        <v>420.3</v>
      </c>
      <c r="F606" s="53">
        <v>416.7</v>
      </c>
      <c r="G606" s="53">
        <v>3.6</v>
      </c>
      <c r="H606" s="53">
        <v>3.6</v>
      </c>
      <c r="I606" s="54">
        <f t="shared" si="78"/>
        <v>0.99143468950749458</v>
      </c>
      <c r="J606" s="22"/>
      <c r="K606" s="24"/>
      <c r="L606" s="81"/>
      <c r="M606" s="82"/>
      <c r="N606" s="22"/>
      <c r="O606" s="25"/>
    </row>
    <row r="607" spans="1:15" x14ac:dyDescent="0.25">
      <c r="A607" s="286"/>
      <c r="B607" s="218"/>
      <c r="C607" s="22" t="s">
        <v>165</v>
      </c>
      <c r="D607" s="53"/>
      <c r="E607" s="53"/>
      <c r="F607" s="53">
        <v>55.3</v>
      </c>
      <c r="G607" s="53">
        <v>-55.3</v>
      </c>
      <c r="H607" s="53">
        <v>-55.3</v>
      </c>
      <c r="I607" s="54"/>
      <c r="J607" s="22"/>
      <c r="K607" s="24"/>
      <c r="L607" s="81"/>
      <c r="M607" s="82"/>
      <c r="N607" s="22"/>
      <c r="O607" s="25"/>
    </row>
    <row r="608" spans="1:15" ht="15.75" thickBot="1" x14ac:dyDescent="0.3">
      <c r="A608" s="287"/>
      <c r="B608" s="219"/>
      <c r="C608" s="22" t="s">
        <v>30</v>
      </c>
      <c r="D608" s="53">
        <v>85</v>
      </c>
      <c r="E608" s="53">
        <v>85</v>
      </c>
      <c r="F608" s="53">
        <v>60.8</v>
      </c>
      <c r="G608" s="53">
        <v>24.2</v>
      </c>
      <c r="H608" s="53">
        <v>24.2</v>
      </c>
      <c r="I608" s="68">
        <f t="shared" si="78"/>
        <v>0.71529411764705875</v>
      </c>
      <c r="J608" s="22"/>
      <c r="K608" s="24"/>
      <c r="L608" s="81"/>
      <c r="M608" s="82"/>
      <c r="N608" s="22"/>
      <c r="O608" s="25"/>
    </row>
    <row r="609" spans="1:15" ht="89.25" x14ac:dyDescent="0.25">
      <c r="A609" s="285" t="s">
        <v>1104</v>
      </c>
      <c r="B609" s="217" t="s">
        <v>1105</v>
      </c>
      <c r="C609" s="17"/>
      <c r="D609" s="51">
        <f>SUM(D610:D613)</f>
        <v>4188.3999999999996</v>
      </c>
      <c r="E609" s="51">
        <f>SUM(E610:E613)</f>
        <v>4188.3999999999996</v>
      </c>
      <c r="F609" s="51">
        <f>SUM(F610:F613)+0.1</f>
        <v>3372.4</v>
      </c>
      <c r="G609" s="51">
        <f>SUM(G610:G613)-0.1</f>
        <v>816</v>
      </c>
      <c r="H609" s="51">
        <f>SUM(H610:H613)-0.1</f>
        <v>816</v>
      </c>
      <c r="I609" s="54">
        <f t="shared" si="78"/>
        <v>0.80517620093591835</v>
      </c>
      <c r="J609" s="17" t="s">
        <v>1106</v>
      </c>
      <c r="K609" s="18" t="s">
        <v>19</v>
      </c>
      <c r="L609" s="18">
        <v>6</v>
      </c>
      <c r="M609" s="135">
        <v>4</v>
      </c>
      <c r="N609" s="17" t="s">
        <v>1107</v>
      </c>
      <c r="O609" s="19" t="s">
        <v>1804</v>
      </c>
    </row>
    <row r="610" spans="1:15" x14ac:dyDescent="0.25">
      <c r="A610" s="286"/>
      <c r="B610" s="218"/>
      <c r="C610" s="22" t="s">
        <v>26</v>
      </c>
      <c r="D610" s="53">
        <v>801.2</v>
      </c>
      <c r="E610" s="53">
        <v>801.2</v>
      </c>
      <c r="F610" s="53">
        <v>617</v>
      </c>
      <c r="G610" s="53">
        <v>184.2</v>
      </c>
      <c r="H610" s="53">
        <v>184.2</v>
      </c>
      <c r="I610" s="54">
        <f t="shared" si="78"/>
        <v>0.77009485771342978</v>
      </c>
      <c r="J610" s="22"/>
      <c r="K610" s="24"/>
      <c r="L610" s="81"/>
      <c r="M610" s="82"/>
      <c r="N610" s="22"/>
      <c r="O610" s="25"/>
    </row>
    <row r="611" spans="1:15" x14ac:dyDescent="0.25">
      <c r="A611" s="286"/>
      <c r="B611" s="218"/>
      <c r="C611" s="22" t="s">
        <v>181</v>
      </c>
      <c r="D611" s="53">
        <v>1148.8</v>
      </c>
      <c r="E611" s="53">
        <v>1148.8</v>
      </c>
      <c r="F611" s="53">
        <v>517</v>
      </c>
      <c r="G611" s="53">
        <v>631.79999999999995</v>
      </c>
      <c r="H611" s="53">
        <v>631.79999999999995</v>
      </c>
      <c r="I611" s="54">
        <f t="shared" si="78"/>
        <v>0.45003481894150421</v>
      </c>
      <c r="J611" s="22"/>
      <c r="K611" s="24"/>
      <c r="L611" s="81"/>
      <c r="M611" s="82"/>
      <c r="N611" s="22"/>
      <c r="O611" s="25"/>
    </row>
    <row r="612" spans="1:15" x14ac:dyDescent="0.25">
      <c r="A612" s="286"/>
      <c r="B612" s="218"/>
      <c r="C612" s="22" t="s">
        <v>198</v>
      </c>
      <c r="D612" s="53">
        <v>2106</v>
      </c>
      <c r="E612" s="53">
        <v>2106</v>
      </c>
      <c r="F612" s="53">
        <v>2105.9</v>
      </c>
      <c r="G612" s="53">
        <v>0.1</v>
      </c>
      <c r="H612" s="53">
        <v>0.1</v>
      </c>
      <c r="I612" s="54">
        <f t="shared" si="78"/>
        <v>0.99995251661918327</v>
      </c>
      <c r="J612" s="22"/>
      <c r="K612" s="24"/>
      <c r="L612" s="81"/>
      <c r="M612" s="82"/>
      <c r="N612" s="22"/>
      <c r="O612" s="25"/>
    </row>
    <row r="613" spans="1:15" ht="15.75" thickBot="1" x14ac:dyDescent="0.3">
      <c r="A613" s="287"/>
      <c r="B613" s="219"/>
      <c r="C613" s="22" t="s">
        <v>30</v>
      </c>
      <c r="D613" s="53">
        <v>132.4</v>
      </c>
      <c r="E613" s="53">
        <v>132.4</v>
      </c>
      <c r="F613" s="53">
        <v>132.4</v>
      </c>
      <c r="G613" s="53"/>
      <c r="H613" s="53"/>
      <c r="I613" s="68">
        <f t="shared" si="78"/>
        <v>1</v>
      </c>
      <c r="J613" s="22"/>
      <c r="K613" s="24"/>
      <c r="L613" s="81"/>
      <c r="M613" s="82"/>
      <c r="N613" s="22"/>
      <c r="O613" s="25"/>
    </row>
    <row r="614" spans="1:15" ht="39" thickBot="1" x14ac:dyDescent="0.3">
      <c r="A614" s="15" t="s">
        <v>1108</v>
      </c>
      <c r="B614" s="16" t="s">
        <v>1109</v>
      </c>
      <c r="C614" s="17" t="s">
        <v>26</v>
      </c>
      <c r="D614" s="61">
        <v>80</v>
      </c>
      <c r="E614" s="61">
        <v>80</v>
      </c>
      <c r="F614" s="61">
        <v>79.8</v>
      </c>
      <c r="G614" s="61">
        <v>0.2</v>
      </c>
      <c r="H614" s="61">
        <v>0.2</v>
      </c>
      <c r="I614" s="63">
        <f t="shared" si="78"/>
        <v>0.99749999999999994</v>
      </c>
      <c r="J614" s="17" t="s">
        <v>1110</v>
      </c>
      <c r="K614" s="18" t="s">
        <v>25</v>
      </c>
      <c r="L614" s="18">
        <v>100</v>
      </c>
      <c r="M614" s="125">
        <v>100</v>
      </c>
      <c r="N614" s="17" t="s">
        <v>1111</v>
      </c>
      <c r="O614" s="19"/>
    </row>
    <row r="615" spans="1:15" ht="90" thickBot="1" x14ac:dyDescent="0.3">
      <c r="A615" s="15" t="s">
        <v>1112</v>
      </c>
      <c r="B615" s="16" t="s">
        <v>1113</v>
      </c>
      <c r="C615" s="17" t="s">
        <v>26</v>
      </c>
      <c r="D615" s="61">
        <v>484</v>
      </c>
      <c r="E615" s="61">
        <v>484</v>
      </c>
      <c r="F615" s="61">
        <v>373</v>
      </c>
      <c r="G615" s="61">
        <v>111</v>
      </c>
      <c r="H615" s="61">
        <v>111</v>
      </c>
      <c r="I615" s="62">
        <f t="shared" si="78"/>
        <v>0.77066115702479343</v>
      </c>
      <c r="J615" s="17" t="s">
        <v>1114</v>
      </c>
      <c r="K615" s="18" t="s">
        <v>337</v>
      </c>
      <c r="L615" s="18">
        <v>1</v>
      </c>
      <c r="M615" s="189">
        <v>8</v>
      </c>
      <c r="N615" s="17" t="s">
        <v>1954</v>
      </c>
      <c r="O615" s="19" t="s">
        <v>1881</v>
      </c>
    </row>
    <row r="616" spans="1:15" x14ac:dyDescent="0.25">
      <c r="A616" s="285" t="s">
        <v>1115</v>
      </c>
      <c r="B616" s="217" t="s">
        <v>1116</v>
      </c>
      <c r="C616" s="17"/>
      <c r="D616" s="51">
        <f>SUM(D617:D617)</f>
        <v>197.6</v>
      </c>
      <c r="E616" s="51">
        <f>SUM(E617:E617)</f>
        <v>197.6</v>
      </c>
      <c r="F616" s="51">
        <f>SUM(F617:F617)</f>
        <v>82.9</v>
      </c>
      <c r="G616" s="51">
        <f>SUM(G617:G617)</f>
        <v>114.7</v>
      </c>
      <c r="H616" s="51">
        <f>SUM(H617:H617)</f>
        <v>114.7</v>
      </c>
      <c r="I616" s="54">
        <f t="shared" si="78"/>
        <v>0.41953441295546562</v>
      </c>
      <c r="J616" s="17" t="s">
        <v>1117</v>
      </c>
      <c r="K616" s="18" t="s">
        <v>19</v>
      </c>
      <c r="L616" s="18">
        <v>1</v>
      </c>
      <c r="M616" s="115">
        <v>0.5</v>
      </c>
      <c r="N616" s="17"/>
      <c r="O616" s="19"/>
    </row>
    <row r="617" spans="1:15" ht="15" customHeight="1" thickBot="1" x14ac:dyDescent="0.3">
      <c r="A617" s="287"/>
      <c r="B617" s="219"/>
      <c r="C617" s="22" t="s">
        <v>30</v>
      </c>
      <c r="D617" s="53">
        <v>197.6</v>
      </c>
      <c r="E617" s="53">
        <v>197.6</v>
      </c>
      <c r="F617" s="53">
        <v>82.9</v>
      </c>
      <c r="G617" s="53">
        <v>114.7</v>
      </c>
      <c r="H617" s="53">
        <v>114.7</v>
      </c>
      <c r="I617" s="54">
        <f t="shared" si="78"/>
        <v>0.41953441295546562</v>
      </c>
      <c r="J617" s="22"/>
      <c r="K617" s="24"/>
      <c r="L617" s="81"/>
      <c r="M617" s="82"/>
      <c r="N617" s="22"/>
      <c r="O617" s="25"/>
    </row>
    <row r="618" spans="1:15" ht="1.5" hidden="1" customHeight="1" thickBot="1" x14ac:dyDescent="0.3">
      <c r="A618" s="285" t="s">
        <v>1118</v>
      </c>
      <c r="B618" s="217" t="s">
        <v>1119</v>
      </c>
      <c r="C618" s="17"/>
      <c r="D618" s="51"/>
      <c r="E618" s="51"/>
      <c r="F618" s="51"/>
      <c r="G618" s="51"/>
      <c r="H618" s="51"/>
      <c r="I618" s="71"/>
      <c r="J618" s="17" t="s">
        <v>528</v>
      </c>
      <c r="K618" s="18" t="s">
        <v>25</v>
      </c>
      <c r="L618" s="18">
        <v>0</v>
      </c>
      <c r="M618" s="18">
        <v>0</v>
      </c>
      <c r="N618" s="17"/>
      <c r="O618" s="19"/>
    </row>
    <row r="619" spans="1:15" ht="15.75" hidden="1" thickBot="1" x14ac:dyDescent="0.3">
      <c r="A619" s="287"/>
      <c r="B619" s="219"/>
      <c r="C619" s="22"/>
      <c r="D619" s="53"/>
      <c r="E619" s="53"/>
      <c r="F619" s="53"/>
      <c r="G619" s="53"/>
      <c r="H619" s="53"/>
      <c r="I619" s="55"/>
      <c r="J619" s="22" t="s">
        <v>1087</v>
      </c>
      <c r="K619" s="24" t="s">
        <v>280</v>
      </c>
      <c r="L619" s="24">
        <v>0</v>
      </c>
      <c r="M619" s="24">
        <v>0</v>
      </c>
      <c r="N619" s="22"/>
      <c r="O619" s="25"/>
    </row>
    <row r="620" spans="1:15" ht="51" hidden="1" customHeight="1" thickBot="1" x14ac:dyDescent="0.3">
      <c r="A620" s="285" t="s">
        <v>1120</v>
      </c>
      <c r="B620" s="217" t="s">
        <v>1121</v>
      </c>
      <c r="C620" s="17"/>
      <c r="D620" s="51"/>
      <c r="E620" s="51"/>
      <c r="F620" s="51"/>
      <c r="G620" s="51"/>
      <c r="H620" s="51"/>
      <c r="I620" s="71"/>
      <c r="J620" s="17" t="s">
        <v>528</v>
      </c>
      <c r="K620" s="18" t="s">
        <v>25</v>
      </c>
      <c r="L620" s="18">
        <v>0</v>
      </c>
      <c r="M620" s="18">
        <v>0</v>
      </c>
      <c r="N620" s="17"/>
      <c r="O620" s="19"/>
    </row>
    <row r="621" spans="1:15" ht="15.75" hidden="1" thickBot="1" x14ac:dyDescent="0.3">
      <c r="A621" s="286"/>
      <c r="B621" s="218"/>
      <c r="C621" s="22"/>
      <c r="D621" s="53"/>
      <c r="E621" s="53"/>
      <c r="F621" s="53"/>
      <c r="G621" s="53"/>
      <c r="H621" s="53"/>
      <c r="I621" s="55"/>
      <c r="J621" s="22" t="s">
        <v>1087</v>
      </c>
      <c r="K621" s="24" t="s">
        <v>280</v>
      </c>
      <c r="L621" s="24">
        <v>0</v>
      </c>
      <c r="M621" s="24">
        <v>0</v>
      </c>
      <c r="N621" s="22"/>
      <c r="O621" s="25"/>
    </row>
    <row r="622" spans="1:15" ht="15.75" hidden="1" thickBot="1" x14ac:dyDescent="0.3">
      <c r="A622" s="287"/>
      <c r="B622" s="219"/>
      <c r="C622" s="22"/>
      <c r="D622" s="53"/>
      <c r="E622" s="53"/>
      <c r="F622" s="53"/>
      <c r="G622" s="53"/>
      <c r="H622" s="53"/>
      <c r="I622" s="67"/>
      <c r="J622" s="22" t="s">
        <v>1122</v>
      </c>
      <c r="K622" s="24" t="s">
        <v>337</v>
      </c>
      <c r="L622" s="24">
        <v>0</v>
      </c>
      <c r="M622" s="24">
        <v>0</v>
      </c>
      <c r="N622" s="22"/>
      <c r="O622" s="25"/>
    </row>
    <row r="623" spans="1:15" ht="195.75" customHeight="1" x14ac:dyDescent="0.25">
      <c r="A623" s="285" t="s">
        <v>1123</v>
      </c>
      <c r="B623" s="217" t="s">
        <v>1124</v>
      </c>
      <c r="C623" s="17"/>
      <c r="D623" s="51">
        <f>SUM(D624:D625)</f>
        <v>943.5</v>
      </c>
      <c r="E623" s="51">
        <f>SUM(E624:E625)</f>
        <v>943.5</v>
      </c>
      <c r="F623" s="51">
        <f>SUM(F624:F625)</f>
        <v>636</v>
      </c>
      <c r="G623" s="51">
        <f>SUM(G624:G625)</f>
        <v>307.5</v>
      </c>
      <c r="H623" s="51">
        <f>SUM(H624:H625)</f>
        <v>307.5</v>
      </c>
      <c r="I623" s="54">
        <f t="shared" ref="I623:I625" si="79">SUM(F623/E623)</f>
        <v>0.67408585055643877</v>
      </c>
      <c r="J623" s="17" t="s">
        <v>1125</v>
      </c>
      <c r="K623" s="18" t="s">
        <v>25</v>
      </c>
      <c r="L623" s="18">
        <v>25</v>
      </c>
      <c r="M623" s="136">
        <v>10</v>
      </c>
      <c r="N623" s="17" t="s">
        <v>1126</v>
      </c>
      <c r="O623" s="19" t="s">
        <v>1882</v>
      </c>
    </row>
    <row r="624" spans="1:15" ht="51" x14ac:dyDescent="0.25">
      <c r="A624" s="286"/>
      <c r="B624" s="218"/>
      <c r="C624" s="22" t="s">
        <v>181</v>
      </c>
      <c r="D624" s="53">
        <v>60</v>
      </c>
      <c r="E624" s="53">
        <v>60</v>
      </c>
      <c r="F624" s="53"/>
      <c r="G624" s="53">
        <v>60</v>
      </c>
      <c r="H624" s="53">
        <v>60</v>
      </c>
      <c r="I624" s="54">
        <f t="shared" si="79"/>
        <v>0</v>
      </c>
      <c r="J624" s="22" t="s">
        <v>1127</v>
      </c>
      <c r="K624" s="24" t="s">
        <v>25</v>
      </c>
      <c r="L624" s="24">
        <v>25</v>
      </c>
      <c r="M624" s="155">
        <v>10</v>
      </c>
      <c r="N624" s="22" t="s">
        <v>1128</v>
      </c>
      <c r="O624" s="25" t="s">
        <v>1805</v>
      </c>
    </row>
    <row r="625" spans="1:19" ht="15.75" thickBot="1" x14ac:dyDescent="0.3">
      <c r="A625" s="287"/>
      <c r="B625" s="219"/>
      <c r="C625" s="22" t="s">
        <v>191</v>
      </c>
      <c r="D625" s="53">
        <v>883.5</v>
      </c>
      <c r="E625" s="53">
        <v>883.5</v>
      </c>
      <c r="F625" s="53">
        <v>636</v>
      </c>
      <c r="G625" s="53">
        <v>247.5</v>
      </c>
      <c r="H625" s="53">
        <v>247.5</v>
      </c>
      <c r="I625" s="54">
        <f t="shared" si="79"/>
        <v>0.71986417657045842</v>
      </c>
      <c r="J625" s="22"/>
      <c r="K625" s="24"/>
      <c r="L625" s="81"/>
      <c r="M625" s="82"/>
      <c r="N625" s="22"/>
      <c r="O625" s="25"/>
    </row>
    <row r="626" spans="1:19" ht="26.25" thickBot="1" x14ac:dyDescent="0.3">
      <c r="A626" s="4" t="s">
        <v>1129</v>
      </c>
      <c r="B626" s="5" t="s">
        <v>1130</v>
      </c>
      <c r="C626" s="6"/>
      <c r="D626" s="45">
        <f>SUM(D627:D627)</f>
        <v>3425.2000000000003</v>
      </c>
      <c r="E626" s="45">
        <f>SUM(E627:E627)</f>
        <v>3425.2000000000003</v>
      </c>
      <c r="F626" s="45">
        <f>SUM(F627:F627)</f>
        <v>2919.2</v>
      </c>
      <c r="G626" s="45">
        <f>SUM(G627:G627)</f>
        <v>506</v>
      </c>
      <c r="H626" s="45">
        <f>SUM(H627:H627)</f>
        <v>506</v>
      </c>
      <c r="I626" s="46">
        <f>SUM(F626/E626)</f>
        <v>0.85227140021020653</v>
      </c>
      <c r="J626" s="266"/>
      <c r="K626" s="267"/>
      <c r="L626" s="267"/>
      <c r="M626" s="267"/>
      <c r="N626" s="267"/>
      <c r="O626" s="268"/>
    </row>
    <row r="627" spans="1:19" ht="51.75" thickBot="1" x14ac:dyDescent="0.3">
      <c r="A627" s="7" t="s">
        <v>1131</v>
      </c>
      <c r="B627" s="8" t="s">
        <v>1132</v>
      </c>
      <c r="C627" s="9"/>
      <c r="D627" s="47">
        <f>D628+D641+D656</f>
        <v>3425.2000000000003</v>
      </c>
      <c r="E627" s="47">
        <f>E628+E641+E656</f>
        <v>3425.2000000000003</v>
      </c>
      <c r="F627" s="47">
        <f>F628+F641+F656</f>
        <v>2919.2</v>
      </c>
      <c r="G627" s="47">
        <f>G628+G641+G656</f>
        <v>506</v>
      </c>
      <c r="H627" s="47">
        <f>H628+H641+H656</f>
        <v>506</v>
      </c>
      <c r="I627" s="48">
        <f>SUM(F627/E627)</f>
        <v>0.85227140021020653</v>
      </c>
      <c r="J627" s="9" t="s">
        <v>1133</v>
      </c>
      <c r="K627" s="10" t="s">
        <v>25</v>
      </c>
      <c r="L627" s="10">
        <v>1</v>
      </c>
      <c r="M627" s="84">
        <v>0</v>
      </c>
      <c r="N627" s="273"/>
      <c r="O627" s="274"/>
      <c r="Q627" s="194"/>
      <c r="R627" s="195" t="s">
        <v>1</v>
      </c>
      <c r="S627" s="195" t="s">
        <v>1981</v>
      </c>
    </row>
    <row r="628" spans="1:19" ht="26.25" thickBot="1" x14ac:dyDescent="0.3">
      <c r="A628" s="12" t="s">
        <v>1134</v>
      </c>
      <c r="B628" s="13" t="s">
        <v>1135</v>
      </c>
      <c r="C628" s="14"/>
      <c r="D628" s="49">
        <f>D629+D630+D635+D638</f>
        <v>1274.3</v>
      </c>
      <c r="E628" s="49">
        <f>E629+E630+E635+E638</f>
        <v>1274.3</v>
      </c>
      <c r="F628" s="49">
        <f>F629+F630+F635+F638</f>
        <v>841.19999999999993</v>
      </c>
      <c r="G628" s="49">
        <f>G629+G630+G635+G638</f>
        <v>433.1</v>
      </c>
      <c r="H628" s="49">
        <f>H629+H630+H635+H638</f>
        <v>433.1</v>
      </c>
      <c r="I628" s="66">
        <f>SUM(F628/E628)</f>
        <v>0.6601271286196343</v>
      </c>
      <c r="J628" s="263"/>
      <c r="K628" s="264"/>
      <c r="L628" s="264"/>
      <c r="M628" s="264"/>
      <c r="N628" s="264"/>
      <c r="O628" s="265"/>
      <c r="Q628" s="196"/>
      <c r="R628" s="197" t="s">
        <v>1961</v>
      </c>
      <c r="S628" s="198">
        <v>5</v>
      </c>
    </row>
    <row r="629" spans="1:19" ht="90" thickBot="1" x14ac:dyDescent="0.3">
      <c r="A629" s="15" t="s">
        <v>1136</v>
      </c>
      <c r="B629" s="16" t="s">
        <v>1137</v>
      </c>
      <c r="C629" s="17" t="s">
        <v>26</v>
      </c>
      <c r="D629" s="61">
        <v>148.69999999999999</v>
      </c>
      <c r="E629" s="61">
        <v>148.69999999999999</v>
      </c>
      <c r="F629" s="61">
        <v>148.69999999999999</v>
      </c>
      <c r="G629" s="61"/>
      <c r="H629" s="61"/>
      <c r="I629" s="62">
        <f t="shared" ref="I629:I640" si="80">SUM(F629/E629)</f>
        <v>1</v>
      </c>
      <c r="J629" s="17" t="s">
        <v>1138</v>
      </c>
      <c r="K629" s="18" t="s">
        <v>25</v>
      </c>
      <c r="L629" s="18">
        <v>100</v>
      </c>
      <c r="M629" s="125">
        <v>100</v>
      </c>
      <c r="N629" s="17" t="s">
        <v>1806</v>
      </c>
      <c r="O629" s="19"/>
      <c r="Q629" s="199"/>
      <c r="R629" s="197" t="s">
        <v>1962</v>
      </c>
      <c r="S629" s="198"/>
    </row>
    <row r="630" spans="1:19" ht="38.25" x14ac:dyDescent="0.25">
      <c r="A630" s="285" t="s">
        <v>1139</v>
      </c>
      <c r="B630" s="217" t="s">
        <v>1140</v>
      </c>
      <c r="C630" s="17"/>
      <c r="D630" s="51">
        <f>SUM(D631:D634)</f>
        <v>474.7</v>
      </c>
      <c r="E630" s="51">
        <f>SUM(E631:E634)</f>
        <v>474.7</v>
      </c>
      <c r="F630" s="51">
        <f>SUM(F631:F634)</f>
        <v>319.79999999999995</v>
      </c>
      <c r="G630" s="51">
        <f>SUM(G631:G634)</f>
        <v>154.9</v>
      </c>
      <c r="H630" s="51">
        <f>SUM(H631:H634)</f>
        <v>154.9</v>
      </c>
      <c r="I630" s="54">
        <f t="shared" si="80"/>
        <v>0.67368864546029061</v>
      </c>
      <c r="J630" s="17" t="s">
        <v>1106</v>
      </c>
      <c r="K630" s="18" t="s">
        <v>19</v>
      </c>
      <c r="L630" s="18">
        <v>1</v>
      </c>
      <c r="M630" s="161">
        <v>0</v>
      </c>
      <c r="N630" s="17" t="s">
        <v>1141</v>
      </c>
      <c r="O630" s="19" t="s">
        <v>1883</v>
      </c>
      <c r="Q630" s="200"/>
      <c r="R630" s="197" t="s">
        <v>1963</v>
      </c>
      <c r="S630" s="201">
        <v>3</v>
      </c>
    </row>
    <row r="631" spans="1:19" ht="31.5" x14ac:dyDescent="0.25">
      <c r="A631" s="286"/>
      <c r="B631" s="218"/>
      <c r="C631" s="22" t="s">
        <v>26</v>
      </c>
      <c r="D631" s="53">
        <v>185</v>
      </c>
      <c r="E631" s="53">
        <v>185</v>
      </c>
      <c r="F631" s="53">
        <v>184.9</v>
      </c>
      <c r="G631" s="53">
        <v>0.1</v>
      </c>
      <c r="H631" s="53">
        <v>0.1</v>
      </c>
      <c r="I631" s="54">
        <f t="shared" si="80"/>
        <v>0.99945945945945946</v>
      </c>
      <c r="J631" s="22" t="s">
        <v>1142</v>
      </c>
      <c r="K631" s="24" t="s">
        <v>19</v>
      </c>
      <c r="L631" s="24">
        <v>1</v>
      </c>
      <c r="M631" s="130">
        <v>1</v>
      </c>
      <c r="N631" s="22" t="s">
        <v>1142</v>
      </c>
      <c r="O631" s="25"/>
      <c r="Q631" s="202"/>
      <c r="R631" s="197" t="s">
        <v>1964</v>
      </c>
      <c r="S631" s="201">
        <v>4</v>
      </c>
    </row>
    <row r="632" spans="1:19" ht="31.5" x14ac:dyDescent="0.25">
      <c r="A632" s="286"/>
      <c r="B632" s="218"/>
      <c r="C632" s="22" t="s">
        <v>198</v>
      </c>
      <c r="D632" s="53">
        <v>100</v>
      </c>
      <c r="E632" s="53">
        <v>100</v>
      </c>
      <c r="F632" s="53">
        <v>100</v>
      </c>
      <c r="G632" s="53"/>
      <c r="H632" s="53"/>
      <c r="I632" s="54">
        <f t="shared" si="80"/>
        <v>1</v>
      </c>
      <c r="J632" s="22" t="s">
        <v>1143</v>
      </c>
      <c r="K632" s="24" t="s">
        <v>19</v>
      </c>
      <c r="L632" s="24">
        <v>1</v>
      </c>
      <c r="M632" s="130">
        <v>1</v>
      </c>
      <c r="N632" s="22" t="s">
        <v>1144</v>
      </c>
      <c r="O632" s="25"/>
      <c r="Q632" s="204"/>
      <c r="R632" s="197" t="s">
        <v>1965</v>
      </c>
      <c r="S632" s="201"/>
    </row>
    <row r="633" spans="1:19" ht="15.75" x14ac:dyDescent="0.25">
      <c r="A633" s="286"/>
      <c r="B633" s="218"/>
      <c r="C633" s="22" t="s">
        <v>181</v>
      </c>
      <c r="D633" s="53">
        <v>154.80000000000001</v>
      </c>
      <c r="E633" s="53">
        <v>154.80000000000001</v>
      </c>
      <c r="F633" s="53">
        <v>0</v>
      </c>
      <c r="G633" s="53">
        <v>154.80000000000001</v>
      </c>
      <c r="H633" s="53">
        <v>154.80000000000001</v>
      </c>
      <c r="I633" s="54">
        <f t="shared" si="80"/>
        <v>0</v>
      </c>
      <c r="J633" s="22"/>
      <c r="K633" s="24"/>
      <c r="L633" s="81"/>
      <c r="M633" s="82"/>
      <c r="N633" s="22"/>
      <c r="O633" s="25"/>
      <c r="Q633" s="194"/>
      <c r="R633" s="205" t="s">
        <v>1966</v>
      </c>
      <c r="S633" s="201">
        <f>+SUM(S628:S632)</f>
        <v>12</v>
      </c>
    </row>
    <row r="634" spans="1:19" ht="15.75" thickBot="1" x14ac:dyDescent="0.3">
      <c r="A634" s="287"/>
      <c r="B634" s="219"/>
      <c r="C634" s="22" t="s">
        <v>30</v>
      </c>
      <c r="D634" s="53">
        <v>34.9</v>
      </c>
      <c r="E634" s="53">
        <v>34.9</v>
      </c>
      <c r="F634" s="53">
        <v>34.9</v>
      </c>
      <c r="G634" s="53"/>
      <c r="H634" s="53"/>
      <c r="I634" s="68">
        <f t="shared" si="80"/>
        <v>1</v>
      </c>
      <c r="J634" s="22"/>
      <c r="K634" s="24"/>
      <c r="L634" s="81"/>
      <c r="M634" s="82"/>
      <c r="N634" s="22"/>
      <c r="O634" s="25"/>
    </row>
    <row r="635" spans="1:19" ht="165.75" x14ac:dyDescent="0.25">
      <c r="A635" s="285" t="s">
        <v>1145</v>
      </c>
      <c r="B635" s="217" t="s">
        <v>1146</v>
      </c>
      <c r="C635" s="17"/>
      <c r="D635" s="51">
        <f>SUM(D636:D637)</f>
        <v>360.9</v>
      </c>
      <c r="E635" s="51">
        <f>SUM(E636:E637)</f>
        <v>360.9</v>
      </c>
      <c r="F635" s="51">
        <f>SUM(F636:F637)</f>
        <v>103.19999999999999</v>
      </c>
      <c r="G635" s="51">
        <f>SUM(G636:G637)</f>
        <v>257.70000000000005</v>
      </c>
      <c r="H635" s="51">
        <f>SUM(H636:H637)</f>
        <v>257.70000000000005</v>
      </c>
      <c r="I635" s="54">
        <f t="shared" si="80"/>
        <v>0.28595178719866998</v>
      </c>
      <c r="J635" s="17" t="s">
        <v>1147</v>
      </c>
      <c r="K635" s="18" t="s">
        <v>25</v>
      </c>
      <c r="L635" s="18">
        <v>35</v>
      </c>
      <c r="M635" s="135">
        <v>20</v>
      </c>
      <c r="N635" s="17"/>
      <c r="O635" s="19" t="s">
        <v>1148</v>
      </c>
    </row>
    <row r="636" spans="1:19" x14ac:dyDescent="0.25">
      <c r="A636" s="286"/>
      <c r="B636" s="218"/>
      <c r="C636" s="22" t="s">
        <v>26</v>
      </c>
      <c r="D636" s="53">
        <v>310</v>
      </c>
      <c r="E636" s="53">
        <v>310</v>
      </c>
      <c r="F636" s="53">
        <v>52.4</v>
      </c>
      <c r="G636" s="53">
        <v>257.60000000000002</v>
      </c>
      <c r="H636" s="53">
        <v>257.60000000000002</v>
      </c>
      <c r="I636" s="54">
        <f t="shared" si="80"/>
        <v>0.16903225806451613</v>
      </c>
      <c r="J636" s="22"/>
      <c r="K636" s="24"/>
      <c r="L636" s="81"/>
      <c r="M636" s="82"/>
      <c r="N636" s="22"/>
      <c r="O636" s="25"/>
    </row>
    <row r="637" spans="1:19" ht="15.75" thickBot="1" x14ac:dyDescent="0.3">
      <c r="A637" s="287"/>
      <c r="B637" s="219"/>
      <c r="C637" s="22" t="s">
        <v>30</v>
      </c>
      <c r="D637" s="53">
        <v>50.9</v>
      </c>
      <c r="E637" s="53">
        <v>50.9</v>
      </c>
      <c r="F637" s="53">
        <v>50.8</v>
      </c>
      <c r="G637" s="53">
        <v>0.1</v>
      </c>
      <c r="H637" s="53">
        <v>0.1</v>
      </c>
      <c r="I637" s="68">
        <f t="shared" si="80"/>
        <v>0.99803536345776034</v>
      </c>
      <c r="J637" s="22"/>
      <c r="K637" s="24"/>
      <c r="L637" s="81"/>
      <c r="M637" s="82"/>
      <c r="N637" s="22"/>
      <c r="O637" s="25"/>
    </row>
    <row r="638" spans="1:19" ht="127.5" x14ac:dyDescent="0.25">
      <c r="A638" s="285" t="s">
        <v>1149</v>
      </c>
      <c r="B638" s="217" t="s">
        <v>1150</v>
      </c>
      <c r="C638" s="17"/>
      <c r="D638" s="51">
        <f>SUM(D639:D640)</f>
        <v>290</v>
      </c>
      <c r="E638" s="51">
        <f>SUM(E639:E640)</f>
        <v>290</v>
      </c>
      <c r="F638" s="51">
        <f>SUM(F639:F640)</f>
        <v>269.5</v>
      </c>
      <c r="G638" s="51">
        <f>SUM(G639:G640)</f>
        <v>20.5</v>
      </c>
      <c r="H638" s="51">
        <f>SUM(H639:H640)</f>
        <v>20.5</v>
      </c>
      <c r="I638" s="54">
        <f t="shared" si="80"/>
        <v>0.92931034482758623</v>
      </c>
      <c r="J638" s="17" t="s">
        <v>1151</v>
      </c>
      <c r="K638" s="18" t="s">
        <v>25</v>
      </c>
      <c r="L638" s="18">
        <v>100</v>
      </c>
      <c r="M638" s="125">
        <v>100</v>
      </c>
      <c r="N638" s="17" t="s">
        <v>1152</v>
      </c>
      <c r="O638" s="19"/>
    </row>
    <row r="639" spans="1:19" x14ac:dyDescent="0.25">
      <c r="A639" s="286"/>
      <c r="B639" s="218"/>
      <c r="C639" s="22" t="s">
        <v>30</v>
      </c>
      <c r="D639" s="53">
        <v>130</v>
      </c>
      <c r="E639" s="53">
        <v>130</v>
      </c>
      <c r="F639" s="53">
        <v>130</v>
      </c>
      <c r="G639" s="53"/>
      <c r="H639" s="53"/>
      <c r="I639" s="54">
        <f t="shared" si="80"/>
        <v>1</v>
      </c>
      <c r="J639" s="22"/>
      <c r="K639" s="24"/>
      <c r="L639" s="81"/>
      <c r="M639" s="82"/>
      <c r="N639" s="22"/>
      <c r="O639" s="25"/>
    </row>
    <row r="640" spans="1:19" ht="15.75" thickBot="1" x14ac:dyDescent="0.3">
      <c r="A640" s="287"/>
      <c r="B640" s="219"/>
      <c r="C640" s="22" t="s">
        <v>26</v>
      </c>
      <c r="D640" s="53">
        <v>160</v>
      </c>
      <c r="E640" s="53">
        <v>160</v>
      </c>
      <c r="F640" s="53">
        <v>139.5</v>
      </c>
      <c r="G640" s="53">
        <v>20.5</v>
      </c>
      <c r="H640" s="53">
        <v>20.5</v>
      </c>
      <c r="I640" s="54">
        <f t="shared" si="80"/>
        <v>0.87187499999999996</v>
      </c>
      <c r="J640" s="22"/>
      <c r="K640" s="24"/>
      <c r="L640" s="81"/>
      <c r="M640" s="82"/>
      <c r="N640" s="22"/>
      <c r="O640" s="25"/>
    </row>
    <row r="641" spans="1:15" ht="51.75" thickBot="1" x14ac:dyDescent="0.3">
      <c r="A641" s="12" t="s">
        <v>1153</v>
      </c>
      <c r="B641" s="13" t="s">
        <v>1154</v>
      </c>
      <c r="C641" s="14"/>
      <c r="D641" s="49">
        <f>D642+D648+D653</f>
        <v>1494.5</v>
      </c>
      <c r="E641" s="49">
        <f>E642+E648+E653</f>
        <v>1494.5</v>
      </c>
      <c r="F641" s="49">
        <f>F642+F648+F653</f>
        <v>1490</v>
      </c>
      <c r="G641" s="49">
        <f>G642+G648+G653</f>
        <v>4.5000000000000009</v>
      </c>
      <c r="H641" s="49">
        <f>H642+H648+H653</f>
        <v>4.5000000000000009</v>
      </c>
      <c r="I641" s="66">
        <f>SUM(F641/E641)</f>
        <v>0.99698895951823352</v>
      </c>
      <c r="J641" s="263"/>
      <c r="K641" s="264"/>
      <c r="L641" s="264"/>
      <c r="M641" s="264"/>
      <c r="N641" s="264"/>
      <c r="O641" s="265"/>
    </row>
    <row r="642" spans="1:15" ht="25.5" x14ac:dyDescent="0.25">
      <c r="A642" s="285" t="s">
        <v>1155</v>
      </c>
      <c r="B642" s="217" t="s">
        <v>1156</v>
      </c>
      <c r="C642" s="17"/>
      <c r="D642" s="51">
        <f>SUM(D643:D647)</f>
        <v>156.29999999999998</v>
      </c>
      <c r="E642" s="51">
        <f>SUM(E643:E647)</f>
        <v>156.29999999999998</v>
      </c>
      <c r="F642" s="51">
        <f>SUM(F643:F647)+0.1</f>
        <v>151.79999999999998</v>
      </c>
      <c r="G642" s="51">
        <f>SUM(G643:G647)-0.1</f>
        <v>4.5000000000000009</v>
      </c>
      <c r="H642" s="51">
        <f>SUM(H643:H647)-0.1</f>
        <v>4.5000000000000009</v>
      </c>
      <c r="I642" s="54">
        <f t="shared" ref="I642:I650" si="81">SUM(F642/E642)</f>
        <v>0.97120921305182339</v>
      </c>
      <c r="J642" s="17" t="s">
        <v>1157</v>
      </c>
      <c r="K642" s="18" t="s">
        <v>337</v>
      </c>
      <c r="L642" s="18">
        <v>200</v>
      </c>
      <c r="M642" s="139">
        <v>271</v>
      </c>
      <c r="N642" s="17" t="s">
        <v>1807</v>
      </c>
      <c r="O642" s="19"/>
    </row>
    <row r="643" spans="1:15" x14ac:dyDescent="0.25">
      <c r="A643" s="286"/>
      <c r="B643" s="218"/>
      <c r="C643" s="22" t="s">
        <v>26</v>
      </c>
      <c r="D643" s="53">
        <v>146.1</v>
      </c>
      <c r="E643" s="53">
        <v>146.1</v>
      </c>
      <c r="F643" s="53">
        <v>145.9</v>
      </c>
      <c r="G643" s="53">
        <v>0.2</v>
      </c>
      <c r="H643" s="53">
        <v>0.2</v>
      </c>
      <c r="I643" s="54">
        <f t="shared" si="81"/>
        <v>0.99863107460643408</v>
      </c>
      <c r="J643" s="22"/>
      <c r="K643" s="24"/>
      <c r="L643" s="81"/>
      <c r="M643" s="82"/>
      <c r="N643" s="22"/>
      <c r="O643" s="25"/>
    </row>
    <row r="644" spans="1:15" x14ac:dyDescent="0.25">
      <c r="A644" s="286"/>
      <c r="B644" s="218"/>
      <c r="C644" s="22" t="s">
        <v>30</v>
      </c>
      <c r="D644" s="53">
        <v>1.1000000000000001</v>
      </c>
      <c r="E644" s="53">
        <v>1.1000000000000001</v>
      </c>
      <c r="F644" s="53">
        <v>1.1000000000000001</v>
      </c>
      <c r="G644" s="53"/>
      <c r="H644" s="53"/>
      <c r="I644" s="54">
        <f t="shared" si="81"/>
        <v>1</v>
      </c>
      <c r="J644" s="22"/>
      <c r="K644" s="24"/>
      <c r="L644" s="81"/>
      <c r="M644" s="82"/>
      <c r="N644" s="22"/>
      <c r="O644" s="25"/>
    </row>
    <row r="645" spans="1:15" x14ac:dyDescent="0.25">
      <c r="A645" s="286"/>
      <c r="B645" s="218"/>
      <c r="C645" s="22" t="s">
        <v>168</v>
      </c>
      <c r="D645" s="53">
        <v>4.0999999999999996</v>
      </c>
      <c r="E645" s="53">
        <v>4.0999999999999996</v>
      </c>
      <c r="F645" s="53">
        <v>0.1</v>
      </c>
      <c r="G645" s="53">
        <v>4</v>
      </c>
      <c r="H645" s="53">
        <v>4</v>
      </c>
      <c r="I645" s="54">
        <f t="shared" si="81"/>
        <v>2.4390243902439029E-2</v>
      </c>
      <c r="J645" s="22"/>
      <c r="K645" s="24"/>
      <c r="L645" s="81"/>
      <c r="M645" s="82"/>
      <c r="N645" s="22"/>
      <c r="O645" s="25"/>
    </row>
    <row r="646" spans="1:15" x14ac:dyDescent="0.25">
      <c r="A646" s="286"/>
      <c r="B646" s="218"/>
      <c r="C646" s="22" t="s">
        <v>181</v>
      </c>
      <c r="D646" s="53">
        <v>4</v>
      </c>
      <c r="E646" s="53">
        <v>4</v>
      </c>
      <c r="F646" s="53">
        <v>4</v>
      </c>
      <c r="G646" s="53"/>
      <c r="H646" s="53"/>
      <c r="I646" s="54">
        <f t="shared" si="81"/>
        <v>1</v>
      </c>
      <c r="J646" s="22"/>
      <c r="K646" s="24"/>
      <c r="L646" s="81"/>
      <c r="M646" s="82"/>
      <c r="N646" s="22"/>
      <c r="O646" s="25"/>
    </row>
    <row r="647" spans="1:15" ht="15.75" thickBot="1" x14ac:dyDescent="0.3">
      <c r="A647" s="287"/>
      <c r="B647" s="219"/>
      <c r="C647" s="22" t="s">
        <v>171</v>
      </c>
      <c r="D647" s="53">
        <v>1</v>
      </c>
      <c r="E647" s="53">
        <v>1</v>
      </c>
      <c r="F647" s="53">
        <v>0.6</v>
      </c>
      <c r="G647" s="53">
        <v>0.4</v>
      </c>
      <c r="H647" s="53">
        <v>0.4</v>
      </c>
      <c r="I647" s="68">
        <f t="shared" si="81"/>
        <v>0.6</v>
      </c>
      <c r="J647" s="22"/>
      <c r="K647" s="24"/>
      <c r="L647" s="81"/>
      <c r="M647" s="82"/>
      <c r="N647" s="22"/>
      <c r="O647" s="25"/>
    </row>
    <row r="648" spans="1:15" ht="25.5" x14ac:dyDescent="0.25">
      <c r="A648" s="285" t="s">
        <v>1158</v>
      </c>
      <c r="B648" s="217" t="s">
        <v>1159</v>
      </c>
      <c r="C648" s="17"/>
      <c r="D648" s="51">
        <f>SUM(D649:D652)</f>
        <v>1139.2</v>
      </c>
      <c r="E648" s="51">
        <f>SUM(E649:E652)</f>
        <v>1139.2</v>
      </c>
      <c r="F648" s="51">
        <f>SUM(F649:F652)</f>
        <v>1139.2</v>
      </c>
      <c r="G648" s="51"/>
      <c r="H648" s="51"/>
      <c r="I648" s="54">
        <f t="shared" si="81"/>
        <v>1</v>
      </c>
      <c r="J648" s="17" t="s">
        <v>1160</v>
      </c>
      <c r="K648" s="18" t="s">
        <v>337</v>
      </c>
      <c r="L648" s="18">
        <v>63</v>
      </c>
      <c r="M648" s="135">
        <v>62</v>
      </c>
      <c r="N648" s="17" t="s">
        <v>1161</v>
      </c>
      <c r="O648" s="19" t="s">
        <v>1808</v>
      </c>
    </row>
    <row r="649" spans="1:15" ht="89.25" x14ac:dyDescent="0.25">
      <c r="A649" s="286"/>
      <c r="B649" s="218"/>
      <c r="C649" s="22" t="s">
        <v>755</v>
      </c>
      <c r="D649" s="53">
        <v>858.6</v>
      </c>
      <c r="E649" s="53">
        <v>858.6</v>
      </c>
      <c r="F649" s="53">
        <v>858.6</v>
      </c>
      <c r="G649" s="53"/>
      <c r="H649" s="53"/>
      <c r="I649" s="54">
        <f t="shared" si="81"/>
        <v>1</v>
      </c>
      <c r="J649" s="22" t="s">
        <v>1162</v>
      </c>
      <c r="K649" s="24" t="s">
        <v>337</v>
      </c>
      <c r="L649" s="81">
        <v>50000</v>
      </c>
      <c r="M649" s="120">
        <v>90793</v>
      </c>
      <c r="N649" s="22" t="s">
        <v>1163</v>
      </c>
      <c r="O649" s="25" t="s">
        <v>1809</v>
      </c>
    </row>
    <row r="650" spans="1:15" ht="25.5" x14ac:dyDescent="0.25">
      <c r="A650" s="286"/>
      <c r="B650" s="218"/>
      <c r="C650" s="22" t="s">
        <v>26</v>
      </c>
      <c r="D650" s="53">
        <v>280.60000000000002</v>
      </c>
      <c r="E650" s="53">
        <v>280.60000000000002</v>
      </c>
      <c r="F650" s="53">
        <v>280.60000000000002</v>
      </c>
      <c r="G650" s="53"/>
      <c r="H650" s="53"/>
      <c r="I650" s="54">
        <f t="shared" si="81"/>
        <v>1</v>
      </c>
      <c r="J650" s="22" t="s">
        <v>1164</v>
      </c>
      <c r="K650" s="24" t="s">
        <v>337</v>
      </c>
      <c r="L650" s="24">
        <v>1</v>
      </c>
      <c r="M650" s="130">
        <v>1</v>
      </c>
      <c r="N650" s="22" t="s">
        <v>1165</v>
      </c>
      <c r="O650" s="25"/>
    </row>
    <row r="651" spans="1:15" ht="25.5" x14ac:dyDescent="0.25">
      <c r="A651" s="286"/>
      <c r="B651" s="218"/>
      <c r="C651" s="22"/>
      <c r="D651" s="53"/>
      <c r="E651" s="53"/>
      <c r="F651" s="53"/>
      <c r="G651" s="53"/>
      <c r="H651" s="53"/>
      <c r="I651" s="55"/>
      <c r="J651" s="22" t="s">
        <v>1166</v>
      </c>
      <c r="K651" s="24" t="s">
        <v>337</v>
      </c>
      <c r="L651" s="81">
        <v>17000</v>
      </c>
      <c r="M651" s="120">
        <v>21489</v>
      </c>
      <c r="N651" s="22" t="s">
        <v>1167</v>
      </c>
      <c r="O651" s="25"/>
    </row>
    <row r="652" spans="1:15" ht="48.75" customHeight="1" thickBot="1" x14ac:dyDescent="0.3">
      <c r="A652" s="287"/>
      <c r="B652" s="219"/>
      <c r="C652" s="22"/>
      <c r="D652" s="53"/>
      <c r="E652" s="53"/>
      <c r="F652" s="53"/>
      <c r="G652" s="53"/>
      <c r="H652" s="53"/>
      <c r="I652" s="67"/>
      <c r="J652" s="22" t="s">
        <v>1168</v>
      </c>
      <c r="K652" s="24" t="s">
        <v>337</v>
      </c>
      <c r="L652" s="24">
        <v>65</v>
      </c>
      <c r="M652" s="131">
        <v>148</v>
      </c>
      <c r="N652" s="22" t="s">
        <v>1810</v>
      </c>
      <c r="O652" s="25" t="s">
        <v>1811</v>
      </c>
    </row>
    <row r="653" spans="1:15" ht="45" customHeight="1" x14ac:dyDescent="0.25">
      <c r="A653" s="285" t="s">
        <v>1169</v>
      </c>
      <c r="B653" s="217" t="s">
        <v>1170</v>
      </c>
      <c r="C653" s="17"/>
      <c r="D653" s="51">
        <f>SUM(D654:D655)</f>
        <v>199</v>
      </c>
      <c r="E653" s="51">
        <f>SUM(E654:E655)</f>
        <v>199</v>
      </c>
      <c r="F653" s="51">
        <f>SUM(F654:F655)</f>
        <v>199</v>
      </c>
      <c r="G653" s="51"/>
      <c r="H653" s="51"/>
      <c r="I653" s="54">
        <f t="shared" ref="I653:I655" si="82">SUM(F653/E653)</f>
        <v>1</v>
      </c>
      <c r="J653" s="17" t="s">
        <v>1171</v>
      </c>
      <c r="K653" s="18" t="s">
        <v>337</v>
      </c>
      <c r="L653" s="79">
        <v>1540</v>
      </c>
      <c r="M653" s="138">
        <v>3054</v>
      </c>
      <c r="N653" s="17" t="s">
        <v>1812</v>
      </c>
      <c r="O653" s="19"/>
    </row>
    <row r="654" spans="1:15" ht="25.5" x14ac:dyDescent="0.25">
      <c r="A654" s="286"/>
      <c r="B654" s="218"/>
      <c r="C654" s="22" t="s">
        <v>181</v>
      </c>
      <c r="D654" s="53">
        <v>13.8</v>
      </c>
      <c r="E654" s="53">
        <v>13.8</v>
      </c>
      <c r="F654" s="53">
        <v>13.8</v>
      </c>
      <c r="G654" s="53"/>
      <c r="H654" s="53"/>
      <c r="I654" s="54">
        <f t="shared" si="82"/>
        <v>1</v>
      </c>
      <c r="J654" s="22" t="s">
        <v>1172</v>
      </c>
      <c r="K654" s="24" t="s">
        <v>337</v>
      </c>
      <c r="L654" s="24">
        <v>482</v>
      </c>
      <c r="M654" s="131">
        <v>667</v>
      </c>
      <c r="N654" s="22" t="s">
        <v>1813</v>
      </c>
      <c r="O654" s="25"/>
    </row>
    <row r="655" spans="1:15" ht="26.25" thickBot="1" x14ac:dyDescent="0.3">
      <c r="A655" s="287"/>
      <c r="B655" s="219"/>
      <c r="C655" s="22" t="s">
        <v>755</v>
      </c>
      <c r="D655" s="53">
        <v>185.2</v>
      </c>
      <c r="E655" s="53">
        <v>185.2</v>
      </c>
      <c r="F655" s="53">
        <v>185.2</v>
      </c>
      <c r="G655" s="53"/>
      <c r="H655" s="53"/>
      <c r="I655" s="54">
        <f t="shared" si="82"/>
        <v>1</v>
      </c>
      <c r="J655" s="22" t="s">
        <v>1173</v>
      </c>
      <c r="K655" s="24" t="s">
        <v>337</v>
      </c>
      <c r="L655" s="24">
        <v>30</v>
      </c>
      <c r="M655" s="131">
        <v>41</v>
      </c>
      <c r="N655" s="22" t="s">
        <v>1814</v>
      </c>
      <c r="O655" s="25"/>
    </row>
    <row r="656" spans="1:15" ht="39" thickBot="1" x14ac:dyDescent="0.3">
      <c r="A656" s="12" t="s">
        <v>1174</v>
      </c>
      <c r="B656" s="13" t="s">
        <v>1175</v>
      </c>
      <c r="C656" s="14"/>
      <c r="D656" s="49">
        <f>D657+D661+D664+D666+D667</f>
        <v>656.4</v>
      </c>
      <c r="E656" s="49">
        <f>E657+E661+E664+E666+E667</f>
        <v>656.4</v>
      </c>
      <c r="F656" s="49">
        <f>F657+F661+F664+F666+F667</f>
        <v>588</v>
      </c>
      <c r="G656" s="49">
        <f>G657+G661+G664+G666+G667</f>
        <v>68.400000000000006</v>
      </c>
      <c r="H656" s="49">
        <f>H657+H661+H664+H666+H667</f>
        <v>68.400000000000006</v>
      </c>
      <c r="I656" s="66">
        <f>SUM(F656/E656)</f>
        <v>0.8957952468007313</v>
      </c>
      <c r="J656" s="263"/>
      <c r="K656" s="264"/>
      <c r="L656" s="264"/>
      <c r="M656" s="264"/>
      <c r="N656" s="264"/>
      <c r="O656" s="265"/>
    </row>
    <row r="657" spans="1:15" ht="51" x14ac:dyDescent="0.25">
      <c r="A657" s="285" t="s">
        <v>1176</v>
      </c>
      <c r="B657" s="217" t="s">
        <v>1177</v>
      </c>
      <c r="C657" s="17"/>
      <c r="D657" s="51">
        <f>SUM(D658:D660)</f>
        <v>23.199999999999996</v>
      </c>
      <c r="E657" s="51">
        <f>SUM(E658:E660)</f>
        <v>23.199999999999996</v>
      </c>
      <c r="F657" s="51">
        <f>SUM(F658:F660)</f>
        <v>4.3</v>
      </c>
      <c r="G657" s="51">
        <f>SUM(G658:G660)</f>
        <v>18.899999999999999</v>
      </c>
      <c r="H657" s="51">
        <f>SUM(H658:H660)</f>
        <v>18.899999999999999</v>
      </c>
      <c r="I657" s="54">
        <f t="shared" ref="I657:I672" si="83">SUM(F657/E657)</f>
        <v>0.18534482758620693</v>
      </c>
      <c r="J657" s="17" t="s">
        <v>1178</v>
      </c>
      <c r="K657" s="18" t="s">
        <v>337</v>
      </c>
      <c r="L657" s="18">
        <v>15</v>
      </c>
      <c r="M657" s="171">
        <v>10</v>
      </c>
      <c r="N657" s="168" t="s">
        <v>1898</v>
      </c>
      <c r="O657" s="19" t="s">
        <v>1815</v>
      </c>
    </row>
    <row r="658" spans="1:15" x14ac:dyDescent="0.25">
      <c r="A658" s="286"/>
      <c r="B658" s="218"/>
      <c r="C658" s="22" t="s">
        <v>30</v>
      </c>
      <c r="D658" s="53">
        <v>7.1</v>
      </c>
      <c r="E658" s="53">
        <v>7.1</v>
      </c>
      <c r="F658" s="53">
        <v>2.1</v>
      </c>
      <c r="G658" s="53">
        <v>5</v>
      </c>
      <c r="H658" s="53">
        <v>5</v>
      </c>
      <c r="I658" s="54">
        <f t="shared" si="83"/>
        <v>0.29577464788732399</v>
      </c>
      <c r="J658" s="22"/>
      <c r="K658" s="24"/>
      <c r="L658" s="81"/>
      <c r="M658" s="82"/>
      <c r="N658" s="22"/>
      <c r="O658" s="25"/>
    </row>
    <row r="659" spans="1:15" x14ac:dyDescent="0.25">
      <c r="A659" s="286"/>
      <c r="B659" s="218"/>
      <c r="C659" s="22" t="s">
        <v>191</v>
      </c>
      <c r="D659" s="53">
        <v>14.7</v>
      </c>
      <c r="E659" s="53">
        <v>14.7</v>
      </c>
      <c r="F659" s="53">
        <v>2</v>
      </c>
      <c r="G659" s="53">
        <v>12.7</v>
      </c>
      <c r="H659" s="53">
        <v>12.7</v>
      </c>
      <c r="I659" s="54">
        <f t="shared" si="83"/>
        <v>0.1360544217687075</v>
      </c>
      <c r="J659" s="22"/>
      <c r="K659" s="24"/>
      <c r="L659" s="81"/>
      <c r="M659" s="82"/>
      <c r="N659" s="22"/>
      <c r="O659" s="25"/>
    </row>
    <row r="660" spans="1:15" ht="15.75" thickBot="1" x14ac:dyDescent="0.3">
      <c r="A660" s="287"/>
      <c r="B660" s="219"/>
      <c r="C660" s="22" t="s">
        <v>181</v>
      </c>
      <c r="D660" s="53">
        <v>1.4</v>
      </c>
      <c r="E660" s="53">
        <v>1.4</v>
      </c>
      <c r="F660" s="53">
        <v>0.2</v>
      </c>
      <c r="G660" s="53">
        <v>1.2</v>
      </c>
      <c r="H660" s="53">
        <v>1.2</v>
      </c>
      <c r="I660" s="68">
        <f t="shared" si="83"/>
        <v>0.14285714285714288</v>
      </c>
      <c r="J660" s="22"/>
      <c r="K660" s="24"/>
      <c r="L660" s="81"/>
      <c r="M660" s="82"/>
      <c r="N660" s="22"/>
      <c r="O660" s="25"/>
    </row>
    <row r="661" spans="1:15" ht="63.75" customHeight="1" x14ac:dyDescent="0.25">
      <c r="A661" s="285" t="s">
        <v>1179</v>
      </c>
      <c r="B661" s="217" t="s">
        <v>1180</v>
      </c>
      <c r="C661" s="17"/>
      <c r="D661" s="51">
        <f>SUM(D662:D663)</f>
        <v>44</v>
      </c>
      <c r="E661" s="51">
        <f>SUM(E662:E663)</f>
        <v>44</v>
      </c>
      <c r="F661" s="51">
        <f>SUM(F662:F663)-0.1</f>
        <v>41.9</v>
      </c>
      <c r="G661" s="51">
        <f>SUM(G662:G663)+0.1</f>
        <v>2.1</v>
      </c>
      <c r="H661" s="51">
        <f>SUM(H662:H663)+0.1</f>
        <v>2.1</v>
      </c>
      <c r="I661" s="54">
        <f t="shared" si="83"/>
        <v>0.95227272727272727</v>
      </c>
      <c r="J661" s="17" t="s">
        <v>1181</v>
      </c>
      <c r="K661" s="18" t="s">
        <v>337</v>
      </c>
      <c r="L661" s="18">
        <v>181</v>
      </c>
      <c r="M661" s="139">
        <v>192</v>
      </c>
      <c r="N661" s="17" t="s">
        <v>1182</v>
      </c>
      <c r="O661" s="19" t="s">
        <v>1884</v>
      </c>
    </row>
    <row r="662" spans="1:15" x14ac:dyDescent="0.25">
      <c r="A662" s="286"/>
      <c r="B662" s="218"/>
      <c r="C662" s="22" t="s">
        <v>191</v>
      </c>
      <c r="D662" s="53">
        <v>37.4</v>
      </c>
      <c r="E662" s="53">
        <v>37.4</v>
      </c>
      <c r="F662" s="53">
        <v>35.700000000000003</v>
      </c>
      <c r="G662" s="53">
        <v>1.7</v>
      </c>
      <c r="H662" s="53">
        <v>1.7</v>
      </c>
      <c r="I662" s="54">
        <f t="shared" si="83"/>
        <v>0.9545454545454547</v>
      </c>
      <c r="J662" s="22"/>
      <c r="K662" s="24"/>
      <c r="L662" s="81"/>
      <c r="M662" s="82"/>
      <c r="N662" s="22"/>
      <c r="O662" s="25"/>
    </row>
    <row r="663" spans="1:15" ht="15.75" thickBot="1" x14ac:dyDescent="0.3">
      <c r="A663" s="287"/>
      <c r="B663" s="219"/>
      <c r="C663" s="22" t="s">
        <v>181</v>
      </c>
      <c r="D663" s="53">
        <v>6.6</v>
      </c>
      <c r="E663" s="53">
        <v>6.6</v>
      </c>
      <c r="F663" s="53">
        <v>6.3</v>
      </c>
      <c r="G663" s="53">
        <v>0.3</v>
      </c>
      <c r="H663" s="53">
        <v>0.3</v>
      </c>
      <c r="I663" s="68">
        <f t="shared" si="83"/>
        <v>0.95454545454545459</v>
      </c>
      <c r="J663" s="22"/>
      <c r="K663" s="24"/>
      <c r="L663" s="81"/>
      <c r="M663" s="82"/>
      <c r="N663" s="22"/>
      <c r="O663" s="25"/>
    </row>
    <row r="664" spans="1:15" ht="38.25" x14ac:dyDescent="0.25">
      <c r="A664" s="285" t="s">
        <v>1183</v>
      </c>
      <c r="B664" s="217" t="s">
        <v>1184</v>
      </c>
      <c r="C664" s="17"/>
      <c r="D664" s="51">
        <f>SUM(D665:D665)</f>
        <v>370</v>
      </c>
      <c r="E664" s="51">
        <f>SUM(E665:E665)</f>
        <v>370</v>
      </c>
      <c r="F664" s="51">
        <f>SUM(F665:F665)</f>
        <v>339.4</v>
      </c>
      <c r="G664" s="51">
        <f>SUM(G665:G665)</f>
        <v>30.6</v>
      </c>
      <c r="H664" s="51">
        <f>SUM(H665:H665)</f>
        <v>30.6</v>
      </c>
      <c r="I664" s="54">
        <f t="shared" si="83"/>
        <v>0.91729729729729725</v>
      </c>
      <c r="J664" s="17" t="s">
        <v>1185</v>
      </c>
      <c r="K664" s="18" t="s">
        <v>337</v>
      </c>
      <c r="L664" s="18">
        <v>12</v>
      </c>
      <c r="M664" s="139">
        <v>17</v>
      </c>
      <c r="N664" s="17" t="s">
        <v>1186</v>
      </c>
      <c r="O664" s="19"/>
    </row>
    <row r="665" spans="1:15" ht="51.75" thickBot="1" x14ac:dyDescent="0.3">
      <c r="A665" s="287"/>
      <c r="B665" s="219"/>
      <c r="C665" s="22" t="s">
        <v>26</v>
      </c>
      <c r="D665" s="53">
        <v>370</v>
      </c>
      <c r="E665" s="53">
        <v>370</v>
      </c>
      <c r="F665" s="53">
        <v>339.4</v>
      </c>
      <c r="G665" s="53">
        <v>30.6</v>
      </c>
      <c r="H665" s="53">
        <v>30.6</v>
      </c>
      <c r="I665" s="68">
        <f t="shared" si="83"/>
        <v>0.91729729729729725</v>
      </c>
      <c r="J665" s="22" t="s">
        <v>1187</v>
      </c>
      <c r="K665" s="24" t="s">
        <v>337</v>
      </c>
      <c r="L665" s="24">
        <v>8</v>
      </c>
      <c r="M665" s="137">
        <v>5</v>
      </c>
      <c r="N665" s="22" t="s">
        <v>1188</v>
      </c>
      <c r="O665" s="25"/>
    </row>
    <row r="666" spans="1:15" ht="64.5" thickBot="1" x14ac:dyDescent="0.3">
      <c r="A666" s="15" t="s">
        <v>1189</v>
      </c>
      <c r="B666" s="16" t="s">
        <v>1190</v>
      </c>
      <c r="C666" s="17" t="s">
        <v>30</v>
      </c>
      <c r="D666" s="61">
        <v>0.5</v>
      </c>
      <c r="E666" s="61">
        <v>0.5</v>
      </c>
      <c r="F666" s="61">
        <v>0.4</v>
      </c>
      <c r="G666" s="61">
        <v>0.1</v>
      </c>
      <c r="H666" s="61">
        <v>0.1</v>
      </c>
      <c r="I666" s="62">
        <f t="shared" si="83"/>
        <v>0.8</v>
      </c>
      <c r="J666" s="17" t="s">
        <v>221</v>
      </c>
      <c r="K666" s="18" t="s">
        <v>19</v>
      </c>
      <c r="L666" s="18">
        <v>1</v>
      </c>
      <c r="M666" s="125">
        <v>1</v>
      </c>
      <c r="N666" s="17" t="s">
        <v>1191</v>
      </c>
      <c r="O666" s="19"/>
    </row>
    <row r="667" spans="1:15" ht="26.25" thickBot="1" x14ac:dyDescent="0.3">
      <c r="A667" s="15" t="s">
        <v>1192</v>
      </c>
      <c r="B667" s="16" t="s">
        <v>1193</v>
      </c>
      <c r="C667" s="17"/>
      <c r="D667" s="51">
        <f>D668+D671+D672+D674+D675</f>
        <v>218.7</v>
      </c>
      <c r="E667" s="51">
        <f>E668+E671+E672+E674+E675</f>
        <v>218.7</v>
      </c>
      <c r="F667" s="51">
        <f>F668+F671+F672+F674+F675</f>
        <v>202.00000000000003</v>
      </c>
      <c r="G667" s="51">
        <f>G668+G671+G672+G674+G675+0.1</f>
        <v>16.700000000000003</v>
      </c>
      <c r="H667" s="51">
        <f>H668+H671+H672+H674+H675+0.1</f>
        <v>16.700000000000003</v>
      </c>
      <c r="I667" s="62">
        <f t="shared" si="83"/>
        <v>0.92363968907178806</v>
      </c>
      <c r="J667" s="17" t="s">
        <v>1194</v>
      </c>
      <c r="K667" s="18" t="s">
        <v>25</v>
      </c>
      <c r="L667" s="18">
        <v>100</v>
      </c>
      <c r="M667" s="176">
        <v>100</v>
      </c>
      <c r="N667" s="17"/>
      <c r="O667" s="19"/>
    </row>
    <row r="668" spans="1:15" ht="63.75" customHeight="1" x14ac:dyDescent="0.25">
      <c r="A668" s="285" t="s">
        <v>1195</v>
      </c>
      <c r="B668" s="217" t="s">
        <v>1196</v>
      </c>
      <c r="C668" s="17"/>
      <c r="D668" s="51">
        <f>SUM(D669:D670)</f>
        <v>133.69999999999999</v>
      </c>
      <c r="E668" s="51">
        <f>SUM(E669:E670)</f>
        <v>133.69999999999999</v>
      </c>
      <c r="F668" s="51">
        <f>SUM(F669:F670)</f>
        <v>129.80000000000001</v>
      </c>
      <c r="G668" s="51">
        <f>SUM(G669:G670)</f>
        <v>3.8</v>
      </c>
      <c r="H668" s="51">
        <f>SUM(H669:H670)</f>
        <v>3.8</v>
      </c>
      <c r="I668" s="54">
        <f t="shared" si="83"/>
        <v>0.97083021690351545</v>
      </c>
      <c r="J668" s="17" t="s">
        <v>1197</v>
      </c>
      <c r="K668" s="18" t="s">
        <v>337</v>
      </c>
      <c r="L668" s="18">
        <v>600</v>
      </c>
      <c r="M668" s="138">
        <v>13477</v>
      </c>
      <c r="N668" s="17" t="s">
        <v>1816</v>
      </c>
      <c r="O668" s="19"/>
    </row>
    <row r="669" spans="1:15" x14ac:dyDescent="0.25">
      <c r="A669" s="286"/>
      <c r="B669" s="218"/>
      <c r="C669" s="22" t="s">
        <v>269</v>
      </c>
      <c r="D669" s="53">
        <v>65</v>
      </c>
      <c r="E669" s="53">
        <v>65</v>
      </c>
      <c r="F669" s="53">
        <v>64.5</v>
      </c>
      <c r="G669" s="53">
        <v>0.5</v>
      </c>
      <c r="H669" s="53">
        <v>0.5</v>
      </c>
      <c r="I669" s="54">
        <f t="shared" si="83"/>
        <v>0.99230769230769234</v>
      </c>
      <c r="J669" s="22"/>
      <c r="K669" s="24"/>
      <c r="L669" s="81"/>
      <c r="M669" s="82"/>
      <c r="N669" s="22"/>
      <c r="O669" s="25"/>
    </row>
    <row r="670" spans="1:15" ht="15.75" thickBot="1" x14ac:dyDescent="0.3">
      <c r="A670" s="287"/>
      <c r="B670" s="219"/>
      <c r="C670" s="22" t="s">
        <v>300</v>
      </c>
      <c r="D670" s="53">
        <v>68.7</v>
      </c>
      <c r="E670" s="53">
        <v>68.7</v>
      </c>
      <c r="F670" s="53">
        <v>65.3</v>
      </c>
      <c r="G670" s="53">
        <v>3.3</v>
      </c>
      <c r="H670" s="53">
        <v>3.3</v>
      </c>
      <c r="I670" s="68">
        <f t="shared" si="83"/>
        <v>0.95050946142649195</v>
      </c>
      <c r="J670" s="22"/>
      <c r="K670" s="24"/>
      <c r="L670" s="81"/>
      <c r="M670" s="82"/>
      <c r="N670" s="22"/>
      <c r="O670" s="25"/>
    </row>
    <row r="671" spans="1:15" ht="39" thickBot="1" x14ac:dyDescent="0.3">
      <c r="A671" s="37" t="s">
        <v>1198</v>
      </c>
      <c r="B671" s="17" t="s">
        <v>1199</v>
      </c>
      <c r="C671" s="17" t="s">
        <v>269</v>
      </c>
      <c r="D671" s="61">
        <v>8</v>
      </c>
      <c r="E671" s="61">
        <v>8</v>
      </c>
      <c r="F671" s="61">
        <v>4.5</v>
      </c>
      <c r="G671" s="61">
        <v>3.5</v>
      </c>
      <c r="H671" s="61">
        <v>3.5</v>
      </c>
      <c r="I671" s="62">
        <f t="shared" si="83"/>
        <v>0.5625</v>
      </c>
      <c r="J671" s="17" t="s">
        <v>1200</v>
      </c>
      <c r="K671" s="18" t="s">
        <v>337</v>
      </c>
      <c r="L671" s="18">
        <v>5</v>
      </c>
      <c r="M671" s="135">
        <v>4</v>
      </c>
      <c r="N671" s="17" t="s">
        <v>1201</v>
      </c>
      <c r="O671" s="19" t="s">
        <v>1910</v>
      </c>
    </row>
    <row r="672" spans="1:15" ht="51" x14ac:dyDescent="0.25">
      <c r="A672" s="285" t="s">
        <v>1202</v>
      </c>
      <c r="B672" s="217" t="s">
        <v>1203</v>
      </c>
      <c r="C672" s="17" t="s">
        <v>269</v>
      </c>
      <c r="D672" s="51">
        <f>SUM(D673:D673)+7</f>
        <v>7</v>
      </c>
      <c r="E672" s="51">
        <f>SUM(E673:E673)+7</f>
        <v>7</v>
      </c>
      <c r="F672" s="51">
        <f>SUM(F673:F673)+7</f>
        <v>7</v>
      </c>
      <c r="G672" s="51"/>
      <c r="H672" s="51"/>
      <c r="I672" s="54">
        <f t="shared" si="83"/>
        <v>1</v>
      </c>
      <c r="J672" s="17" t="s">
        <v>1204</v>
      </c>
      <c r="K672" s="18" t="s">
        <v>337</v>
      </c>
      <c r="L672" s="18">
        <v>3</v>
      </c>
      <c r="M672" s="135">
        <v>2</v>
      </c>
      <c r="N672" s="17"/>
      <c r="O672" s="19" t="s">
        <v>1911</v>
      </c>
    </row>
    <row r="673" spans="1:19" ht="51.75" thickBot="1" x14ac:dyDescent="0.3">
      <c r="A673" s="287"/>
      <c r="B673" s="219"/>
      <c r="C673" s="22"/>
      <c r="D673" s="53"/>
      <c r="E673" s="53"/>
      <c r="F673" s="53"/>
      <c r="G673" s="53"/>
      <c r="H673" s="53"/>
      <c r="I673" s="67"/>
      <c r="J673" s="22" t="s">
        <v>1205</v>
      </c>
      <c r="K673" s="24" t="s">
        <v>337</v>
      </c>
      <c r="L673" s="24">
        <v>70</v>
      </c>
      <c r="M673" s="137">
        <v>58</v>
      </c>
      <c r="N673" s="22" t="s">
        <v>1817</v>
      </c>
      <c r="O673" s="25" t="s">
        <v>1818</v>
      </c>
    </row>
    <row r="674" spans="1:19" ht="26.25" thickBot="1" x14ac:dyDescent="0.3">
      <c r="A674" s="15" t="s">
        <v>1206</v>
      </c>
      <c r="B674" s="16" t="s">
        <v>1207</v>
      </c>
      <c r="C674" s="17" t="s">
        <v>26</v>
      </c>
      <c r="D674" s="61">
        <v>5</v>
      </c>
      <c r="E674" s="61">
        <v>5</v>
      </c>
      <c r="F674" s="61">
        <v>2.2999999999999998</v>
      </c>
      <c r="G674" s="61">
        <v>2.7</v>
      </c>
      <c r="H674" s="61">
        <v>2.7</v>
      </c>
      <c r="I674" s="62">
        <f t="shared" ref="I674:I675" si="84">SUM(F674/E674)</f>
        <v>0.45999999999999996</v>
      </c>
      <c r="J674" s="17" t="s">
        <v>1208</v>
      </c>
      <c r="K674" s="18" t="s">
        <v>337</v>
      </c>
      <c r="L674" s="18">
        <v>2</v>
      </c>
      <c r="M674" s="135">
        <v>1</v>
      </c>
      <c r="N674" s="17"/>
      <c r="O674" s="19" t="s">
        <v>1909</v>
      </c>
    </row>
    <row r="675" spans="1:19" ht="76.5" x14ac:dyDescent="0.25">
      <c r="A675" s="285" t="s">
        <v>1209</v>
      </c>
      <c r="B675" s="217" t="s">
        <v>1210</v>
      </c>
      <c r="C675" s="17" t="s">
        <v>26</v>
      </c>
      <c r="D675" s="51">
        <f>SUM(D676:D678)+65</f>
        <v>65</v>
      </c>
      <c r="E675" s="51">
        <f>SUM(E676:E678)+65</f>
        <v>65</v>
      </c>
      <c r="F675" s="51">
        <f>SUM(F676:F678)+58.4</f>
        <v>58.4</v>
      </c>
      <c r="G675" s="51">
        <f>SUM(G676:G678)+6.6</f>
        <v>6.6</v>
      </c>
      <c r="H675" s="51">
        <f>SUM(H676:H678)+6.6</f>
        <v>6.6</v>
      </c>
      <c r="I675" s="54">
        <f t="shared" si="84"/>
        <v>0.89846153846153842</v>
      </c>
      <c r="J675" s="17" t="s">
        <v>1211</v>
      </c>
      <c r="K675" s="18" t="s">
        <v>337</v>
      </c>
      <c r="L675" s="18">
        <v>2</v>
      </c>
      <c r="M675" s="161">
        <v>0</v>
      </c>
      <c r="N675" s="17"/>
      <c r="O675" s="19" t="s">
        <v>1885</v>
      </c>
    </row>
    <row r="676" spans="1:19" ht="23.25" customHeight="1" x14ac:dyDescent="0.25">
      <c r="A676" s="286"/>
      <c r="B676" s="218"/>
      <c r="C676" s="22"/>
      <c r="D676" s="53"/>
      <c r="E676" s="53"/>
      <c r="F676" s="53"/>
      <c r="G676" s="53"/>
      <c r="H676" s="53"/>
      <c r="I676" s="55"/>
      <c r="J676" s="22" t="s">
        <v>1212</v>
      </c>
      <c r="K676" s="24" t="s">
        <v>337</v>
      </c>
      <c r="L676" s="24">
        <v>4</v>
      </c>
      <c r="M676" s="137">
        <v>3</v>
      </c>
      <c r="N676" s="22" t="s">
        <v>1213</v>
      </c>
      <c r="O676" s="167" t="s">
        <v>1899</v>
      </c>
    </row>
    <row r="677" spans="1:19" ht="20.25" customHeight="1" x14ac:dyDescent="0.25">
      <c r="A677" s="286"/>
      <c r="B677" s="218"/>
      <c r="C677" s="22"/>
      <c r="D677" s="53"/>
      <c r="E677" s="53"/>
      <c r="F677" s="53"/>
      <c r="G677" s="53"/>
      <c r="H677" s="53"/>
      <c r="I677" s="55"/>
      <c r="J677" s="22" t="s">
        <v>1214</v>
      </c>
      <c r="K677" s="24" t="s">
        <v>337</v>
      </c>
      <c r="L677" s="24">
        <v>2</v>
      </c>
      <c r="M677" s="140">
        <v>0</v>
      </c>
      <c r="N677" s="22"/>
      <c r="O677" s="25" t="s">
        <v>1908</v>
      </c>
    </row>
    <row r="678" spans="1:19" ht="15.75" thickBot="1" x14ac:dyDescent="0.3">
      <c r="A678" s="287"/>
      <c r="B678" s="219"/>
      <c r="C678" s="22"/>
      <c r="D678" s="53"/>
      <c r="E678" s="53"/>
      <c r="F678" s="53"/>
      <c r="G678" s="53"/>
      <c r="H678" s="53"/>
      <c r="I678" s="55"/>
      <c r="J678" s="22" t="s">
        <v>1215</v>
      </c>
      <c r="K678" s="24" t="s">
        <v>337</v>
      </c>
      <c r="L678" s="81">
        <v>1000</v>
      </c>
      <c r="M678" s="120">
        <v>3089</v>
      </c>
      <c r="N678" s="22"/>
      <c r="O678" s="25"/>
    </row>
    <row r="679" spans="1:19" ht="26.25" thickBot="1" x14ac:dyDescent="0.3">
      <c r="A679" s="4" t="s">
        <v>1216</v>
      </c>
      <c r="B679" s="5" t="s">
        <v>1217</v>
      </c>
      <c r="C679" s="6"/>
      <c r="D679" s="45">
        <f>SUM(D680:D680)</f>
        <v>70453.5</v>
      </c>
      <c r="E679" s="45">
        <f>SUM(E680:E680)</f>
        <v>70453.5</v>
      </c>
      <c r="F679" s="45">
        <f>SUM(F680:F680)</f>
        <v>66982.8</v>
      </c>
      <c r="G679" s="45">
        <f>SUM(G680:G680)</f>
        <v>3470.7</v>
      </c>
      <c r="H679" s="45">
        <f>SUM(H680:H680)</f>
        <v>3470.7</v>
      </c>
      <c r="I679" s="46">
        <f>SUM(F679/E679)</f>
        <v>0.95073772062424156</v>
      </c>
      <c r="J679" s="266"/>
      <c r="K679" s="267"/>
      <c r="L679" s="267"/>
      <c r="M679" s="267"/>
      <c r="N679" s="267"/>
      <c r="O679" s="268"/>
    </row>
    <row r="680" spans="1:19" ht="102" x14ac:dyDescent="0.25">
      <c r="A680" s="293" t="s">
        <v>1218</v>
      </c>
      <c r="B680" s="296" t="s">
        <v>1219</v>
      </c>
      <c r="C680" s="9"/>
      <c r="D680" s="47">
        <f>D681+D682+D683+D733+D753</f>
        <v>70453.5</v>
      </c>
      <c r="E680" s="47">
        <f>E681+E682+E683+E733+E753</f>
        <v>70453.5</v>
      </c>
      <c r="F680" s="47">
        <f>F681+F682+F683+F733+F753</f>
        <v>66982.8</v>
      </c>
      <c r="G680" s="47">
        <f>G681+G682+G683+G733+G753</f>
        <v>3470.7</v>
      </c>
      <c r="H680" s="47">
        <f>H681+H682+H683+H733+H753</f>
        <v>3470.7</v>
      </c>
      <c r="I680" s="48">
        <f>SUM(F680/E680)</f>
        <v>0.95073772062424156</v>
      </c>
      <c r="J680" s="9" t="s">
        <v>1220</v>
      </c>
      <c r="K680" s="10" t="s">
        <v>25</v>
      </c>
      <c r="L680" s="78">
        <v>20.5</v>
      </c>
      <c r="M680" s="78">
        <v>25</v>
      </c>
      <c r="N680" s="9" t="s">
        <v>1221</v>
      </c>
      <c r="O680" s="11"/>
      <c r="Q680" s="194"/>
      <c r="R680" s="195" t="s">
        <v>1</v>
      </c>
      <c r="S680" s="195" t="s">
        <v>1982</v>
      </c>
    </row>
    <row r="681" spans="1:19" ht="38.25" x14ac:dyDescent="0.25">
      <c r="A681" s="294"/>
      <c r="B681" s="297"/>
      <c r="C681" s="35"/>
      <c r="D681" s="64"/>
      <c r="E681" s="64"/>
      <c r="F681" s="64"/>
      <c r="G681" s="64"/>
      <c r="H681" s="64"/>
      <c r="I681" s="65"/>
      <c r="J681" s="35" t="s">
        <v>1222</v>
      </c>
      <c r="K681" s="36" t="s">
        <v>25</v>
      </c>
      <c r="L681" s="95">
        <v>44.5</v>
      </c>
      <c r="M681" s="95">
        <v>43</v>
      </c>
      <c r="N681" s="35"/>
      <c r="O681" s="38"/>
      <c r="Q681" s="196"/>
      <c r="R681" s="197" t="s">
        <v>1961</v>
      </c>
      <c r="S681" s="198">
        <v>13</v>
      </c>
    </row>
    <row r="682" spans="1:19" ht="39" thickBot="1" x14ac:dyDescent="0.3">
      <c r="A682" s="295"/>
      <c r="B682" s="298"/>
      <c r="C682" s="35"/>
      <c r="D682" s="64"/>
      <c r="E682" s="64"/>
      <c r="F682" s="64"/>
      <c r="G682" s="64"/>
      <c r="H682" s="64"/>
      <c r="I682" s="65"/>
      <c r="J682" s="35" t="s">
        <v>1223</v>
      </c>
      <c r="K682" s="36" t="s">
        <v>25</v>
      </c>
      <c r="L682" s="95">
        <v>16.7</v>
      </c>
      <c r="M682" s="95">
        <v>22</v>
      </c>
      <c r="N682" s="35"/>
      <c r="O682" s="38"/>
      <c r="Q682" s="199"/>
      <c r="R682" s="197" t="s">
        <v>1962</v>
      </c>
      <c r="S682" s="198"/>
    </row>
    <row r="683" spans="1:19" ht="39" thickBot="1" x14ac:dyDescent="0.3">
      <c r="A683" s="12" t="s">
        <v>1224</v>
      </c>
      <c r="B683" s="13" t="s">
        <v>1225</v>
      </c>
      <c r="C683" s="14"/>
      <c r="D683" s="49">
        <f>D684+D688+D690+D694+D699+D708+D711+D714+D717+D719+D723+D729</f>
        <v>16795.5</v>
      </c>
      <c r="E683" s="49">
        <f>E684+E688+E690+E694+E699+E708+E711+E714+E717+E719+E723+E729</f>
        <v>16795.5</v>
      </c>
      <c r="F683" s="49">
        <f>F684+F688+F690+F694+F699+F708+F711+F714+F717+F719+F723+F729+0.1</f>
        <v>16111.3</v>
      </c>
      <c r="G683" s="49">
        <f>G684+G688+G690+G694+G699+G708+G711+G714+G717+G719+G723+G729</f>
        <v>684.19999999999982</v>
      </c>
      <c r="H683" s="49">
        <f>H684+H688+H690+H694+H699+H708+H711+H714+H717+H719+H723+H729</f>
        <v>684.19999999999982</v>
      </c>
      <c r="I683" s="66">
        <f>SUM(F683/E683)</f>
        <v>0.95926289780000595</v>
      </c>
      <c r="J683" s="263"/>
      <c r="K683" s="264"/>
      <c r="L683" s="264"/>
      <c r="M683" s="264"/>
      <c r="N683" s="264"/>
      <c r="O683" s="265"/>
      <c r="Q683" s="200"/>
      <c r="R683" s="197" t="s">
        <v>1963</v>
      </c>
      <c r="S683" s="198">
        <v>4</v>
      </c>
    </row>
    <row r="684" spans="1:19" ht="203.25" customHeight="1" x14ac:dyDescent="0.25">
      <c r="A684" s="285" t="s">
        <v>1226</v>
      </c>
      <c r="B684" s="217" t="s">
        <v>1227</v>
      </c>
      <c r="C684" s="17"/>
      <c r="D684" s="51">
        <f>SUM(D685:D687)</f>
        <v>4612.3</v>
      </c>
      <c r="E684" s="51">
        <f>SUM(E685:E687)</f>
        <v>4612.3</v>
      </c>
      <c r="F684" s="51">
        <f>SUM(F685:F687)</f>
        <v>4612.3</v>
      </c>
      <c r="G684" s="51"/>
      <c r="H684" s="51"/>
      <c r="I684" s="54">
        <f t="shared" ref="I684:I697" si="85">SUM(F684/E684)</f>
        <v>1</v>
      </c>
      <c r="J684" s="17" t="s">
        <v>1228</v>
      </c>
      <c r="K684" s="18" t="s">
        <v>337</v>
      </c>
      <c r="L684" s="18">
        <v>4</v>
      </c>
      <c r="M684" s="139">
        <v>5</v>
      </c>
      <c r="N684" s="143" t="s">
        <v>1229</v>
      </c>
      <c r="O684" s="172"/>
      <c r="Q684" s="202"/>
      <c r="R684" s="197" t="s">
        <v>1964</v>
      </c>
      <c r="S684" s="198">
        <v>8</v>
      </c>
    </row>
    <row r="685" spans="1:19" ht="31.5" x14ac:dyDescent="0.25">
      <c r="A685" s="286"/>
      <c r="B685" s="218"/>
      <c r="C685" s="22" t="s">
        <v>26</v>
      </c>
      <c r="D685" s="53">
        <v>120</v>
      </c>
      <c r="E685" s="53">
        <v>120</v>
      </c>
      <c r="F685" s="53">
        <v>120</v>
      </c>
      <c r="G685" s="53"/>
      <c r="H685" s="53"/>
      <c r="I685" s="54">
        <f t="shared" si="85"/>
        <v>1</v>
      </c>
      <c r="J685" s="22" t="s">
        <v>1230</v>
      </c>
      <c r="K685" s="24" t="s">
        <v>337</v>
      </c>
      <c r="L685" s="24">
        <v>620</v>
      </c>
      <c r="M685" s="131">
        <v>717</v>
      </c>
      <c r="N685" s="22"/>
      <c r="O685" s="25"/>
      <c r="Q685" s="204"/>
      <c r="R685" s="197" t="s">
        <v>1965</v>
      </c>
      <c r="S685" s="201"/>
    </row>
    <row r="686" spans="1:19" ht="15.75" x14ac:dyDescent="0.25">
      <c r="A686" s="286"/>
      <c r="B686" s="218"/>
      <c r="C686" s="22" t="s">
        <v>755</v>
      </c>
      <c r="D686" s="53">
        <v>3767.3</v>
      </c>
      <c r="E686" s="53">
        <v>3767.3</v>
      </c>
      <c r="F686" s="53">
        <v>3767.3</v>
      </c>
      <c r="G686" s="53"/>
      <c r="H686" s="53"/>
      <c r="I686" s="54">
        <f t="shared" si="85"/>
        <v>1</v>
      </c>
      <c r="J686" s="22" t="s">
        <v>1231</v>
      </c>
      <c r="K686" s="24" t="s">
        <v>337</v>
      </c>
      <c r="L686" s="24">
        <v>130</v>
      </c>
      <c r="M686" s="131">
        <v>169</v>
      </c>
      <c r="N686" s="22"/>
      <c r="O686" s="25"/>
      <c r="Q686" s="194"/>
      <c r="R686" s="205" t="s">
        <v>1966</v>
      </c>
      <c r="S686" s="201">
        <f>+SUM(S681:S685)</f>
        <v>25</v>
      </c>
    </row>
    <row r="687" spans="1:19" ht="39" thickBot="1" x14ac:dyDescent="0.3">
      <c r="A687" s="287"/>
      <c r="B687" s="219"/>
      <c r="C687" s="22" t="s">
        <v>30</v>
      </c>
      <c r="D687" s="53">
        <v>725</v>
      </c>
      <c r="E687" s="53">
        <v>725</v>
      </c>
      <c r="F687" s="53">
        <v>725</v>
      </c>
      <c r="G687" s="53"/>
      <c r="H687" s="53"/>
      <c r="I687" s="68">
        <f t="shared" si="85"/>
        <v>1</v>
      </c>
      <c r="J687" s="22" t="s">
        <v>1232</v>
      </c>
      <c r="K687" s="24" t="s">
        <v>25</v>
      </c>
      <c r="L687" s="24">
        <v>100</v>
      </c>
      <c r="M687" s="130">
        <v>100</v>
      </c>
      <c r="N687" s="22" t="s">
        <v>1233</v>
      </c>
      <c r="O687" s="25"/>
    </row>
    <row r="688" spans="1:19" ht="25.5" x14ac:dyDescent="0.25">
      <c r="A688" s="285" t="s">
        <v>1234</v>
      </c>
      <c r="B688" s="217" t="s">
        <v>1235</v>
      </c>
      <c r="C688" s="17"/>
      <c r="D688" s="51">
        <f>SUM(D689:D689)</f>
        <v>190.8</v>
      </c>
      <c r="E688" s="51">
        <f>SUM(E689:E689)</f>
        <v>190.8</v>
      </c>
      <c r="F688" s="51">
        <f>SUM(F689:F689)</f>
        <v>190.8</v>
      </c>
      <c r="G688" s="51"/>
      <c r="H688" s="51"/>
      <c r="I688" s="54">
        <f t="shared" si="85"/>
        <v>1</v>
      </c>
      <c r="J688" s="17" t="s">
        <v>1236</v>
      </c>
      <c r="K688" s="18" t="s">
        <v>25</v>
      </c>
      <c r="L688" s="18">
        <v>10</v>
      </c>
      <c r="M688" s="135">
        <v>9</v>
      </c>
      <c r="N688" s="17" t="s">
        <v>1237</v>
      </c>
      <c r="O688" s="166" t="s">
        <v>1900</v>
      </c>
    </row>
    <row r="689" spans="1:15" ht="15.75" thickBot="1" x14ac:dyDescent="0.3">
      <c r="A689" s="287"/>
      <c r="B689" s="219"/>
      <c r="C689" s="22" t="s">
        <v>755</v>
      </c>
      <c r="D689" s="53">
        <v>190.8</v>
      </c>
      <c r="E689" s="53">
        <v>190.8</v>
      </c>
      <c r="F689" s="53">
        <v>190.8</v>
      </c>
      <c r="G689" s="53"/>
      <c r="H689" s="53"/>
      <c r="I689" s="68">
        <f t="shared" si="85"/>
        <v>1</v>
      </c>
      <c r="J689" s="22"/>
      <c r="K689" s="24"/>
      <c r="L689" s="81"/>
      <c r="M689" s="82"/>
      <c r="N689" s="22"/>
      <c r="O689" s="25"/>
    </row>
    <row r="690" spans="1:15" ht="51" x14ac:dyDescent="0.25">
      <c r="A690" s="285" t="s">
        <v>1238</v>
      </c>
      <c r="B690" s="217" t="s">
        <v>1239</v>
      </c>
      <c r="C690" s="17"/>
      <c r="D690" s="51">
        <f>SUM(D691:D693)</f>
        <v>402.3</v>
      </c>
      <c r="E690" s="51">
        <f>SUM(E691:E693)</f>
        <v>402.3</v>
      </c>
      <c r="F690" s="51">
        <f>SUM(F691:F693)</f>
        <v>198.6</v>
      </c>
      <c r="G690" s="51">
        <f>SUM(G691:G693)</f>
        <v>203.7</v>
      </c>
      <c r="H690" s="51">
        <f>SUM(H691:H693)</f>
        <v>203.7</v>
      </c>
      <c r="I690" s="54">
        <f t="shared" si="85"/>
        <v>0.49366144668158091</v>
      </c>
      <c r="J690" s="17" t="s">
        <v>1240</v>
      </c>
      <c r="K690" s="18" t="s">
        <v>25</v>
      </c>
      <c r="L690" s="18">
        <v>70</v>
      </c>
      <c r="M690" s="113">
        <v>55.3</v>
      </c>
      <c r="N690" s="17" t="s">
        <v>1819</v>
      </c>
      <c r="O690" s="19" t="s">
        <v>1820</v>
      </c>
    </row>
    <row r="691" spans="1:15" x14ac:dyDescent="0.25">
      <c r="A691" s="286"/>
      <c r="B691" s="218"/>
      <c r="C691" s="22" t="s">
        <v>26</v>
      </c>
      <c r="D691" s="53">
        <v>121</v>
      </c>
      <c r="E691" s="53">
        <v>121</v>
      </c>
      <c r="F691" s="53">
        <v>32.4</v>
      </c>
      <c r="G691" s="53">
        <v>88.6</v>
      </c>
      <c r="H691" s="53">
        <v>88.6</v>
      </c>
      <c r="I691" s="54">
        <f t="shared" si="85"/>
        <v>0.26776859504132228</v>
      </c>
      <c r="J691" s="22"/>
      <c r="K691" s="24"/>
      <c r="L691" s="81"/>
      <c r="M691" s="82"/>
      <c r="N691" s="22"/>
      <c r="O691" s="25"/>
    </row>
    <row r="692" spans="1:15" x14ac:dyDescent="0.25">
      <c r="A692" s="286"/>
      <c r="B692" s="218"/>
      <c r="C692" s="22" t="s">
        <v>30</v>
      </c>
      <c r="D692" s="53">
        <v>46.4</v>
      </c>
      <c r="E692" s="53">
        <v>46.4</v>
      </c>
      <c r="F692" s="53">
        <v>46.4</v>
      </c>
      <c r="G692" s="53"/>
      <c r="H692" s="53"/>
      <c r="I692" s="54">
        <f t="shared" si="85"/>
        <v>1</v>
      </c>
      <c r="J692" s="22"/>
      <c r="K692" s="24"/>
      <c r="L692" s="81"/>
      <c r="M692" s="82"/>
      <c r="N692" s="22"/>
      <c r="O692" s="25"/>
    </row>
    <row r="693" spans="1:15" ht="15.75" thickBot="1" x14ac:dyDescent="0.3">
      <c r="A693" s="287"/>
      <c r="B693" s="219"/>
      <c r="C693" s="22" t="s">
        <v>181</v>
      </c>
      <c r="D693" s="53">
        <v>234.9</v>
      </c>
      <c r="E693" s="53">
        <v>234.9</v>
      </c>
      <c r="F693" s="53">
        <v>119.8</v>
      </c>
      <c r="G693" s="53">
        <v>115.1</v>
      </c>
      <c r="H693" s="53">
        <v>115.1</v>
      </c>
      <c r="I693" s="68">
        <f t="shared" si="85"/>
        <v>0.51000425713069386</v>
      </c>
      <c r="J693" s="22"/>
      <c r="K693" s="24"/>
      <c r="L693" s="81"/>
      <c r="M693" s="82"/>
      <c r="N693" s="22"/>
      <c r="O693" s="25"/>
    </row>
    <row r="694" spans="1:15" ht="318.75" x14ac:dyDescent="0.25">
      <c r="A694" s="285" t="s">
        <v>1241</v>
      </c>
      <c r="B694" s="217" t="s">
        <v>1242</v>
      </c>
      <c r="C694" s="17"/>
      <c r="D694" s="51">
        <f>SUM(D695:D698)</f>
        <v>924.2</v>
      </c>
      <c r="E694" s="51">
        <f>SUM(E695:E698)</f>
        <v>924.2</v>
      </c>
      <c r="F694" s="51">
        <f>SUM(F695:F698)</f>
        <v>843.09999999999991</v>
      </c>
      <c r="G694" s="51">
        <f>SUM(G695:G698)</f>
        <v>81</v>
      </c>
      <c r="H694" s="51">
        <f>SUM(H695:H698)</f>
        <v>81</v>
      </c>
      <c r="I694" s="54">
        <f t="shared" si="85"/>
        <v>0.91224843107552467</v>
      </c>
      <c r="J694" s="17" t="s">
        <v>1228</v>
      </c>
      <c r="K694" s="18" t="s">
        <v>337</v>
      </c>
      <c r="L694" s="18">
        <v>8</v>
      </c>
      <c r="M694" s="139">
        <v>9</v>
      </c>
      <c r="N694" s="17" t="s">
        <v>1821</v>
      </c>
      <c r="O694" s="19"/>
    </row>
    <row r="695" spans="1:15" ht="25.5" x14ac:dyDescent="0.25">
      <c r="A695" s="286"/>
      <c r="B695" s="218"/>
      <c r="C695" s="22" t="s">
        <v>755</v>
      </c>
      <c r="D695" s="53">
        <v>305.89999999999998</v>
      </c>
      <c r="E695" s="53">
        <v>305.89999999999998</v>
      </c>
      <c r="F695" s="53">
        <v>270.2</v>
      </c>
      <c r="G695" s="53">
        <v>35.6</v>
      </c>
      <c r="H695" s="53">
        <v>35.6</v>
      </c>
      <c r="I695" s="54">
        <f t="shared" si="85"/>
        <v>0.8832951945080092</v>
      </c>
      <c r="J695" s="22" t="s">
        <v>1243</v>
      </c>
      <c r="K695" s="24" t="s">
        <v>25</v>
      </c>
      <c r="L695" s="24">
        <v>100</v>
      </c>
      <c r="M695" s="130">
        <v>100</v>
      </c>
      <c r="N695" s="22" t="s">
        <v>1822</v>
      </c>
      <c r="O695" s="25"/>
    </row>
    <row r="696" spans="1:15" ht="25.5" x14ac:dyDescent="0.25">
      <c r="A696" s="286"/>
      <c r="B696" s="218"/>
      <c r="C696" s="22" t="s">
        <v>26</v>
      </c>
      <c r="D696" s="53">
        <v>176.3</v>
      </c>
      <c r="E696" s="53">
        <v>176.3</v>
      </c>
      <c r="F696" s="53">
        <v>152.6</v>
      </c>
      <c r="G696" s="53">
        <v>23.7</v>
      </c>
      <c r="H696" s="53">
        <v>23.7</v>
      </c>
      <c r="I696" s="54">
        <f t="shared" si="85"/>
        <v>0.86557005104934759</v>
      </c>
      <c r="J696" s="22" t="s">
        <v>1244</v>
      </c>
      <c r="K696" s="24" t="s">
        <v>25</v>
      </c>
      <c r="L696" s="24">
        <v>95</v>
      </c>
      <c r="M696" s="131">
        <v>100</v>
      </c>
      <c r="N696" s="22" t="s">
        <v>1245</v>
      </c>
      <c r="O696" s="25"/>
    </row>
    <row r="697" spans="1:15" ht="25.5" x14ac:dyDescent="0.25">
      <c r="A697" s="286"/>
      <c r="B697" s="218"/>
      <c r="C697" s="22" t="s">
        <v>181</v>
      </c>
      <c r="D697" s="53">
        <v>442</v>
      </c>
      <c r="E697" s="53">
        <v>442</v>
      </c>
      <c r="F697" s="53">
        <v>420.3</v>
      </c>
      <c r="G697" s="53">
        <v>21.7</v>
      </c>
      <c r="H697" s="53">
        <v>21.7</v>
      </c>
      <c r="I697" s="54">
        <f t="shared" si="85"/>
        <v>0.95090497737556567</v>
      </c>
      <c r="J697" s="22" t="s">
        <v>1246</v>
      </c>
      <c r="K697" s="24" t="s">
        <v>25</v>
      </c>
      <c r="L697" s="24">
        <v>100</v>
      </c>
      <c r="M697" s="130">
        <v>100</v>
      </c>
      <c r="N697" s="22" t="s">
        <v>1247</v>
      </c>
      <c r="O697" s="25"/>
    </row>
    <row r="698" spans="1:15" ht="26.25" thickBot="1" x14ac:dyDescent="0.3">
      <c r="A698" s="287"/>
      <c r="B698" s="219"/>
      <c r="C698" s="22"/>
      <c r="D698" s="53"/>
      <c r="E698" s="53"/>
      <c r="F698" s="53"/>
      <c r="G698" s="53"/>
      <c r="H698" s="53"/>
      <c r="I698" s="67"/>
      <c r="J698" s="22" t="s">
        <v>1248</v>
      </c>
      <c r="K698" s="24" t="s">
        <v>25</v>
      </c>
      <c r="L698" s="24">
        <v>100</v>
      </c>
      <c r="M698" s="130">
        <v>100</v>
      </c>
      <c r="N698" s="22" t="s">
        <v>1249</v>
      </c>
      <c r="O698" s="25"/>
    </row>
    <row r="699" spans="1:15" ht="114.75" x14ac:dyDescent="0.25">
      <c r="A699" s="285" t="s">
        <v>1250</v>
      </c>
      <c r="B699" s="217" t="s">
        <v>1251</v>
      </c>
      <c r="C699" s="17"/>
      <c r="D699" s="51">
        <f>SUM(D700:D707)</f>
        <v>8200.6999999999989</v>
      </c>
      <c r="E699" s="51">
        <f>SUM(E700:E707)</f>
        <v>8200.6999999999989</v>
      </c>
      <c r="F699" s="51">
        <f>SUM(F700:F707)-0.1</f>
        <v>7853.9</v>
      </c>
      <c r="G699" s="51">
        <f>SUM(G700:G707)+0.1</f>
        <v>346.8</v>
      </c>
      <c r="H699" s="51">
        <f>SUM(H700:H707)+0.1</f>
        <v>346.8</v>
      </c>
      <c r="I699" s="54">
        <f t="shared" ref="I699:I723" si="86">SUM(F699/E699)</f>
        <v>0.95771092711597794</v>
      </c>
      <c r="J699" s="17" t="s">
        <v>1252</v>
      </c>
      <c r="K699" s="18" t="s">
        <v>337</v>
      </c>
      <c r="L699" s="18">
        <v>21</v>
      </c>
      <c r="M699" s="139">
        <v>25</v>
      </c>
      <c r="N699" s="17" t="s">
        <v>1253</v>
      </c>
      <c r="O699" s="19"/>
    </row>
    <row r="700" spans="1:15" ht="25.5" x14ac:dyDescent="0.25">
      <c r="A700" s="286"/>
      <c r="B700" s="218"/>
      <c r="C700" s="22" t="s">
        <v>181</v>
      </c>
      <c r="D700" s="53">
        <v>453</v>
      </c>
      <c r="E700" s="53">
        <v>453</v>
      </c>
      <c r="F700" s="53">
        <v>453</v>
      </c>
      <c r="G700" s="53"/>
      <c r="H700" s="53"/>
      <c r="I700" s="54">
        <f t="shared" si="86"/>
        <v>1</v>
      </c>
      <c r="J700" s="22" t="s">
        <v>1254</v>
      </c>
      <c r="K700" s="24" t="s">
        <v>337</v>
      </c>
      <c r="L700" s="81">
        <v>17300</v>
      </c>
      <c r="M700" s="120">
        <v>19296</v>
      </c>
      <c r="N700" s="22"/>
      <c r="O700" s="25"/>
    </row>
    <row r="701" spans="1:15" ht="89.25" x14ac:dyDescent="0.25">
      <c r="A701" s="286"/>
      <c r="B701" s="218"/>
      <c r="C701" s="22" t="s">
        <v>26</v>
      </c>
      <c r="D701" s="53">
        <v>5172.3999999999996</v>
      </c>
      <c r="E701" s="53">
        <v>5172.3999999999996</v>
      </c>
      <c r="F701" s="53">
        <v>5083.5</v>
      </c>
      <c r="G701" s="53">
        <v>88.9</v>
      </c>
      <c r="H701" s="53">
        <v>88.9</v>
      </c>
      <c r="I701" s="54">
        <f t="shared" si="86"/>
        <v>0.98281262083365561</v>
      </c>
      <c r="J701" s="22" t="s">
        <v>1255</v>
      </c>
      <c r="K701" s="24" t="s">
        <v>337</v>
      </c>
      <c r="L701" s="24">
        <v>4</v>
      </c>
      <c r="M701" s="130">
        <v>4</v>
      </c>
      <c r="N701" s="22" t="s">
        <v>1256</v>
      </c>
      <c r="O701" s="25"/>
    </row>
    <row r="702" spans="1:15" ht="25.5" x14ac:dyDescent="0.25">
      <c r="A702" s="286"/>
      <c r="B702" s="218"/>
      <c r="C702" s="22" t="s">
        <v>30</v>
      </c>
      <c r="D702" s="53">
        <v>90.2</v>
      </c>
      <c r="E702" s="53">
        <v>90.2</v>
      </c>
      <c r="F702" s="53">
        <v>90.2</v>
      </c>
      <c r="G702" s="53"/>
      <c r="H702" s="53"/>
      <c r="I702" s="54">
        <f t="shared" si="86"/>
        <v>1</v>
      </c>
      <c r="J702" s="22" t="s">
        <v>1257</v>
      </c>
      <c r="K702" s="24" t="s">
        <v>337</v>
      </c>
      <c r="L702" s="24">
        <v>465</v>
      </c>
      <c r="M702" s="131">
        <v>496</v>
      </c>
      <c r="N702" s="22" t="s">
        <v>1258</v>
      </c>
      <c r="O702" s="25"/>
    </row>
    <row r="703" spans="1:15" ht="378" customHeight="1" x14ac:dyDescent="0.25">
      <c r="A703" s="286"/>
      <c r="B703" s="218"/>
      <c r="C703" s="22" t="s">
        <v>165</v>
      </c>
      <c r="D703" s="53">
        <v>70.2</v>
      </c>
      <c r="E703" s="53">
        <v>70.2</v>
      </c>
      <c r="F703" s="53">
        <v>45.1</v>
      </c>
      <c r="G703" s="53">
        <v>25.1</v>
      </c>
      <c r="H703" s="53">
        <v>25.1</v>
      </c>
      <c r="I703" s="54">
        <f t="shared" si="86"/>
        <v>0.64245014245014243</v>
      </c>
      <c r="J703" s="22" t="s">
        <v>1259</v>
      </c>
      <c r="K703" s="24" t="s">
        <v>337</v>
      </c>
      <c r="L703" s="24">
        <v>14</v>
      </c>
      <c r="M703" s="130">
        <v>14</v>
      </c>
      <c r="N703" s="22" t="s">
        <v>1260</v>
      </c>
      <c r="O703" s="25"/>
    </row>
    <row r="704" spans="1:15" x14ac:dyDescent="0.25">
      <c r="A704" s="286"/>
      <c r="B704" s="218"/>
      <c r="C704" s="22" t="s">
        <v>178</v>
      </c>
      <c r="D704" s="53">
        <v>351.9</v>
      </c>
      <c r="E704" s="53">
        <v>351.9</v>
      </c>
      <c r="F704" s="53">
        <v>210.2</v>
      </c>
      <c r="G704" s="53">
        <v>141.69999999999999</v>
      </c>
      <c r="H704" s="53">
        <v>141.69999999999999</v>
      </c>
      <c r="I704" s="54">
        <f t="shared" si="86"/>
        <v>0.59732878658709865</v>
      </c>
      <c r="J704" s="22" t="s">
        <v>1261</v>
      </c>
      <c r="K704" s="24" t="s">
        <v>337</v>
      </c>
      <c r="L704" s="24">
        <v>480</v>
      </c>
      <c r="M704" s="131">
        <v>490</v>
      </c>
      <c r="N704" s="22"/>
      <c r="O704" s="25"/>
    </row>
    <row r="705" spans="1:15" ht="89.25" x14ac:dyDescent="0.25">
      <c r="A705" s="286"/>
      <c r="B705" s="218"/>
      <c r="C705" s="22" t="s">
        <v>755</v>
      </c>
      <c r="D705" s="53">
        <v>967</v>
      </c>
      <c r="E705" s="53">
        <v>967</v>
      </c>
      <c r="F705" s="53">
        <v>935</v>
      </c>
      <c r="G705" s="53">
        <v>32</v>
      </c>
      <c r="H705" s="53">
        <v>32</v>
      </c>
      <c r="I705" s="54">
        <f t="shared" si="86"/>
        <v>0.96690796277145807</v>
      </c>
      <c r="J705" s="22" t="s">
        <v>1262</v>
      </c>
      <c r="K705" s="24" t="s">
        <v>337</v>
      </c>
      <c r="L705" s="24">
        <v>6</v>
      </c>
      <c r="M705" s="137">
        <v>5</v>
      </c>
      <c r="N705" s="22" t="s">
        <v>1824</v>
      </c>
      <c r="O705" s="25" t="s">
        <v>1823</v>
      </c>
    </row>
    <row r="706" spans="1:15" ht="63.75" x14ac:dyDescent="0.25">
      <c r="A706" s="286"/>
      <c r="B706" s="218"/>
      <c r="C706" s="22" t="s">
        <v>171</v>
      </c>
      <c r="D706" s="53">
        <v>1036.9000000000001</v>
      </c>
      <c r="E706" s="53">
        <v>1036.9000000000001</v>
      </c>
      <c r="F706" s="53">
        <v>1027.5999999999999</v>
      </c>
      <c r="G706" s="53">
        <v>9.3000000000000007</v>
      </c>
      <c r="H706" s="53">
        <v>9.3000000000000007</v>
      </c>
      <c r="I706" s="54">
        <f t="shared" si="86"/>
        <v>0.99103095766226235</v>
      </c>
      <c r="J706" s="22" t="s">
        <v>1263</v>
      </c>
      <c r="K706" s="24" t="s">
        <v>337</v>
      </c>
      <c r="L706" s="24">
        <v>54</v>
      </c>
      <c r="M706" s="137">
        <v>36</v>
      </c>
      <c r="N706" s="22"/>
      <c r="O706" s="25" t="s">
        <v>1264</v>
      </c>
    </row>
    <row r="707" spans="1:15" ht="64.5" thickBot="1" x14ac:dyDescent="0.3">
      <c r="A707" s="287"/>
      <c r="B707" s="219"/>
      <c r="C707" s="22" t="s">
        <v>168</v>
      </c>
      <c r="D707" s="53">
        <v>59.1</v>
      </c>
      <c r="E707" s="53">
        <v>59.1</v>
      </c>
      <c r="F707" s="53">
        <v>9.4</v>
      </c>
      <c r="G707" s="53">
        <v>49.7</v>
      </c>
      <c r="H707" s="53">
        <v>49.7</v>
      </c>
      <c r="I707" s="68">
        <f t="shared" si="86"/>
        <v>0.15905245346869712</v>
      </c>
      <c r="J707" s="22" t="s">
        <v>1265</v>
      </c>
      <c r="K707" s="24" t="s">
        <v>25</v>
      </c>
      <c r="L707" s="24">
        <v>100</v>
      </c>
      <c r="M707" s="130">
        <v>100</v>
      </c>
      <c r="N707" s="22" t="s">
        <v>1266</v>
      </c>
      <c r="O707" s="25"/>
    </row>
    <row r="708" spans="1:15" ht="89.25" x14ac:dyDescent="0.25">
      <c r="A708" s="285" t="s">
        <v>1267</v>
      </c>
      <c r="B708" s="217" t="s">
        <v>1268</v>
      </c>
      <c r="C708" s="17"/>
      <c r="D708" s="51">
        <f>SUM(D709:D710)</f>
        <v>993.5</v>
      </c>
      <c r="E708" s="51">
        <f>SUM(E709:E710)</f>
        <v>993.5</v>
      </c>
      <c r="F708" s="51">
        <f>SUM(F709:F710)</f>
        <v>993.5</v>
      </c>
      <c r="G708" s="51"/>
      <c r="H708" s="51"/>
      <c r="I708" s="54">
        <f t="shared" si="86"/>
        <v>1</v>
      </c>
      <c r="J708" s="17" t="s">
        <v>1269</v>
      </c>
      <c r="K708" s="18" t="s">
        <v>337</v>
      </c>
      <c r="L708" s="18">
        <v>250</v>
      </c>
      <c r="M708" s="139">
        <v>274</v>
      </c>
      <c r="N708" s="17" t="s">
        <v>1270</v>
      </c>
      <c r="O708" s="19"/>
    </row>
    <row r="709" spans="1:15" ht="25.5" x14ac:dyDescent="0.25">
      <c r="A709" s="286"/>
      <c r="B709" s="218"/>
      <c r="C709" s="22" t="s">
        <v>30</v>
      </c>
      <c r="D709" s="53">
        <v>993.5</v>
      </c>
      <c r="E709" s="53">
        <v>993.5</v>
      </c>
      <c r="F709" s="53">
        <v>993.5</v>
      </c>
      <c r="G709" s="53"/>
      <c r="H709" s="53"/>
      <c r="I709" s="54">
        <f t="shared" si="86"/>
        <v>1</v>
      </c>
      <c r="J709" s="22" t="s">
        <v>1271</v>
      </c>
      <c r="K709" s="24" t="s">
        <v>337</v>
      </c>
      <c r="L709" s="24">
        <v>14</v>
      </c>
      <c r="M709" s="131">
        <v>15</v>
      </c>
      <c r="N709" s="22" t="s">
        <v>1272</v>
      </c>
      <c r="O709" s="25"/>
    </row>
    <row r="710" spans="1:15" ht="51.75" thickBot="1" x14ac:dyDescent="0.3">
      <c r="A710" s="287"/>
      <c r="B710" s="219"/>
      <c r="C710" s="22"/>
      <c r="D710" s="53"/>
      <c r="E710" s="53"/>
      <c r="F710" s="53"/>
      <c r="G710" s="53"/>
      <c r="H710" s="53"/>
      <c r="I710" s="68"/>
      <c r="J710" s="22" t="s">
        <v>1273</v>
      </c>
      <c r="K710" s="24" t="s">
        <v>337</v>
      </c>
      <c r="L710" s="24">
        <v>8</v>
      </c>
      <c r="M710" s="131">
        <v>32</v>
      </c>
      <c r="N710" s="22" t="s">
        <v>1274</v>
      </c>
      <c r="O710" s="25"/>
    </row>
    <row r="711" spans="1:15" ht="242.25" x14ac:dyDescent="0.25">
      <c r="A711" s="285" t="s">
        <v>1275</v>
      </c>
      <c r="B711" s="217" t="s">
        <v>1276</v>
      </c>
      <c r="C711" s="17"/>
      <c r="D711" s="51">
        <f>SUM(D712:D713)</f>
        <v>292.10000000000002</v>
      </c>
      <c r="E711" s="51">
        <f>SUM(E712:E713)</f>
        <v>292.10000000000002</v>
      </c>
      <c r="F711" s="51">
        <f>SUM(F712:F713)</f>
        <v>280.8</v>
      </c>
      <c r="G711" s="51">
        <f>SUM(G712:G713)-0.1</f>
        <v>11.299999999999999</v>
      </c>
      <c r="H711" s="51">
        <f>SUM(H712:H713)-0.1</f>
        <v>11.299999999999999</v>
      </c>
      <c r="I711" s="54">
        <f t="shared" si="86"/>
        <v>0.9613146182814104</v>
      </c>
      <c r="J711" s="17" t="s">
        <v>1277</v>
      </c>
      <c r="K711" s="18" t="s">
        <v>337</v>
      </c>
      <c r="L711" s="18">
        <v>450</v>
      </c>
      <c r="M711" s="135">
        <v>412</v>
      </c>
      <c r="N711" s="17" t="s">
        <v>1278</v>
      </c>
      <c r="O711" s="19" t="s">
        <v>1825</v>
      </c>
    </row>
    <row r="712" spans="1:15" ht="25.5" x14ac:dyDescent="0.25">
      <c r="A712" s="286"/>
      <c r="B712" s="218"/>
      <c r="C712" s="22" t="s">
        <v>26</v>
      </c>
      <c r="D712" s="53">
        <v>100.4</v>
      </c>
      <c r="E712" s="53">
        <v>100.4</v>
      </c>
      <c r="F712" s="53">
        <v>95.8</v>
      </c>
      <c r="G712" s="53">
        <v>4.5999999999999996</v>
      </c>
      <c r="H712" s="53">
        <v>4.5999999999999996</v>
      </c>
      <c r="I712" s="54">
        <f t="shared" si="86"/>
        <v>0.95418326693227085</v>
      </c>
      <c r="J712" s="22" t="s">
        <v>1279</v>
      </c>
      <c r="K712" s="24" t="s">
        <v>337</v>
      </c>
      <c r="L712" s="24">
        <v>13</v>
      </c>
      <c r="M712" s="130">
        <v>13</v>
      </c>
      <c r="N712" s="22" t="s">
        <v>1280</v>
      </c>
      <c r="O712" s="25"/>
    </row>
    <row r="713" spans="1:15" ht="15.75" thickBot="1" x14ac:dyDescent="0.3">
      <c r="A713" s="287"/>
      <c r="B713" s="219"/>
      <c r="C713" s="22" t="s">
        <v>181</v>
      </c>
      <c r="D713" s="53">
        <v>191.7</v>
      </c>
      <c r="E713" s="53">
        <v>191.7</v>
      </c>
      <c r="F713" s="53">
        <v>185</v>
      </c>
      <c r="G713" s="53">
        <v>6.8</v>
      </c>
      <c r="H713" s="53">
        <v>6.8</v>
      </c>
      <c r="I713" s="68">
        <f t="shared" si="86"/>
        <v>0.96504955659885239</v>
      </c>
      <c r="J713" s="22"/>
      <c r="K713" s="24"/>
      <c r="L713" s="81"/>
      <c r="M713" s="82"/>
      <c r="N713" s="22"/>
      <c r="O713" s="25"/>
    </row>
    <row r="714" spans="1:15" ht="25.5" customHeight="1" x14ac:dyDescent="0.25">
      <c r="A714" s="285" t="s">
        <v>1281</v>
      </c>
      <c r="B714" s="217" t="s">
        <v>1282</v>
      </c>
      <c r="C714" s="17"/>
      <c r="D714" s="51">
        <f>SUM(D715:D716)</f>
        <v>334.1</v>
      </c>
      <c r="E714" s="51">
        <f>SUM(E715:E716)</f>
        <v>334.1</v>
      </c>
      <c r="F714" s="51">
        <f>SUM(F715:F716)</f>
        <v>297.8</v>
      </c>
      <c r="G714" s="51">
        <f>SUM(G715:G716)</f>
        <v>36.299999999999997</v>
      </c>
      <c r="H714" s="51">
        <f>SUM(H715:H716)</f>
        <v>36.299999999999997</v>
      </c>
      <c r="I714" s="54">
        <f t="shared" si="86"/>
        <v>0.89134989524094577</v>
      </c>
      <c r="J714" s="17" t="s">
        <v>1283</v>
      </c>
      <c r="K714" s="18" t="s">
        <v>337</v>
      </c>
      <c r="L714" s="18">
        <v>260</v>
      </c>
      <c r="M714" s="139">
        <v>290</v>
      </c>
      <c r="N714" s="17"/>
      <c r="O714" s="19"/>
    </row>
    <row r="715" spans="1:15" ht="38.25" x14ac:dyDescent="0.25">
      <c r="A715" s="286"/>
      <c r="B715" s="218"/>
      <c r="C715" s="22" t="s">
        <v>181</v>
      </c>
      <c r="D715" s="53">
        <v>193.8</v>
      </c>
      <c r="E715" s="53">
        <v>193.8</v>
      </c>
      <c r="F715" s="53">
        <v>193.8</v>
      </c>
      <c r="G715" s="53"/>
      <c r="H715" s="53"/>
      <c r="I715" s="54">
        <f t="shared" si="86"/>
        <v>1</v>
      </c>
      <c r="J715" s="22" t="s">
        <v>1284</v>
      </c>
      <c r="K715" s="24" t="s">
        <v>337</v>
      </c>
      <c r="L715" s="24">
        <v>11</v>
      </c>
      <c r="M715" s="130">
        <v>11</v>
      </c>
      <c r="N715" s="22" t="s">
        <v>1285</v>
      </c>
      <c r="O715" s="25"/>
    </row>
    <row r="716" spans="1:15" ht="39" thickBot="1" x14ac:dyDescent="0.3">
      <c r="A716" s="287"/>
      <c r="B716" s="219"/>
      <c r="C716" s="22" t="s">
        <v>26</v>
      </c>
      <c r="D716" s="53">
        <v>140.30000000000001</v>
      </c>
      <c r="E716" s="53">
        <v>140.30000000000001</v>
      </c>
      <c r="F716" s="53">
        <v>104</v>
      </c>
      <c r="G716" s="53">
        <v>36.299999999999997</v>
      </c>
      <c r="H716" s="53">
        <v>36.299999999999997</v>
      </c>
      <c r="I716" s="68">
        <f t="shared" si="86"/>
        <v>0.74126870990734139</v>
      </c>
      <c r="J716" s="22" t="s">
        <v>1286</v>
      </c>
      <c r="K716" s="24" t="s">
        <v>25</v>
      </c>
      <c r="L716" s="24">
        <v>15</v>
      </c>
      <c r="M716" s="137">
        <v>9</v>
      </c>
      <c r="N716" s="22" t="s">
        <v>1287</v>
      </c>
      <c r="O716" s="25" t="s">
        <v>1907</v>
      </c>
    </row>
    <row r="717" spans="1:15" ht="25.5" x14ac:dyDescent="0.25">
      <c r="A717" s="285" t="s">
        <v>1288</v>
      </c>
      <c r="B717" s="217" t="s">
        <v>1289</v>
      </c>
      <c r="C717" s="17" t="s">
        <v>26</v>
      </c>
      <c r="D717" s="51">
        <f>SUM(D718:D718)+155</f>
        <v>155</v>
      </c>
      <c r="E717" s="51">
        <f>SUM(E718:E718)+155</f>
        <v>155</v>
      </c>
      <c r="F717" s="51">
        <f>SUM(F718:F718)+155</f>
        <v>155</v>
      </c>
      <c r="G717" s="51"/>
      <c r="H717" s="51"/>
      <c r="I717" s="54">
        <f t="shared" si="86"/>
        <v>1</v>
      </c>
      <c r="J717" s="17" t="s">
        <v>1290</v>
      </c>
      <c r="K717" s="18" t="s">
        <v>337</v>
      </c>
      <c r="L717" s="18">
        <v>800</v>
      </c>
      <c r="M717" s="135">
        <v>724</v>
      </c>
      <c r="N717" s="17" t="s">
        <v>1291</v>
      </c>
      <c r="O717" s="166" t="s">
        <v>1901</v>
      </c>
    </row>
    <row r="718" spans="1:15" ht="26.25" thickBot="1" x14ac:dyDescent="0.3">
      <c r="A718" s="287"/>
      <c r="B718" s="219"/>
      <c r="C718" s="22"/>
      <c r="D718" s="53"/>
      <c r="E718" s="53"/>
      <c r="F718" s="53"/>
      <c r="G718" s="53"/>
      <c r="H718" s="53"/>
      <c r="I718" s="67"/>
      <c r="J718" s="22" t="s">
        <v>1292</v>
      </c>
      <c r="K718" s="24" t="s">
        <v>25</v>
      </c>
      <c r="L718" s="24">
        <v>100</v>
      </c>
      <c r="M718" s="130">
        <v>100</v>
      </c>
      <c r="N718" s="22"/>
      <c r="O718" s="25"/>
    </row>
    <row r="719" spans="1:15" ht="344.25" x14ac:dyDescent="0.25">
      <c r="A719" s="285" t="s">
        <v>1293</v>
      </c>
      <c r="B719" s="217" t="s">
        <v>1294</v>
      </c>
      <c r="C719" s="17"/>
      <c r="D719" s="51">
        <f>SUM(D720:D722)</f>
        <v>109.7</v>
      </c>
      <c r="E719" s="51">
        <f>SUM(E720:E722)</f>
        <v>109.7</v>
      </c>
      <c r="F719" s="51">
        <f>SUM(F720:F722)</f>
        <v>107.89999999999999</v>
      </c>
      <c r="G719" s="51">
        <f>SUM(G720:G722)</f>
        <v>1.8</v>
      </c>
      <c r="H719" s="51">
        <f>SUM(H720:H722)</f>
        <v>1.8</v>
      </c>
      <c r="I719" s="54">
        <f t="shared" si="86"/>
        <v>0.98359161349133994</v>
      </c>
      <c r="J719" s="17" t="s">
        <v>1277</v>
      </c>
      <c r="K719" s="18" t="s">
        <v>337</v>
      </c>
      <c r="L719" s="18">
        <v>100</v>
      </c>
      <c r="M719" s="139">
        <v>787</v>
      </c>
      <c r="N719" s="17" t="s">
        <v>1295</v>
      </c>
      <c r="O719" s="19"/>
    </row>
    <row r="720" spans="1:15" ht="140.25" x14ac:dyDescent="0.25">
      <c r="A720" s="286"/>
      <c r="B720" s="218"/>
      <c r="C720" s="22" t="s">
        <v>191</v>
      </c>
      <c r="D720" s="53">
        <v>72.400000000000006</v>
      </c>
      <c r="E720" s="53">
        <v>72.400000000000006</v>
      </c>
      <c r="F720" s="53">
        <v>70.599999999999994</v>
      </c>
      <c r="G720" s="53">
        <v>1.8</v>
      </c>
      <c r="H720" s="53">
        <v>1.8</v>
      </c>
      <c r="I720" s="54">
        <f t="shared" si="86"/>
        <v>0.97513812154696122</v>
      </c>
      <c r="J720" s="22" t="s">
        <v>1296</v>
      </c>
      <c r="K720" s="24" t="s">
        <v>337</v>
      </c>
      <c r="L720" s="24">
        <v>2</v>
      </c>
      <c r="M720" s="130">
        <v>2</v>
      </c>
      <c r="N720" s="22" t="s">
        <v>1297</v>
      </c>
      <c r="O720" s="25"/>
    </row>
    <row r="721" spans="1:15" x14ac:dyDescent="0.25">
      <c r="A721" s="286"/>
      <c r="B721" s="218"/>
      <c r="C721" s="22" t="s">
        <v>30</v>
      </c>
      <c r="D721" s="53">
        <v>0.3</v>
      </c>
      <c r="E721" s="53">
        <v>0.3</v>
      </c>
      <c r="F721" s="53">
        <v>0.3</v>
      </c>
      <c r="G721" s="53"/>
      <c r="H721" s="53"/>
      <c r="I721" s="54">
        <f t="shared" si="86"/>
        <v>1</v>
      </c>
      <c r="J721" s="22"/>
      <c r="K721" s="24"/>
      <c r="L721" s="81"/>
      <c r="M721" s="82"/>
      <c r="N721" s="22"/>
      <c r="O721" s="25"/>
    </row>
    <row r="722" spans="1:15" ht="15.75" thickBot="1" x14ac:dyDescent="0.3">
      <c r="A722" s="287"/>
      <c r="B722" s="219"/>
      <c r="C722" s="22" t="s">
        <v>181</v>
      </c>
      <c r="D722" s="53">
        <v>37</v>
      </c>
      <c r="E722" s="53">
        <v>37</v>
      </c>
      <c r="F722" s="53">
        <v>37</v>
      </c>
      <c r="G722" s="53"/>
      <c r="H722" s="53"/>
      <c r="I722" s="68">
        <f t="shared" si="86"/>
        <v>1</v>
      </c>
      <c r="J722" s="22"/>
      <c r="K722" s="24"/>
      <c r="L722" s="81"/>
      <c r="M722" s="82"/>
      <c r="N722" s="22"/>
      <c r="O722" s="25"/>
    </row>
    <row r="723" spans="1:15" ht="38.25" x14ac:dyDescent="0.25">
      <c r="A723" s="285" t="s">
        <v>1298</v>
      </c>
      <c r="B723" s="217" t="s">
        <v>1299</v>
      </c>
      <c r="C723" s="17"/>
      <c r="D723" s="51">
        <f>D724+D725+D726+D728</f>
        <v>162.80000000000001</v>
      </c>
      <c r="E723" s="51">
        <f>E724+E725+E726+E728</f>
        <v>162.80000000000001</v>
      </c>
      <c r="F723" s="51">
        <f>F724+F725+F726+F728</f>
        <v>162</v>
      </c>
      <c r="G723" s="51">
        <f>G724+G725+G726+G728</f>
        <v>0.8</v>
      </c>
      <c r="H723" s="51">
        <f>H724+H725+H726+H728</f>
        <v>0.8</v>
      </c>
      <c r="I723" s="54">
        <f t="shared" si="86"/>
        <v>0.99508599508599505</v>
      </c>
      <c r="J723" s="17" t="s">
        <v>1300</v>
      </c>
      <c r="K723" s="18" t="s">
        <v>19</v>
      </c>
      <c r="L723" s="18">
        <v>1</v>
      </c>
      <c r="M723" s="125">
        <v>1</v>
      </c>
      <c r="N723" s="17" t="s">
        <v>1301</v>
      </c>
      <c r="O723" s="19"/>
    </row>
    <row r="724" spans="1:15" ht="25.5" x14ac:dyDescent="0.25">
      <c r="A724" s="286"/>
      <c r="B724" s="218"/>
      <c r="C724" s="22"/>
      <c r="D724" s="53"/>
      <c r="E724" s="53"/>
      <c r="F724" s="53"/>
      <c r="G724" s="53"/>
      <c r="H724" s="53"/>
      <c r="I724" s="55"/>
      <c r="J724" s="22" t="s">
        <v>1302</v>
      </c>
      <c r="K724" s="24" t="s">
        <v>19</v>
      </c>
      <c r="L724" s="24">
        <v>70</v>
      </c>
      <c r="M724" s="131">
        <v>176</v>
      </c>
      <c r="N724" s="22" t="s">
        <v>1303</v>
      </c>
      <c r="O724" s="25"/>
    </row>
    <row r="725" spans="1:15" ht="26.25" thickBot="1" x14ac:dyDescent="0.3">
      <c r="A725" s="287"/>
      <c r="B725" s="219"/>
      <c r="C725" s="22"/>
      <c r="D725" s="53"/>
      <c r="E725" s="53"/>
      <c r="F725" s="53"/>
      <c r="G725" s="53"/>
      <c r="H725" s="53"/>
      <c r="I725" s="67"/>
      <c r="J725" s="22" t="s">
        <v>1304</v>
      </c>
      <c r="K725" s="24" t="s">
        <v>19</v>
      </c>
      <c r="L725" s="24">
        <v>1</v>
      </c>
      <c r="M725" s="130">
        <v>1</v>
      </c>
      <c r="N725" s="22" t="s">
        <v>1305</v>
      </c>
      <c r="O725" s="25"/>
    </row>
    <row r="726" spans="1:15" ht="51" customHeight="1" x14ac:dyDescent="0.25">
      <c r="A726" s="285" t="s">
        <v>1306</v>
      </c>
      <c r="B726" s="217" t="s">
        <v>1307</v>
      </c>
      <c r="C726" s="17"/>
      <c r="D726" s="51">
        <f>SUM(D727:D727)</f>
        <v>162.80000000000001</v>
      </c>
      <c r="E726" s="51">
        <f>SUM(E727:E727)</f>
        <v>162.80000000000001</v>
      </c>
      <c r="F726" s="51">
        <f>SUM(F727:F727)</f>
        <v>162</v>
      </c>
      <c r="G726" s="51">
        <f>SUM(G727:G727)</f>
        <v>0.8</v>
      </c>
      <c r="H726" s="51">
        <f>SUM(H727:H727)</f>
        <v>0.8</v>
      </c>
      <c r="I726" s="54">
        <f t="shared" ref="I726:I729" si="87">SUM(F726/E726)</f>
        <v>0.99508599508599505</v>
      </c>
      <c r="J726" s="17"/>
      <c r="K726" s="18"/>
      <c r="L726" s="79"/>
      <c r="M726" s="80"/>
      <c r="N726" s="17"/>
      <c r="O726" s="19"/>
    </row>
    <row r="727" spans="1:15" ht="15.75" thickBot="1" x14ac:dyDescent="0.3">
      <c r="A727" s="287"/>
      <c r="B727" s="219"/>
      <c r="C727" s="22" t="s">
        <v>30</v>
      </c>
      <c r="D727" s="53">
        <v>162.80000000000001</v>
      </c>
      <c r="E727" s="53">
        <v>162.80000000000001</v>
      </c>
      <c r="F727" s="53">
        <v>162</v>
      </c>
      <c r="G727" s="53">
        <v>0.8</v>
      </c>
      <c r="H727" s="53">
        <v>0.8</v>
      </c>
      <c r="I727" s="68">
        <f t="shared" si="87"/>
        <v>0.99508599508599505</v>
      </c>
      <c r="J727" s="22"/>
      <c r="K727" s="24"/>
      <c r="L727" s="81"/>
      <c r="M727" s="82"/>
      <c r="N727" s="22"/>
      <c r="O727" s="25"/>
    </row>
    <row r="728" spans="1:15" ht="51.75" thickBot="1" x14ac:dyDescent="0.3">
      <c r="A728" s="37" t="s">
        <v>1308</v>
      </c>
      <c r="B728" s="17" t="s">
        <v>1309</v>
      </c>
      <c r="C728" s="17"/>
      <c r="D728" s="61"/>
      <c r="E728" s="61"/>
      <c r="F728" s="61"/>
      <c r="G728" s="61"/>
      <c r="H728" s="61"/>
      <c r="I728" s="62"/>
      <c r="J728" s="17"/>
      <c r="K728" s="18"/>
      <c r="L728" s="79"/>
      <c r="M728" s="80"/>
      <c r="N728" s="17"/>
      <c r="O728" s="19"/>
    </row>
    <row r="729" spans="1:15" ht="25.5" x14ac:dyDescent="0.25">
      <c r="A729" s="285" t="s">
        <v>1310</v>
      </c>
      <c r="B729" s="217" t="s">
        <v>1311</v>
      </c>
      <c r="C729" s="17" t="s">
        <v>26</v>
      </c>
      <c r="D729" s="51">
        <f>SUM(D730:D732)+418</f>
        <v>418</v>
      </c>
      <c r="E729" s="51">
        <f>SUM(E730:E732)+418</f>
        <v>418</v>
      </c>
      <c r="F729" s="51">
        <f>SUM(F730:F732)+415.5</f>
        <v>415.5</v>
      </c>
      <c r="G729" s="51">
        <f>SUM(G730:G732)+2.5</f>
        <v>2.5</v>
      </c>
      <c r="H729" s="51">
        <f>SUM(H730:H732)+2.5</f>
        <v>2.5</v>
      </c>
      <c r="I729" s="54">
        <f t="shared" si="87"/>
        <v>0.99401913875598091</v>
      </c>
      <c r="J729" s="17" t="s">
        <v>1312</v>
      </c>
      <c r="K729" s="18" t="s">
        <v>337</v>
      </c>
      <c r="L729" s="18">
        <v>8</v>
      </c>
      <c r="M729" s="139">
        <v>10</v>
      </c>
      <c r="N729" s="17" t="s">
        <v>1313</v>
      </c>
      <c r="O729" s="19"/>
    </row>
    <row r="730" spans="1:15" ht="25.5" x14ac:dyDescent="0.25">
      <c r="A730" s="286"/>
      <c r="B730" s="218"/>
      <c r="C730" s="22"/>
      <c r="D730" s="53"/>
      <c r="E730" s="53"/>
      <c r="F730" s="53"/>
      <c r="G730" s="53"/>
      <c r="H730" s="53"/>
      <c r="I730" s="55"/>
      <c r="J730" s="22" t="s">
        <v>1314</v>
      </c>
      <c r="K730" s="24" t="s">
        <v>337</v>
      </c>
      <c r="L730" s="24">
        <v>14</v>
      </c>
      <c r="M730" s="131">
        <v>28</v>
      </c>
      <c r="N730" s="22" t="s">
        <v>1315</v>
      </c>
      <c r="O730" s="25"/>
    </row>
    <row r="731" spans="1:15" ht="102" x14ac:dyDescent="0.25">
      <c r="A731" s="286"/>
      <c r="B731" s="218"/>
      <c r="C731" s="22"/>
      <c r="D731" s="53"/>
      <c r="E731" s="53"/>
      <c r="F731" s="53"/>
      <c r="G731" s="53"/>
      <c r="H731" s="53"/>
      <c r="I731" s="55"/>
      <c r="J731" s="22" t="s">
        <v>1316</v>
      </c>
      <c r="K731" s="24" t="s">
        <v>337</v>
      </c>
      <c r="L731" s="24">
        <v>40</v>
      </c>
      <c r="M731" s="131">
        <v>47</v>
      </c>
      <c r="N731" s="22" t="s">
        <v>1317</v>
      </c>
      <c r="O731" s="25"/>
    </row>
    <row r="732" spans="1:15" ht="39" thickBot="1" x14ac:dyDescent="0.3">
      <c r="A732" s="287"/>
      <c r="B732" s="219"/>
      <c r="C732" s="22"/>
      <c r="D732" s="53"/>
      <c r="E732" s="53"/>
      <c r="F732" s="53"/>
      <c r="G732" s="53"/>
      <c r="H732" s="53"/>
      <c r="I732" s="55"/>
      <c r="J732" s="22" t="s">
        <v>1318</v>
      </c>
      <c r="K732" s="24" t="s">
        <v>337</v>
      </c>
      <c r="L732" s="24">
        <v>245</v>
      </c>
      <c r="M732" s="131">
        <v>380</v>
      </c>
      <c r="N732" s="22" t="s">
        <v>1319</v>
      </c>
      <c r="O732" s="25"/>
    </row>
    <row r="733" spans="1:15" ht="64.5" thickBot="1" x14ac:dyDescent="0.3">
      <c r="A733" s="12" t="s">
        <v>1320</v>
      </c>
      <c r="B733" s="13" t="s">
        <v>1321</v>
      </c>
      <c r="C733" s="14"/>
      <c r="D733" s="49">
        <f>D734+D735+D739+D740+D745+D750</f>
        <v>6431.7000000000007</v>
      </c>
      <c r="E733" s="49">
        <f>E734+E735+E739+E740+E745+E750</f>
        <v>6431.7000000000007</v>
      </c>
      <c r="F733" s="49">
        <f>F734+F735+F739+F740+F745+F750</f>
        <v>5365.2999999999993</v>
      </c>
      <c r="G733" s="49">
        <f>G734+G735+G739+G740+G745+G750-0.1</f>
        <v>1066.3999999999999</v>
      </c>
      <c r="H733" s="49">
        <f>H734+H735+H739+H740+H745+H750-0.1</f>
        <v>1066.3999999999999</v>
      </c>
      <c r="I733" s="66">
        <f>SUM(F733/E733)</f>
        <v>0.8341962467154872</v>
      </c>
      <c r="J733" s="263"/>
      <c r="K733" s="264"/>
      <c r="L733" s="264"/>
      <c r="M733" s="264"/>
      <c r="N733" s="264"/>
      <c r="O733" s="265"/>
    </row>
    <row r="734" spans="1:15" ht="39" thickBot="1" x14ac:dyDescent="0.3">
      <c r="A734" s="15" t="s">
        <v>1322</v>
      </c>
      <c r="B734" s="16" t="s">
        <v>1323</v>
      </c>
      <c r="C734" s="17" t="s">
        <v>30</v>
      </c>
      <c r="D734" s="61">
        <v>132.6</v>
      </c>
      <c r="E734" s="61">
        <v>132.6</v>
      </c>
      <c r="F734" s="61">
        <v>129.6</v>
      </c>
      <c r="G734" s="61">
        <v>3</v>
      </c>
      <c r="H734" s="61">
        <v>3</v>
      </c>
      <c r="I734" s="62">
        <f t="shared" ref="I734:I738" si="88">SUM(F734/E734)</f>
        <v>0.9773755656108597</v>
      </c>
      <c r="J734" s="17" t="s">
        <v>1324</v>
      </c>
      <c r="K734" s="18" t="s">
        <v>25</v>
      </c>
      <c r="L734" s="18">
        <v>100</v>
      </c>
      <c r="M734" s="125">
        <v>100</v>
      </c>
      <c r="N734" s="17" t="s">
        <v>1325</v>
      </c>
      <c r="O734" s="19"/>
    </row>
    <row r="735" spans="1:15" ht="78.75" customHeight="1" x14ac:dyDescent="0.25">
      <c r="A735" s="285" t="s">
        <v>1326</v>
      </c>
      <c r="B735" s="217" t="s">
        <v>1327</v>
      </c>
      <c r="C735" s="17"/>
      <c r="D735" s="51">
        <f>SUM(D736:D738)</f>
        <v>641.20000000000005</v>
      </c>
      <c r="E735" s="51">
        <f>SUM(E736:E738)</f>
        <v>641.20000000000005</v>
      </c>
      <c r="F735" s="51">
        <f>SUM(F736:F738)</f>
        <v>395.7</v>
      </c>
      <c r="G735" s="51">
        <f>SUM(G736:G738)</f>
        <v>245.5</v>
      </c>
      <c r="H735" s="51">
        <f>SUM(H736:H738)</f>
        <v>245.5</v>
      </c>
      <c r="I735" s="54">
        <f t="shared" si="88"/>
        <v>0.61712414223331247</v>
      </c>
      <c r="J735" s="17" t="s">
        <v>1106</v>
      </c>
      <c r="K735" s="18" t="s">
        <v>19</v>
      </c>
      <c r="L735" s="18">
        <v>1</v>
      </c>
      <c r="M735" s="125">
        <v>1</v>
      </c>
      <c r="N735" s="17" t="s">
        <v>1328</v>
      </c>
      <c r="O735" s="19"/>
    </row>
    <row r="736" spans="1:15" x14ac:dyDescent="0.25">
      <c r="A736" s="286"/>
      <c r="B736" s="218"/>
      <c r="C736" s="22" t="s">
        <v>26</v>
      </c>
      <c r="D736" s="53">
        <v>163.69999999999999</v>
      </c>
      <c r="E736" s="53">
        <v>163.69999999999999</v>
      </c>
      <c r="F736" s="53">
        <v>28.4</v>
      </c>
      <c r="G736" s="53">
        <v>135.30000000000001</v>
      </c>
      <c r="H736" s="53">
        <v>135.30000000000001</v>
      </c>
      <c r="I736" s="54">
        <f t="shared" si="88"/>
        <v>0.17348808796579107</v>
      </c>
      <c r="J736" s="22"/>
      <c r="K736" s="24"/>
      <c r="L736" s="81"/>
      <c r="M736" s="82"/>
      <c r="N736" s="22"/>
      <c r="O736" s="25"/>
    </row>
    <row r="737" spans="1:15" x14ac:dyDescent="0.25">
      <c r="A737" s="286"/>
      <c r="B737" s="218"/>
      <c r="C737" s="22" t="s">
        <v>181</v>
      </c>
      <c r="D737" s="53">
        <v>110.2</v>
      </c>
      <c r="E737" s="53">
        <v>110.2</v>
      </c>
      <c r="F737" s="53">
        <v>0</v>
      </c>
      <c r="G737" s="53">
        <v>110.2</v>
      </c>
      <c r="H737" s="53">
        <v>110.2</v>
      </c>
      <c r="I737" s="54">
        <f t="shared" si="88"/>
        <v>0</v>
      </c>
      <c r="J737" s="22"/>
      <c r="K737" s="24"/>
      <c r="L737" s="81"/>
      <c r="M737" s="82"/>
      <c r="N737" s="22"/>
      <c r="O737" s="25"/>
    </row>
    <row r="738" spans="1:15" ht="15.75" thickBot="1" x14ac:dyDescent="0.3">
      <c r="A738" s="287"/>
      <c r="B738" s="219"/>
      <c r="C738" s="22" t="s">
        <v>198</v>
      </c>
      <c r="D738" s="53">
        <v>367.3</v>
      </c>
      <c r="E738" s="53">
        <v>367.3</v>
      </c>
      <c r="F738" s="53">
        <v>367.3</v>
      </c>
      <c r="G738" s="53"/>
      <c r="H738" s="53"/>
      <c r="I738" s="54">
        <f t="shared" si="88"/>
        <v>1</v>
      </c>
      <c r="J738" s="22"/>
      <c r="K738" s="24"/>
      <c r="L738" s="81"/>
      <c r="M738" s="82"/>
      <c r="N738" s="22"/>
      <c r="O738" s="25"/>
    </row>
    <row r="739" spans="1:15" ht="39" thickBot="1" x14ac:dyDescent="0.3">
      <c r="A739" s="15" t="s">
        <v>1329</v>
      </c>
      <c r="B739" s="16" t="s">
        <v>1330</v>
      </c>
      <c r="C739" s="17" t="s">
        <v>26</v>
      </c>
      <c r="D739" s="61"/>
      <c r="E739" s="61"/>
      <c r="F739" s="61"/>
      <c r="G739" s="61"/>
      <c r="H739" s="61"/>
      <c r="I739" s="69"/>
      <c r="J739" s="17"/>
      <c r="K739" s="18"/>
      <c r="L739" s="79"/>
      <c r="M739" s="80"/>
      <c r="N739" s="17"/>
      <c r="O739" s="19"/>
    </row>
    <row r="740" spans="1:15" ht="25.5" x14ac:dyDescent="0.25">
      <c r="A740" s="285" t="s">
        <v>1331</v>
      </c>
      <c r="B740" s="217" t="s">
        <v>1332</v>
      </c>
      <c r="C740" s="17"/>
      <c r="D740" s="51">
        <f>SUM(D741:D744)</f>
        <v>5575.8</v>
      </c>
      <c r="E740" s="51">
        <f>SUM(E741:E744)</f>
        <v>5575.8</v>
      </c>
      <c r="F740" s="51">
        <f>SUM(F741:F744)</f>
        <v>4758.2999999999993</v>
      </c>
      <c r="G740" s="51">
        <f>SUM(G741:G744)</f>
        <v>817.59999999999991</v>
      </c>
      <c r="H740" s="51">
        <f>SUM(H741:H744)</f>
        <v>817.59999999999991</v>
      </c>
      <c r="I740" s="54">
        <f t="shared" ref="I740:I748" si="89">SUM(F740/E740)</f>
        <v>0.85338426772839759</v>
      </c>
      <c r="J740" s="17" t="s">
        <v>1333</v>
      </c>
      <c r="K740" s="18" t="s">
        <v>19</v>
      </c>
      <c r="L740" s="18">
        <v>4</v>
      </c>
      <c r="M740" s="125">
        <v>4</v>
      </c>
      <c r="N740" s="17" t="s">
        <v>1334</v>
      </c>
      <c r="O740" s="19"/>
    </row>
    <row r="741" spans="1:15" ht="38.25" x14ac:dyDescent="0.25">
      <c r="A741" s="286"/>
      <c r="B741" s="218"/>
      <c r="C741" s="22" t="s">
        <v>181</v>
      </c>
      <c r="D741" s="53">
        <v>817.4</v>
      </c>
      <c r="E741" s="53">
        <v>817.4</v>
      </c>
      <c r="F741" s="53">
        <v>660.2</v>
      </c>
      <c r="G741" s="53">
        <v>157.19999999999999</v>
      </c>
      <c r="H741" s="53">
        <v>157.19999999999999</v>
      </c>
      <c r="I741" s="54">
        <f t="shared" si="89"/>
        <v>0.80768289699045759</v>
      </c>
      <c r="J741" s="22" t="s">
        <v>1335</v>
      </c>
      <c r="K741" s="24" t="s">
        <v>19</v>
      </c>
      <c r="L741" s="24">
        <v>1</v>
      </c>
      <c r="M741" s="130">
        <v>1</v>
      </c>
      <c r="N741" s="22" t="s">
        <v>1334</v>
      </c>
      <c r="O741" s="25"/>
    </row>
    <row r="742" spans="1:15" x14ac:dyDescent="0.25">
      <c r="A742" s="286"/>
      <c r="B742" s="218"/>
      <c r="C742" s="22" t="s">
        <v>191</v>
      </c>
      <c r="D742" s="53">
        <v>3288.8</v>
      </c>
      <c r="E742" s="53">
        <v>3288.8</v>
      </c>
      <c r="F742" s="53">
        <v>2977.3</v>
      </c>
      <c r="G742" s="53">
        <v>311.5</v>
      </c>
      <c r="H742" s="53">
        <v>311.5</v>
      </c>
      <c r="I742" s="54">
        <f t="shared" si="89"/>
        <v>0.90528460228654828</v>
      </c>
      <c r="J742" s="22" t="s">
        <v>528</v>
      </c>
      <c r="K742" s="24" t="s">
        <v>25</v>
      </c>
      <c r="L742" s="24">
        <v>100</v>
      </c>
      <c r="M742" s="130">
        <v>100</v>
      </c>
      <c r="N742" s="22" t="s">
        <v>1334</v>
      </c>
      <c r="O742" s="25"/>
    </row>
    <row r="743" spans="1:15" x14ac:dyDescent="0.25">
      <c r="A743" s="286"/>
      <c r="B743" s="218"/>
      <c r="C743" s="22" t="s">
        <v>26</v>
      </c>
      <c r="D743" s="53">
        <v>405.8</v>
      </c>
      <c r="E743" s="53">
        <v>405.8</v>
      </c>
      <c r="F743" s="53">
        <v>61.2</v>
      </c>
      <c r="G743" s="53">
        <v>344.6</v>
      </c>
      <c r="H743" s="53">
        <v>344.6</v>
      </c>
      <c r="I743" s="54">
        <f t="shared" si="89"/>
        <v>0.15081320847708232</v>
      </c>
      <c r="J743" s="22"/>
      <c r="K743" s="24"/>
      <c r="L743" s="81"/>
      <c r="M743" s="82"/>
      <c r="N743" s="22"/>
      <c r="O743" s="25"/>
    </row>
    <row r="744" spans="1:15" ht="15.75" thickBot="1" x14ac:dyDescent="0.3">
      <c r="A744" s="287"/>
      <c r="B744" s="219"/>
      <c r="C744" s="22" t="s">
        <v>30</v>
      </c>
      <c r="D744" s="53">
        <v>1063.8</v>
      </c>
      <c r="E744" s="53">
        <v>1063.8</v>
      </c>
      <c r="F744" s="53">
        <v>1059.5999999999999</v>
      </c>
      <c r="G744" s="53">
        <v>4.3</v>
      </c>
      <c r="H744" s="53">
        <v>4.3</v>
      </c>
      <c r="I744" s="68">
        <f t="shared" si="89"/>
        <v>0.99605188945290468</v>
      </c>
      <c r="J744" s="22"/>
      <c r="K744" s="24"/>
      <c r="L744" s="81"/>
      <c r="M744" s="82"/>
      <c r="N744" s="22"/>
      <c r="O744" s="25"/>
    </row>
    <row r="745" spans="1:15" ht="39" thickBot="1" x14ac:dyDescent="0.3">
      <c r="A745" s="37" t="s">
        <v>1336</v>
      </c>
      <c r="B745" s="17" t="s">
        <v>1337</v>
      </c>
      <c r="C745" s="17"/>
      <c r="D745" s="51">
        <f>D746+D749</f>
        <v>21.099999999999998</v>
      </c>
      <c r="E745" s="51">
        <f>E746+E749</f>
        <v>21.099999999999998</v>
      </c>
      <c r="F745" s="51">
        <f>F746+F749</f>
        <v>20.8</v>
      </c>
      <c r="G745" s="51">
        <f>G746+G749</f>
        <v>0.30000000000000004</v>
      </c>
      <c r="H745" s="51">
        <f>H746+H749</f>
        <v>0.30000000000000004</v>
      </c>
      <c r="I745" s="62">
        <f t="shared" si="89"/>
        <v>0.9857819905213272</v>
      </c>
      <c r="J745" s="17" t="s">
        <v>1087</v>
      </c>
      <c r="K745" s="18" t="s">
        <v>280</v>
      </c>
      <c r="L745" s="18">
        <v>2</v>
      </c>
      <c r="M745" s="125">
        <v>2</v>
      </c>
      <c r="N745" s="17" t="s">
        <v>1338</v>
      </c>
      <c r="O745" s="19"/>
    </row>
    <row r="746" spans="1:15" ht="38.25" x14ac:dyDescent="0.25">
      <c r="A746" s="285" t="s">
        <v>1339</v>
      </c>
      <c r="B746" s="217" t="s">
        <v>1340</v>
      </c>
      <c r="C746" s="17"/>
      <c r="D746" s="51">
        <f>SUM(D747:D748)</f>
        <v>21.099999999999998</v>
      </c>
      <c r="E746" s="51">
        <f>SUM(E747:E748)</f>
        <v>21.099999999999998</v>
      </c>
      <c r="F746" s="51">
        <f>SUM(F747:F748)</f>
        <v>20.8</v>
      </c>
      <c r="G746" s="51">
        <f>SUM(G747:G748)+0.1</f>
        <v>0.30000000000000004</v>
      </c>
      <c r="H746" s="51">
        <f>SUM(H747:H748)+0.1</f>
        <v>0.30000000000000004</v>
      </c>
      <c r="I746" s="54">
        <f t="shared" si="89"/>
        <v>0.9857819905213272</v>
      </c>
      <c r="J746" s="17" t="s">
        <v>1087</v>
      </c>
      <c r="K746" s="18" t="s">
        <v>280</v>
      </c>
      <c r="L746" s="18">
        <v>2</v>
      </c>
      <c r="M746" s="125">
        <v>2</v>
      </c>
      <c r="N746" s="17" t="s">
        <v>1338</v>
      </c>
      <c r="O746" s="19"/>
    </row>
    <row r="747" spans="1:15" x14ac:dyDescent="0.25">
      <c r="A747" s="286"/>
      <c r="B747" s="218"/>
      <c r="C747" s="22" t="s">
        <v>30</v>
      </c>
      <c r="D747" s="53">
        <v>2.4</v>
      </c>
      <c r="E747" s="53">
        <v>2.4</v>
      </c>
      <c r="F747" s="53">
        <v>2.2999999999999998</v>
      </c>
      <c r="G747" s="53">
        <v>0</v>
      </c>
      <c r="H747" s="53">
        <v>0</v>
      </c>
      <c r="I747" s="54">
        <f t="shared" si="89"/>
        <v>0.95833333333333326</v>
      </c>
      <c r="J747" s="22"/>
      <c r="K747" s="24"/>
      <c r="L747" s="81"/>
      <c r="M747" s="82"/>
      <c r="N747" s="22"/>
      <c r="O747" s="25"/>
    </row>
    <row r="748" spans="1:15" ht="15.75" thickBot="1" x14ac:dyDescent="0.3">
      <c r="A748" s="287"/>
      <c r="B748" s="219"/>
      <c r="C748" s="22" t="s">
        <v>191</v>
      </c>
      <c r="D748" s="53">
        <v>18.7</v>
      </c>
      <c r="E748" s="53">
        <v>18.7</v>
      </c>
      <c r="F748" s="53">
        <v>18.5</v>
      </c>
      <c r="G748" s="53">
        <v>0.2</v>
      </c>
      <c r="H748" s="53">
        <v>0.2</v>
      </c>
      <c r="I748" s="54">
        <f t="shared" si="89"/>
        <v>0.98930481283422467</v>
      </c>
      <c r="J748" s="22"/>
      <c r="K748" s="24"/>
      <c r="L748" s="81"/>
      <c r="M748" s="82"/>
      <c r="N748" s="22"/>
      <c r="O748" s="25"/>
    </row>
    <row r="749" spans="1:15" ht="26.25" thickBot="1" x14ac:dyDescent="0.3">
      <c r="A749" s="15" t="s">
        <v>1341</v>
      </c>
      <c r="B749" s="16" t="s">
        <v>1342</v>
      </c>
      <c r="C749" s="17" t="s">
        <v>191</v>
      </c>
      <c r="D749" s="61"/>
      <c r="E749" s="61"/>
      <c r="F749" s="61"/>
      <c r="G749" s="61"/>
      <c r="H749" s="61"/>
      <c r="I749" s="69"/>
      <c r="J749" s="17"/>
      <c r="K749" s="18"/>
      <c r="L749" s="79"/>
      <c r="M749" s="80"/>
      <c r="N749" s="17"/>
      <c r="O749" s="19"/>
    </row>
    <row r="750" spans="1:15" ht="38.25" x14ac:dyDescent="0.25">
      <c r="A750" s="285" t="s">
        <v>1343</v>
      </c>
      <c r="B750" s="217" t="s">
        <v>1344</v>
      </c>
      <c r="C750" s="17"/>
      <c r="D750" s="51">
        <f>SUM(D751:D752)</f>
        <v>61</v>
      </c>
      <c r="E750" s="51">
        <f>SUM(E751:E752)</f>
        <v>61</v>
      </c>
      <c r="F750" s="51">
        <f>SUM(F751:F752)</f>
        <v>60.9</v>
      </c>
      <c r="G750" s="51">
        <f>SUM(G751:G752)</f>
        <v>0.1</v>
      </c>
      <c r="H750" s="51">
        <f>SUM(H751:H752)</f>
        <v>0.1</v>
      </c>
      <c r="I750" s="54">
        <f t="shared" ref="I750:I752" si="90">SUM(F750/E750)</f>
        <v>0.99836065573770494</v>
      </c>
      <c r="J750" s="17" t="s">
        <v>1345</v>
      </c>
      <c r="K750" s="18" t="s">
        <v>25</v>
      </c>
      <c r="L750" s="18">
        <v>100</v>
      </c>
      <c r="M750" s="125">
        <v>100</v>
      </c>
      <c r="N750" s="17" t="s">
        <v>1346</v>
      </c>
      <c r="O750" s="19"/>
    </row>
    <row r="751" spans="1:15" ht="51" x14ac:dyDescent="0.25">
      <c r="A751" s="286"/>
      <c r="B751" s="218"/>
      <c r="C751" s="22" t="s">
        <v>26</v>
      </c>
      <c r="D751" s="53">
        <v>50</v>
      </c>
      <c r="E751" s="53">
        <v>50</v>
      </c>
      <c r="F751" s="53">
        <v>50</v>
      </c>
      <c r="G751" s="53"/>
      <c r="H751" s="53"/>
      <c r="I751" s="54">
        <f t="shared" si="90"/>
        <v>1</v>
      </c>
      <c r="J751" s="22" t="s">
        <v>1347</v>
      </c>
      <c r="K751" s="24" t="s">
        <v>25</v>
      </c>
      <c r="L751" s="24">
        <v>100</v>
      </c>
      <c r="M751" s="130">
        <v>100</v>
      </c>
      <c r="N751" s="22" t="s">
        <v>1348</v>
      </c>
      <c r="O751" s="25"/>
    </row>
    <row r="752" spans="1:15" ht="15.75" thickBot="1" x14ac:dyDescent="0.3">
      <c r="A752" s="287"/>
      <c r="B752" s="219"/>
      <c r="C752" s="22" t="s">
        <v>30</v>
      </c>
      <c r="D752" s="53">
        <v>11</v>
      </c>
      <c r="E752" s="53">
        <v>11</v>
      </c>
      <c r="F752" s="53">
        <v>10.9</v>
      </c>
      <c r="G752" s="53">
        <v>0.1</v>
      </c>
      <c r="H752" s="53">
        <v>0.1</v>
      </c>
      <c r="I752" s="54">
        <f t="shared" si="90"/>
        <v>0.99090909090909096</v>
      </c>
      <c r="J752" s="22"/>
      <c r="K752" s="24"/>
      <c r="L752" s="81"/>
      <c r="M752" s="82"/>
      <c r="N752" s="22"/>
      <c r="O752" s="25"/>
    </row>
    <row r="753" spans="1:15" ht="39" thickBot="1" x14ac:dyDescent="0.3">
      <c r="A753" s="12" t="s">
        <v>1349</v>
      </c>
      <c r="B753" s="13" t="s">
        <v>1350</v>
      </c>
      <c r="C753" s="14"/>
      <c r="D753" s="49">
        <f>D754+D779+D798+D802+D803+D805+D810+D813</f>
        <v>47226.299999999996</v>
      </c>
      <c r="E753" s="49">
        <f>E754+E779+E798+E802+E803+E805+E810+E813</f>
        <v>47226.299999999996</v>
      </c>
      <c r="F753" s="49">
        <f>F754+F779+F798+F802+F803+F805+F810+F813</f>
        <v>45506.200000000004</v>
      </c>
      <c r="G753" s="49">
        <f>G754+G779+G798+G802+G803+G805+G810+G813</f>
        <v>1720.1</v>
      </c>
      <c r="H753" s="49">
        <f>H754+H779+H798+H802+H803+H805+H810+H813</f>
        <v>1720.1</v>
      </c>
      <c r="I753" s="66">
        <f>SUM(F753/E753)</f>
        <v>0.96357749813133797</v>
      </c>
      <c r="J753" s="263"/>
      <c r="K753" s="264"/>
      <c r="L753" s="264"/>
      <c r="M753" s="264"/>
      <c r="N753" s="264"/>
      <c r="O753" s="265"/>
    </row>
    <row r="754" spans="1:15" ht="38.25" x14ac:dyDescent="0.25">
      <c r="A754" s="285" t="s">
        <v>1351</v>
      </c>
      <c r="B754" s="217" t="s">
        <v>1352</v>
      </c>
      <c r="C754" s="17"/>
      <c r="D754" s="51">
        <f>D755+D756+D760+D762+D765+D767+D769+D770+D773+D774+D775+D777</f>
        <v>9182.9</v>
      </c>
      <c r="E754" s="51">
        <f>E755+E756+E760+E762+E765+E767+E769+E770+E773+E774+E775+E777</f>
        <v>9182.9</v>
      </c>
      <c r="F754" s="51">
        <f>F755+F756+F760+F762+F765+F767+F769+F770+F773+F774+F775+F777</f>
        <v>7996.6</v>
      </c>
      <c r="G754" s="51">
        <f>G755+G756+G760+G762+G765+G767+G769+G770+G773+G774+G775+G777</f>
        <v>1186.3</v>
      </c>
      <c r="H754" s="51">
        <f>H755+H756+H760+H762+H765+H767+H769+H770+H773+H774+H775+H777</f>
        <v>1186.3</v>
      </c>
      <c r="I754" s="54">
        <f t="shared" ref="I754" si="91">SUM(F754/E754)</f>
        <v>0.87081423079854958</v>
      </c>
      <c r="J754" s="17" t="s">
        <v>1353</v>
      </c>
      <c r="K754" s="18" t="s">
        <v>337</v>
      </c>
      <c r="L754" s="79">
        <v>17000</v>
      </c>
      <c r="M754" s="138">
        <v>19675</v>
      </c>
      <c r="N754" s="17" t="s">
        <v>1826</v>
      </c>
      <c r="O754" s="19"/>
    </row>
    <row r="755" spans="1:15" ht="15.75" thickBot="1" x14ac:dyDescent="0.3">
      <c r="A755" s="287"/>
      <c r="B755" s="219"/>
      <c r="C755" s="22"/>
      <c r="D755" s="53"/>
      <c r="E755" s="53"/>
      <c r="F755" s="53"/>
      <c r="G755" s="53"/>
      <c r="H755" s="53"/>
      <c r="I755" s="67"/>
      <c r="J755" s="22" t="s">
        <v>1354</v>
      </c>
      <c r="K755" s="24" t="s">
        <v>337</v>
      </c>
      <c r="L755" s="81">
        <v>1701</v>
      </c>
      <c r="M755" s="132">
        <v>1266</v>
      </c>
      <c r="N755" s="22"/>
      <c r="O755" s="25" t="s">
        <v>1376</v>
      </c>
    </row>
    <row r="756" spans="1:15" x14ac:dyDescent="0.25">
      <c r="A756" s="285" t="s">
        <v>1355</v>
      </c>
      <c r="B756" s="217" t="s">
        <v>1356</v>
      </c>
      <c r="C756" s="17"/>
      <c r="D756" s="51">
        <f>SUM(D757:D759)</f>
        <v>3320.4</v>
      </c>
      <c r="E756" s="51">
        <f>SUM(E757:E759)</f>
        <v>3320.4</v>
      </c>
      <c r="F756" s="51">
        <f>SUM(F757:F759)</f>
        <v>2987.6</v>
      </c>
      <c r="G756" s="51">
        <f>SUM(G757:G759)</f>
        <v>332.8</v>
      </c>
      <c r="H756" s="51">
        <f>SUM(H757:H759)</f>
        <v>332.8</v>
      </c>
      <c r="I756" s="54">
        <f t="shared" ref="I756:I773" si="92">SUM(F756/E756)</f>
        <v>0.8997711119142271</v>
      </c>
      <c r="J756" s="17" t="s">
        <v>1357</v>
      </c>
      <c r="K756" s="18" t="s">
        <v>337</v>
      </c>
      <c r="L756" s="79">
        <v>4000</v>
      </c>
      <c r="M756" s="126">
        <v>3783</v>
      </c>
      <c r="N756" s="17"/>
      <c r="O756" s="19" t="s">
        <v>1376</v>
      </c>
    </row>
    <row r="757" spans="1:15" x14ac:dyDescent="0.25">
      <c r="A757" s="286"/>
      <c r="B757" s="218"/>
      <c r="C757" s="22" t="s">
        <v>181</v>
      </c>
      <c r="D757" s="53">
        <v>705.4</v>
      </c>
      <c r="E757" s="53">
        <v>705.4</v>
      </c>
      <c r="F757" s="53">
        <v>583.5</v>
      </c>
      <c r="G757" s="53">
        <v>121.9</v>
      </c>
      <c r="H757" s="53">
        <v>121.9</v>
      </c>
      <c r="I757" s="54">
        <f t="shared" si="92"/>
        <v>0.82719024666855689</v>
      </c>
      <c r="J757" s="22"/>
      <c r="K757" s="24"/>
      <c r="L757" s="81"/>
      <c r="M757" s="81"/>
      <c r="N757" s="22"/>
      <c r="O757" s="25"/>
    </row>
    <row r="758" spans="1:15" x14ac:dyDescent="0.25">
      <c r="A758" s="286"/>
      <c r="B758" s="218"/>
      <c r="C758" s="22" t="s">
        <v>30</v>
      </c>
      <c r="D758" s="53">
        <v>2415</v>
      </c>
      <c r="E758" s="53">
        <v>2415</v>
      </c>
      <c r="F758" s="53">
        <v>2204.1</v>
      </c>
      <c r="G758" s="53">
        <v>210.9</v>
      </c>
      <c r="H758" s="53">
        <v>210.9</v>
      </c>
      <c r="I758" s="54">
        <f t="shared" si="92"/>
        <v>0.91267080745341611</v>
      </c>
      <c r="J758" s="22"/>
      <c r="K758" s="24"/>
      <c r="L758" s="81"/>
      <c r="M758" s="81"/>
      <c r="N758" s="22"/>
      <c r="O758" s="25"/>
    </row>
    <row r="759" spans="1:15" ht="15.75" thickBot="1" x14ac:dyDescent="0.3">
      <c r="A759" s="287"/>
      <c r="B759" s="219"/>
      <c r="C759" s="22" t="s">
        <v>26</v>
      </c>
      <c r="D759" s="53">
        <v>200</v>
      </c>
      <c r="E759" s="53">
        <v>200</v>
      </c>
      <c r="F759" s="53">
        <v>200</v>
      </c>
      <c r="G759" s="53"/>
      <c r="H759" s="53"/>
      <c r="I759" s="68">
        <f t="shared" si="92"/>
        <v>1</v>
      </c>
      <c r="J759" s="22"/>
      <c r="K759" s="24"/>
      <c r="L759" s="81"/>
      <c r="M759" s="81"/>
      <c r="N759" s="22"/>
      <c r="O759" s="25"/>
    </row>
    <row r="760" spans="1:15" x14ac:dyDescent="0.25">
      <c r="A760" s="285" t="s">
        <v>1358</v>
      </c>
      <c r="B760" s="217" t="s">
        <v>1359</v>
      </c>
      <c r="C760" s="17"/>
      <c r="D760" s="51">
        <f>SUM(D761:D761)</f>
        <v>2565</v>
      </c>
      <c r="E760" s="51">
        <f>SUM(E761:E761)</f>
        <v>2565</v>
      </c>
      <c r="F760" s="51">
        <f>SUM(F761:F761)</f>
        <v>2320.4</v>
      </c>
      <c r="G760" s="51">
        <f>SUM(G761:G761)</f>
        <v>244.6</v>
      </c>
      <c r="H760" s="51">
        <f>SUM(H761:H761)</f>
        <v>244.6</v>
      </c>
      <c r="I760" s="54">
        <f t="shared" si="92"/>
        <v>0.90463937621832358</v>
      </c>
      <c r="J760" s="17" t="s">
        <v>1357</v>
      </c>
      <c r="K760" s="18" t="s">
        <v>337</v>
      </c>
      <c r="L760" s="79">
        <v>8600</v>
      </c>
      <c r="M760" s="138">
        <v>15528</v>
      </c>
      <c r="N760" s="17"/>
      <c r="O760" s="19" t="s">
        <v>1376</v>
      </c>
    </row>
    <row r="761" spans="1:15" ht="15.75" thickBot="1" x14ac:dyDescent="0.3">
      <c r="A761" s="287"/>
      <c r="B761" s="219"/>
      <c r="C761" s="22" t="s">
        <v>30</v>
      </c>
      <c r="D761" s="53">
        <v>2565</v>
      </c>
      <c r="E761" s="53">
        <v>2565</v>
      </c>
      <c r="F761" s="53">
        <v>2320.4</v>
      </c>
      <c r="G761" s="53">
        <v>244.6</v>
      </c>
      <c r="H761" s="53">
        <v>244.6</v>
      </c>
      <c r="I761" s="68">
        <f t="shared" si="92"/>
        <v>0.90463937621832358</v>
      </c>
      <c r="J761" s="22"/>
      <c r="K761" s="24"/>
      <c r="L761" s="81"/>
      <c r="M761" s="81"/>
      <c r="N761" s="22"/>
      <c r="O761" s="25"/>
    </row>
    <row r="762" spans="1:15" x14ac:dyDescent="0.25">
      <c r="A762" s="285" t="s">
        <v>1360</v>
      </c>
      <c r="B762" s="217" t="s">
        <v>1361</v>
      </c>
      <c r="C762" s="17"/>
      <c r="D762" s="51">
        <f>SUM(D763:D764)</f>
        <v>68</v>
      </c>
      <c r="E762" s="51">
        <f>SUM(E763:E764)</f>
        <v>68</v>
      </c>
      <c r="F762" s="51">
        <f>SUM(F763:F764)</f>
        <v>54</v>
      </c>
      <c r="G762" s="51">
        <f>SUM(G763:G764)</f>
        <v>14</v>
      </c>
      <c r="H762" s="51">
        <f>SUM(H763:H764)</f>
        <v>14</v>
      </c>
      <c r="I762" s="54">
        <f t="shared" si="92"/>
        <v>0.79411764705882348</v>
      </c>
      <c r="J762" s="17" t="s">
        <v>1357</v>
      </c>
      <c r="K762" s="18" t="s">
        <v>337</v>
      </c>
      <c r="L762" s="79">
        <v>2200</v>
      </c>
      <c r="M762" s="138">
        <v>5730</v>
      </c>
      <c r="N762" s="17"/>
      <c r="O762" s="19" t="s">
        <v>1376</v>
      </c>
    </row>
    <row r="763" spans="1:15" x14ac:dyDescent="0.25">
      <c r="A763" s="286"/>
      <c r="B763" s="218"/>
      <c r="C763" s="22" t="s">
        <v>26</v>
      </c>
      <c r="D763" s="53">
        <v>18</v>
      </c>
      <c r="E763" s="53">
        <v>18</v>
      </c>
      <c r="F763" s="53">
        <v>18</v>
      </c>
      <c r="G763" s="53"/>
      <c r="H763" s="53"/>
      <c r="I763" s="54">
        <f t="shared" si="92"/>
        <v>1</v>
      </c>
      <c r="J763" s="22"/>
      <c r="K763" s="24"/>
      <c r="L763" s="81"/>
      <c r="M763" s="81"/>
      <c r="N763" s="22"/>
      <c r="O763" s="25"/>
    </row>
    <row r="764" spans="1:15" ht="15.75" thickBot="1" x14ac:dyDescent="0.3">
      <c r="A764" s="287"/>
      <c r="B764" s="219"/>
      <c r="C764" s="22" t="s">
        <v>30</v>
      </c>
      <c r="D764" s="53">
        <v>50</v>
      </c>
      <c r="E764" s="53">
        <v>50</v>
      </c>
      <c r="F764" s="53">
        <v>36</v>
      </c>
      <c r="G764" s="53">
        <v>14</v>
      </c>
      <c r="H764" s="53">
        <v>14</v>
      </c>
      <c r="I764" s="68">
        <f t="shared" si="92"/>
        <v>0.72</v>
      </c>
      <c r="J764" s="22"/>
      <c r="K764" s="24"/>
      <c r="L764" s="81"/>
      <c r="M764" s="81"/>
      <c r="N764" s="22"/>
      <c r="O764" s="25"/>
    </row>
    <row r="765" spans="1:15" x14ac:dyDescent="0.25">
      <c r="A765" s="285" t="s">
        <v>1362</v>
      </c>
      <c r="B765" s="217" t="s">
        <v>1363</v>
      </c>
      <c r="C765" s="17"/>
      <c r="D765" s="51">
        <f>SUM(D766:D766)</f>
        <v>60</v>
      </c>
      <c r="E765" s="51">
        <f>SUM(E766:E766)</f>
        <v>60</v>
      </c>
      <c r="F765" s="51">
        <f>SUM(F766:F766)</f>
        <v>31.7</v>
      </c>
      <c r="G765" s="51">
        <f>SUM(G766:G766)</f>
        <v>28.3</v>
      </c>
      <c r="H765" s="51">
        <f>SUM(H766:H766)</f>
        <v>28.3</v>
      </c>
      <c r="I765" s="54">
        <f t="shared" si="92"/>
        <v>0.52833333333333332</v>
      </c>
      <c r="J765" s="17" t="s">
        <v>1357</v>
      </c>
      <c r="K765" s="18" t="s">
        <v>337</v>
      </c>
      <c r="L765" s="79">
        <v>1500</v>
      </c>
      <c r="M765" s="138">
        <v>2701</v>
      </c>
      <c r="N765" s="17"/>
      <c r="O765" s="19" t="s">
        <v>1376</v>
      </c>
    </row>
    <row r="766" spans="1:15" ht="15.75" thickBot="1" x14ac:dyDescent="0.3">
      <c r="A766" s="287"/>
      <c r="B766" s="219"/>
      <c r="C766" s="22" t="s">
        <v>26</v>
      </c>
      <c r="D766" s="53">
        <v>60</v>
      </c>
      <c r="E766" s="53">
        <v>60</v>
      </c>
      <c r="F766" s="53">
        <v>31.7</v>
      </c>
      <c r="G766" s="53">
        <v>28.3</v>
      </c>
      <c r="H766" s="53">
        <v>28.3</v>
      </c>
      <c r="I766" s="68">
        <f t="shared" si="92"/>
        <v>0.52833333333333332</v>
      </c>
      <c r="J766" s="22"/>
      <c r="K766" s="24"/>
      <c r="L766" s="81"/>
      <c r="M766" s="81"/>
      <c r="N766" s="22"/>
      <c r="O766" s="25"/>
    </row>
    <row r="767" spans="1:15" ht="63.75" customHeight="1" x14ac:dyDescent="0.25">
      <c r="A767" s="285" t="s">
        <v>1364</v>
      </c>
      <c r="B767" s="217" t="s">
        <v>1365</v>
      </c>
      <c r="C767" s="17"/>
      <c r="D767" s="51">
        <f>SUM(D768:D768)</f>
        <v>170</v>
      </c>
      <c r="E767" s="51">
        <f>SUM(E768:E768)</f>
        <v>170</v>
      </c>
      <c r="F767" s="51">
        <f>SUM(F768:F768)</f>
        <v>134.69999999999999</v>
      </c>
      <c r="G767" s="51">
        <f>SUM(G768:G768)</f>
        <v>35.299999999999997</v>
      </c>
      <c r="H767" s="51">
        <f>SUM(H768:H768)</f>
        <v>35.299999999999997</v>
      </c>
      <c r="I767" s="54">
        <f t="shared" si="92"/>
        <v>0.79235294117647048</v>
      </c>
      <c r="J767" s="17" t="s">
        <v>1357</v>
      </c>
      <c r="K767" s="18" t="s">
        <v>337</v>
      </c>
      <c r="L767" s="18">
        <v>190</v>
      </c>
      <c r="M767" s="138">
        <v>317</v>
      </c>
      <c r="N767" s="17"/>
      <c r="O767" s="19" t="s">
        <v>1376</v>
      </c>
    </row>
    <row r="768" spans="1:15" ht="15.75" thickBot="1" x14ac:dyDescent="0.3">
      <c r="A768" s="287"/>
      <c r="B768" s="219"/>
      <c r="C768" s="22" t="s">
        <v>26</v>
      </c>
      <c r="D768" s="53">
        <v>170</v>
      </c>
      <c r="E768" s="53">
        <v>170</v>
      </c>
      <c r="F768" s="53">
        <v>134.69999999999999</v>
      </c>
      <c r="G768" s="53">
        <v>35.299999999999997</v>
      </c>
      <c r="H768" s="53">
        <v>35.299999999999997</v>
      </c>
      <c r="I768" s="68">
        <f t="shared" si="92"/>
        <v>0.79235294117647048</v>
      </c>
      <c r="J768" s="22"/>
      <c r="K768" s="24"/>
      <c r="L768" s="81"/>
      <c r="M768" s="81"/>
      <c r="N768" s="22"/>
      <c r="O768" s="25"/>
    </row>
    <row r="769" spans="1:15" ht="26.25" thickBot="1" x14ac:dyDescent="0.3">
      <c r="A769" s="15" t="s">
        <v>1366</v>
      </c>
      <c r="B769" s="16" t="s">
        <v>1367</v>
      </c>
      <c r="C769" s="17" t="s">
        <v>755</v>
      </c>
      <c r="D769" s="61">
        <v>693.5</v>
      </c>
      <c r="E769" s="61">
        <v>693.5</v>
      </c>
      <c r="F769" s="61">
        <v>495</v>
      </c>
      <c r="G769" s="61">
        <v>198.5</v>
      </c>
      <c r="H769" s="61">
        <v>198.5</v>
      </c>
      <c r="I769" s="62">
        <f t="shared" si="92"/>
        <v>0.71377072819033882</v>
      </c>
      <c r="J769" s="17" t="s">
        <v>1357</v>
      </c>
      <c r="K769" s="18" t="s">
        <v>337</v>
      </c>
      <c r="L769" s="79">
        <v>1900</v>
      </c>
      <c r="M769" s="126">
        <v>1266</v>
      </c>
      <c r="N769" s="17"/>
      <c r="O769" s="19" t="s">
        <v>1376</v>
      </c>
    </row>
    <row r="770" spans="1:15" x14ac:dyDescent="0.25">
      <c r="A770" s="285" t="s">
        <v>1368</v>
      </c>
      <c r="B770" s="217" t="s">
        <v>1369</v>
      </c>
      <c r="C770" s="17"/>
      <c r="D770" s="51">
        <f>SUM(D771:D772)</f>
        <v>1345</v>
      </c>
      <c r="E770" s="51">
        <f>SUM(E771:E772)</f>
        <v>1345</v>
      </c>
      <c r="F770" s="51">
        <f>SUM(F771:F772)</f>
        <v>1130.0999999999999</v>
      </c>
      <c r="G770" s="51">
        <f>SUM(G771:G772)</f>
        <v>214.9</v>
      </c>
      <c r="H770" s="51">
        <f>SUM(H771:H772)</f>
        <v>214.9</v>
      </c>
      <c r="I770" s="54">
        <f t="shared" si="92"/>
        <v>0.84022304832713746</v>
      </c>
      <c r="J770" s="17" t="s">
        <v>1357</v>
      </c>
      <c r="K770" s="18" t="s">
        <v>337</v>
      </c>
      <c r="L770" s="18">
        <v>500</v>
      </c>
      <c r="M770" s="138">
        <v>3969</v>
      </c>
      <c r="N770" s="17"/>
      <c r="O770" s="19" t="s">
        <v>1376</v>
      </c>
    </row>
    <row r="771" spans="1:15" x14ac:dyDescent="0.25">
      <c r="A771" s="286"/>
      <c r="B771" s="218"/>
      <c r="C771" s="22" t="s">
        <v>30</v>
      </c>
      <c r="D771" s="53">
        <v>1045</v>
      </c>
      <c r="E771" s="53">
        <v>1045</v>
      </c>
      <c r="F771" s="53">
        <v>830.1</v>
      </c>
      <c r="G771" s="53">
        <v>214.9</v>
      </c>
      <c r="H771" s="53">
        <v>214.9</v>
      </c>
      <c r="I771" s="54">
        <f t="shared" si="92"/>
        <v>0.79435406698564592</v>
      </c>
      <c r="J771" s="22"/>
      <c r="K771" s="24"/>
      <c r="L771" s="81"/>
      <c r="M771" s="81"/>
      <c r="N771" s="22"/>
      <c r="O771" s="25"/>
    </row>
    <row r="772" spans="1:15" ht="15.75" thickBot="1" x14ac:dyDescent="0.3">
      <c r="A772" s="287"/>
      <c r="B772" s="219"/>
      <c r="C772" s="22" t="s">
        <v>26</v>
      </c>
      <c r="D772" s="53">
        <v>300</v>
      </c>
      <c r="E772" s="53">
        <v>300</v>
      </c>
      <c r="F772" s="53">
        <v>300</v>
      </c>
      <c r="G772" s="53"/>
      <c r="H772" s="53"/>
      <c r="I772" s="68">
        <f t="shared" si="92"/>
        <v>1</v>
      </c>
      <c r="J772" s="22"/>
      <c r="K772" s="24"/>
      <c r="L772" s="81"/>
      <c r="M772" s="81"/>
      <c r="N772" s="22"/>
      <c r="O772" s="25"/>
    </row>
    <row r="773" spans="1:15" ht="39" thickBot="1" x14ac:dyDescent="0.3">
      <c r="A773" s="15" t="s">
        <v>1370</v>
      </c>
      <c r="B773" s="16" t="s">
        <v>1371</v>
      </c>
      <c r="C773" s="17" t="s">
        <v>755</v>
      </c>
      <c r="D773" s="61">
        <v>41</v>
      </c>
      <c r="E773" s="61">
        <v>41</v>
      </c>
      <c r="F773" s="61">
        <v>12.6</v>
      </c>
      <c r="G773" s="61">
        <v>28.4</v>
      </c>
      <c r="H773" s="61">
        <v>28.4</v>
      </c>
      <c r="I773" s="54">
        <f t="shared" si="92"/>
        <v>0.3073170731707317</v>
      </c>
      <c r="J773" s="17" t="s">
        <v>1357</v>
      </c>
      <c r="K773" s="18" t="s">
        <v>337</v>
      </c>
      <c r="L773" s="18">
        <v>20</v>
      </c>
      <c r="M773" s="126">
        <v>8</v>
      </c>
      <c r="N773" s="17"/>
      <c r="O773" s="19" t="s">
        <v>1826</v>
      </c>
    </row>
    <row r="774" spans="1:15" ht="39" thickBot="1" x14ac:dyDescent="0.3">
      <c r="A774" s="15" t="s">
        <v>1372</v>
      </c>
      <c r="B774" s="16" t="s">
        <v>1373</v>
      </c>
      <c r="C774" s="17" t="s">
        <v>165</v>
      </c>
      <c r="D774" s="61"/>
      <c r="E774" s="61"/>
      <c r="F774" s="61"/>
      <c r="G774" s="61"/>
      <c r="H774" s="61"/>
      <c r="I774" s="69"/>
      <c r="J774" s="17" t="s">
        <v>1357</v>
      </c>
      <c r="K774" s="18" t="s">
        <v>337</v>
      </c>
      <c r="L774" s="18">
        <v>0</v>
      </c>
      <c r="M774" s="79">
        <v>0</v>
      </c>
      <c r="N774" s="17"/>
      <c r="O774" s="19"/>
    </row>
    <row r="775" spans="1:15" ht="93" customHeight="1" x14ac:dyDescent="0.25">
      <c r="A775" s="285" t="s">
        <v>1374</v>
      </c>
      <c r="B775" s="217" t="s">
        <v>1375</v>
      </c>
      <c r="C775" s="17"/>
      <c r="D775" s="51">
        <f>SUM(D776:D776)</f>
        <v>850</v>
      </c>
      <c r="E775" s="51">
        <f>SUM(E776:E776)</f>
        <v>850</v>
      </c>
      <c r="F775" s="51">
        <f>SUM(F776:F776)</f>
        <v>807.1</v>
      </c>
      <c r="G775" s="51">
        <f>SUM(G776:G776)</f>
        <v>42.9</v>
      </c>
      <c r="H775" s="51">
        <f>SUM(H776:H776)</f>
        <v>42.9</v>
      </c>
      <c r="I775" s="54">
        <f t="shared" ref="I775:I779" si="93">SUM(F775/E775)</f>
        <v>0.94952941176470596</v>
      </c>
      <c r="J775" s="17" t="s">
        <v>1357</v>
      </c>
      <c r="K775" s="18" t="s">
        <v>337</v>
      </c>
      <c r="L775" s="79">
        <v>1050</v>
      </c>
      <c r="M775" s="126">
        <v>959</v>
      </c>
      <c r="N775" s="17"/>
      <c r="O775" s="19" t="s">
        <v>1826</v>
      </c>
    </row>
    <row r="776" spans="1:15" ht="15.75" thickBot="1" x14ac:dyDescent="0.3">
      <c r="A776" s="287"/>
      <c r="B776" s="219"/>
      <c r="C776" s="22" t="s">
        <v>181</v>
      </c>
      <c r="D776" s="53">
        <v>850</v>
      </c>
      <c r="E776" s="53">
        <v>850</v>
      </c>
      <c r="F776" s="53">
        <v>807.1</v>
      </c>
      <c r="G776" s="53">
        <v>42.9</v>
      </c>
      <c r="H776" s="53">
        <v>42.9</v>
      </c>
      <c r="I776" s="68">
        <f t="shared" si="93"/>
        <v>0.94952941176470596</v>
      </c>
      <c r="J776" s="22"/>
      <c r="K776" s="24"/>
      <c r="L776" s="81"/>
      <c r="M776" s="81"/>
      <c r="N776" s="22"/>
      <c r="O776" s="25"/>
    </row>
    <row r="777" spans="1:15" ht="114.75" customHeight="1" x14ac:dyDescent="0.25">
      <c r="A777" s="285" t="s">
        <v>1377</v>
      </c>
      <c r="B777" s="217" t="s">
        <v>1378</v>
      </c>
      <c r="C777" s="17"/>
      <c r="D777" s="51">
        <f>SUM(D778:D778)</f>
        <v>70</v>
      </c>
      <c r="E777" s="51">
        <f>SUM(E778:E778)</f>
        <v>70</v>
      </c>
      <c r="F777" s="51">
        <f>SUM(F778:F778)</f>
        <v>23.4</v>
      </c>
      <c r="G777" s="51">
        <f>SUM(G778:G778)</f>
        <v>46.6</v>
      </c>
      <c r="H777" s="51">
        <f>SUM(H778:H778)</f>
        <v>46.6</v>
      </c>
      <c r="I777" s="54">
        <f t="shared" si="93"/>
        <v>0.33428571428571424</v>
      </c>
      <c r="J777" s="17" t="s">
        <v>1357</v>
      </c>
      <c r="K777" s="18" t="s">
        <v>337</v>
      </c>
      <c r="L777" s="18">
        <v>140</v>
      </c>
      <c r="M777" s="126">
        <v>80</v>
      </c>
      <c r="N777" s="17"/>
      <c r="O777" s="19" t="s">
        <v>1826</v>
      </c>
    </row>
    <row r="778" spans="1:15" ht="15.75" thickBot="1" x14ac:dyDescent="0.3">
      <c r="A778" s="287"/>
      <c r="B778" s="219"/>
      <c r="C778" s="22" t="s">
        <v>181</v>
      </c>
      <c r="D778" s="53">
        <v>70</v>
      </c>
      <c r="E778" s="53">
        <v>70</v>
      </c>
      <c r="F778" s="53">
        <v>23.4</v>
      </c>
      <c r="G778" s="53">
        <v>46.6</v>
      </c>
      <c r="H778" s="53">
        <v>46.6</v>
      </c>
      <c r="I778" s="68">
        <f t="shared" si="93"/>
        <v>0.33428571428571424</v>
      </c>
      <c r="J778" s="22"/>
      <c r="K778" s="24"/>
      <c r="L778" s="81"/>
      <c r="M778" s="81"/>
      <c r="N778" s="22"/>
      <c r="O778" s="25"/>
    </row>
    <row r="779" spans="1:15" x14ac:dyDescent="0.25">
      <c r="A779" s="285" t="s">
        <v>1379</v>
      </c>
      <c r="B779" s="217" t="s">
        <v>1380</v>
      </c>
      <c r="C779" s="17"/>
      <c r="D779" s="51">
        <f>D780+D781+D782+D784+D785+D786+D787+D788+D789+D790+D791+D792+D793+D794+D796+D797</f>
        <v>24747.599999999999</v>
      </c>
      <c r="E779" s="51">
        <f>E780+E781+E782+E784+E785+E786+E787+E788+E789+E790+E791+E792+E793+E794+E796+E797</f>
        <v>24747.599999999999</v>
      </c>
      <c r="F779" s="51">
        <f>F780+F781+F782+F784+F785+F786+F787+F788+F789+F790+F791+F792+F793+F794+F796+F797</f>
        <v>24383.900000000005</v>
      </c>
      <c r="G779" s="51">
        <f>G780+G781+G782+G784+G785+G786+G787+G788+G789+G790+G791+G792+G793+G794+G796+G797</f>
        <v>363.7000000000001</v>
      </c>
      <c r="H779" s="51">
        <f>H780+H781+H782+H784+H785+H786+H787+H788+H789+H790+H791+H792+H793+H794+H796+H797</f>
        <v>363.7000000000001</v>
      </c>
      <c r="I779" s="54">
        <f t="shared" si="93"/>
        <v>0.9853036254020594</v>
      </c>
      <c r="J779" s="17" t="s">
        <v>1357</v>
      </c>
      <c r="K779" s="18" t="s">
        <v>337</v>
      </c>
      <c r="L779" s="79">
        <v>19000</v>
      </c>
      <c r="M779" s="138">
        <v>20611</v>
      </c>
      <c r="N779" s="17"/>
      <c r="O779" s="19" t="s">
        <v>1376</v>
      </c>
    </row>
    <row r="780" spans="1:15" ht="15.75" thickBot="1" x14ac:dyDescent="0.3">
      <c r="A780" s="287"/>
      <c r="B780" s="219"/>
      <c r="C780" s="22"/>
      <c r="D780" s="53"/>
      <c r="E780" s="53"/>
      <c r="F780" s="53"/>
      <c r="G780" s="53"/>
      <c r="H780" s="53"/>
      <c r="I780" s="67"/>
      <c r="J780" s="22" t="s">
        <v>1381</v>
      </c>
      <c r="K780" s="24" t="s">
        <v>337</v>
      </c>
      <c r="L780" s="24">
        <v>33</v>
      </c>
      <c r="M780" s="120">
        <v>38</v>
      </c>
      <c r="N780" s="22"/>
      <c r="O780" s="25"/>
    </row>
    <row r="781" spans="1:15" ht="26.25" thickBot="1" x14ac:dyDescent="0.3">
      <c r="A781" s="37" t="s">
        <v>1382</v>
      </c>
      <c r="B781" s="17" t="s">
        <v>1383</v>
      </c>
      <c r="C781" s="17" t="s">
        <v>165</v>
      </c>
      <c r="D781" s="61">
        <v>556.6</v>
      </c>
      <c r="E781" s="61">
        <v>556.6</v>
      </c>
      <c r="F781" s="61">
        <v>402.6</v>
      </c>
      <c r="G781" s="61">
        <v>154</v>
      </c>
      <c r="H781" s="61">
        <v>154</v>
      </c>
      <c r="I781" s="62">
        <f t="shared" ref="I781:I792" si="94">SUM(F781/E781)</f>
        <v>0.72332015810276684</v>
      </c>
      <c r="J781" s="17" t="s">
        <v>1357</v>
      </c>
      <c r="K781" s="18" t="s">
        <v>337</v>
      </c>
      <c r="L781" s="79">
        <v>1100</v>
      </c>
      <c r="M781" s="126">
        <v>752</v>
      </c>
      <c r="N781" s="17"/>
      <c r="O781" s="19" t="s">
        <v>1827</v>
      </c>
    </row>
    <row r="782" spans="1:15" ht="25.5" x14ac:dyDescent="0.25">
      <c r="A782" s="285" t="s">
        <v>1384</v>
      </c>
      <c r="B782" s="217" t="s">
        <v>1385</v>
      </c>
      <c r="C782" s="17"/>
      <c r="D782" s="51">
        <f>SUM(D783:D783)</f>
        <v>21719.1</v>
      </c>
      <c r="E782" s="51">
        <f>SUM(E783:E783)</f>
        <v>21719.1</v>
      </c>
      <c r="F782" s="51">
        <f>SUM(F783:F783)</f>
        <v>21789.7</v>
      </c>
      <c r="G782" s="51">
        <f>SUM(G783:G783)</f>
        <v>-70.599999999999994</v>
      </c>
      <c r="H782" s="51">
        <f>SUM(H783:H783)</f>
        <v>-70.599999999999994</v>
      </c>
      <c r="I782" s="54">
        <f t="shared" si="94"/>
        <v>1.0032505950983237</v>
      </c>
      <c r="J782" s="17" t="s">
        <v>1357</v>
      </c>
      <c r="K782" s="18" t="s">
        <v>337</v>
      </c>
      <c r="L782" s="79">
        <v>19600</v>
      </c>
      <c r="M782" s="126">
        <v>18777</v>
      </c>
      <c r="N782" s="17"/>
      <c r="O782" s="19" t="s">
        <v>1827</v>
      </c>
    </row>
    <row r="783" spans="1:15" ht="15.75" thickBot="1" x14ac:dyDescent="0.3">
      <c r="A783" s="287"/>
      <c r="B783" s="219"/>
      <c r="C783" s="22" t="s">
        <v>165</v>
      </c>
      <c r="D783" s="53">
        <v>21719.1</v>
      </c>
      <c r="E783" s="53">
        <v>21719.1</v>
      </c>
      <c r="F783" s="53">
        <v>21789.7</v>
      </c>
      <c r="G783" s="53">
        <v>-70.599999999999994</v>
      </c>
      <c r="H783" s="53">
        <v>-70.599999999999994</v>
      </c>
      <c r="I783" s="68">
        <f t="shared" si="94"/>
        <v>1.0032505950983237</v>
      </c>
      <c r="J783" s="22"/>
      <c r="K783" s="24"/>
      <c r="L783" s="81"/>
      <c r="M783" s="81"/>
      <c r="N783" s="22"/>
      <c r="O783" s="25"/>
    </row>
    <row r="784" spans="1:15" ht="26.25" thickBot="1" x14ac:dyDescent="0.3">
      <c r="A784" s="15" t="s">
        <v>1386</v>
      </c>
      <c r="B784" s="16" t="s">
        <v>1387</v>
      </c>
      <c r="C784" s="17" t="s">
        <v>165</v>
      </c>
      <c r="D784" s="61">
        <v>2.4</v>
      </c>
      <c r="E784" s="61">
        <v>2.4</v>
      </c>
      <c r="F784" s="61">
        <v>0.1</v>
      </c>
      <c r="G784" s="61">
        <v>2.2999999999999998</v>
      </c>
      <c r="H784" s="61">
        <v>2.2999999999999998</v>
      </c>
      <c r="I784" s="62">
        <f t="shared" si="94"/>
        <v>4.1666666666666671E-2</v>
      </c>
      <c r="J784" s="17" t="s">
        <v>1357</v>
      </c>
      <c r="K784" s="18" t="s">
        <v>337</v>
      </c>
      <c r="L784" s="18">
        <v>1</v>
      </c>
      <c r="M784" s="127">
        <v>1</v>
      </c>
      <c r="N784" s="17"/>
      <c r="O784" s="19"/>
    </row>
    <row r="785" spans="1:15" ht="26.25" thickBot="1" x14ac:dyDescent="0.3">
      <c r="A785" s="15" t="s">
        <v>1388</v>
      </c>
      <c r="B785" s="16" t="s">
        <v>1389</v>
      </c>
      <c r="C785" s="17" t="s">
        <v>165</v>
      </c>
      <c r="D785" s="61">
        <v>47</v>
      </c>
      <c r="E785" s="61">
        <v>47</v>
      </c>
      <c r="F785" s="61">
        <v>30.4</v>
      </c>
      <c r="G785" s="61">
        <v>16.600000000000001</v>
      </c>
      <c r="H785" s="61">
        <v>16.600000000000001</v>
      </c>
      <c r="I785" s="62">
        <f t="shared" si="94"/>
        <v>0.64680851063829781</v>
      </c>
      <c r="J785" s="17" t="s">
        <v>1357</v>
      </c>
      <c r="K785" s="18" t="s">
        <v>337</v>
      </c>
      <c r="L785" s="18">
        <v>160</v>
      </c>
      <c r="M785" s="126">
        <v>97</v>
      </c>
      <c r="N785" s="17"/>
      <c r="O785" s="19" t="s">
        <v>1827</v>
      </c>
    </row>
    <row r="786" spans="1:15" ht="26.25" thickBot="1" x14ac:dyDescent="0.3">
      <c r="A786" s="15" t="s">
        <v>1390</v>
      </c>
      <c r="B786" s="16" t="s">
        <v>1391</v>
      </c>
      <c r="C786" s="17" t="s">
        <v>165</v>
      </c>
      <c r="D786" s="61">
        <v>1248.4000000000001</v>
      </c>
      <c r="E786" s="61">
        <v>1248.4000000000001</v>
      </c>
      <c r="F786" s="61">
        <v>1112.2</v>
      </c>
      <c r="G786" s="61">
        <v>136.19999999999999</v>
      </c>
      <c r="H786" s="61">
        <v>136.19999999999999</v>
      </c>
      <c r="I786" s="62">
        <f t="shared" si="94"/>
        <v>0.89090035245113741</v>
      </c>
      <c r="J786" s="17" t="s">
        <v>1357</v>
      </c>
      <c r="K786" s="18" t="s">
        <v>337</v>
      </c>
      <c r="L786" s="18">
        <v>442</v>
      </c>
      <c r="M786" s="138">
        <v>454</v>
      </c>
      <c r="N786" s="17"/>
      <c r="O786" s="19" t="s">
        <v>1376</v>
      </c>
    </row>
    <row r="787" spans="1:15" ht="26.25" thickBot="1" x14ac:dyDescent="0.3">
      <c r="A787" s="15" t="s">
        <v>1392</v>
      </c>
      <c r="B787" s="16" t="s">
        <v>1393</v>
      </c>
      <c r="C787" s="17" t="s">
        <v>165</v>
      </c>
      <c r="D787" s="61">
        <v>140</v>
      </c>
      <c r="E787" s="61">
        <v>140</v>
      </c>
      <c r="F787" s="61">
        <v>118.7</v>
      </c>
      <c r="G787" s="61">
        <v>21.3</v>
      </c>
      <c r="H787" s="61">
        <v>21.3</v>
      </c>
      <c r="I787" s="62">
        <f t="shared" si="94"/>
        <v>0.84785714285714286</v>
      </c>
      <c r="J787" s="17" t="s">
        <v>1357</v>
      </c>
      <c r="K787" s="18" t="s">
        <v>337</v>
      </c>
      <c r="L787" s="18">
        <v>35</v>
      </c>
      <c r="M787" s="138">
        <v>64</v>
      </c>
      <c r="N787" s="17"/>
      <c r="O787" s="19" t="s">
        <v>1376</v>
      </c>
    </row>
    <row r="788" spans="1:15" ht="26.25" thickBot="1" x14ac:dyDescent="0.3">
      <c r="A788" s="15" t="s">
        <v>1394</v>
      </c>
      <c r="B788" s="16" t="s">
        <v>1395</v>
      </c>
      <c r="C788" s="17" t="s">
        <v>165</v>
      </c>
      <c r="D788" s="61">
        <v>656.6</v>
      </c>
      <c r="E788" s="61">
        <v>656.6</v>
      </c>
      <c r="F788" s="61">
        <v>608.79999999999995</v>
      </c>
      <c r="G788" s="61">
        <v>47.8</v>
      </c>
      <c r="H788" s="61">
        <v>47.8</v>
      </c>
      <c r="I788" s="62">
        <f t="shared" si="94"/>
        <v>0.92720073103868406</v>
      </c>
      <c r="J788" s="17" t="s">
        <v>1357</v>
      </c>
      <c r="K788" s="18" t="s">
        <v>337</v>
      </c>
      <c r="L788" s="18">
        <v>310</v>
      </c>
      <c r="M788" s="138">
        <v>316</v>
      </c>
      <c r="N788" s="17"/>
      <c r="O788" s="19" t="s">
        <v>1376</v>
      </c>
    </row>
    <row r="789" spans="1:15" ht="39" thickBot="1" x14ac:dyDescent="0.3">
      <c r="A789" s="15" t="s">
        <v>1396</v>
      </c>
      <c r="B789" s="16" t="s">
        <v>1397</v>
      </c>
      <c r="C789" s="17" t="s">
        <v>165</v>
      </c>
      <c r="D789" s="61">
        <v>78</v>
      </c>
      <c r="E789" s="61">
        <v>78</v>
      </c>
      <c r="F789" s="61">
        <v>68.400000000000006</v>
      </c>
      <c r="G789" s="61">
        <v>9.6</v>
      </c>
      <c r="H789" s="61">
        <v>9.6</v>
      </c>
      <c r="I789" s="62">
        <f t="shared" si="94"/>
        <v>0.87692307692307703</v>
      </c>
      <c r="J789" s="17" t="s">
        <v>1357</v>
      </c>
      <c r="K789" s="18" t="s">
        <v>337</v>
      </c>
      <c r="L789" s="18">
        <v>30</v>
      </c>
      <c r="M789" s="126">
        <v>28</v>
      </c>
      <c r="N789" s="17"/>
      <c r="O789" s="19" t="s">
        <v>1827</v>
      </c>
    </row>
    <row r="790" spans="1:15" ht="26.25" thickBot="1" x14ac:dyDescent="0.3">
      <c r="A790" s="15" t="s">
        <v>1398</v>
      </c>
      <c r="B790" s="16" t="s">
        <v>1399</v>
      </c>
      <c r="C790" s="17" t="s">
        <v>165</v>
      </c>
      <c r="D790" s="61">
        <v>85</v>
      </c>
      <c r="E790" s="61">
        <v>85</v>
      </c>
      <c r="F790" s="61">
        <v>67.2</v>
      </c>
      <c r="G790" s="61">
        <v>17.8</v>
      </c>
      <c r="H790" s="61">
        <v>17.8</v>
      </c>
      <c r="I790" s="62">
        <f t="shared" si="94"/>
        <v>0.7905882352941177</v>
      </c>
      <c r="J790" s="17" t="s">
        <v>1357</v>
      </c>
      <c r="K790" s="18" t="s">
        <v>337</v>
      </c>
      <c r="L790" s="18">
        <v>80</v>
      </c>
      <c r="M790" s="126">
        <v>75</v>
      </c>
      <c r="N790" s="17"/>
      <c r="O790" s="19" t="s">
        <v>1827</v>
      </c>
    </row>
    <row r="791" spans="1:15" ht="26.25" thickBot="1" x14ac:dyDescent="0.3">
      <c r="A791" s="15" t="s">
        <v>1400</v>
      </c>
      <c r="B791" s="16" t="s">
        <v>1401</v>
      </c>
      <c r="C791" s="17" t="s">
        <v>165</v>
      </c>
      <c r="D791" s="61">
        <v>10.5</v>
      </c>
      <c r="E791" s="61">
        <v>10.5</v>
      </c>
      <c r="F791" s="61">
        <v>4.7</v>
      </c>
      <c r="G791" s="61">
        <v>5.8</v>
      </c>
      <c r="H791" s="61">
        <v>5.8</v>
      </c>
      <c r="I791" s="62">
        <f t="shared" si="94"/>
        <v>0.44761904761904764</v>
      </c>
      <c r="J791" s="17" t="s">
        <v>1357</v>
      </c>
      <c r="K791" s="18" t="s">
        <v>337</v>
      </c>
      <c r="L791" s="18">
        <v>3</v>
      </c>
      <c r="M791" s="127">
        <v>3</v>
      </c>
      <c r="N791" s="17"/>
      <c r="O791" s="19" t="s">
        <v>1376</v>
      </c>
    </row>
    <row r="792" spans="1:15" ht="25.5" customHeight="1" thickBot="1" x14ac:dyDescent="0.3">
      <c r="A792" s="15" t="s">
        <v>1402</v>
      </c>
      <c r="B792" s="16" t="s">
        <v>1403</v>
      </c>
      <c r="C792" s="17" t="s">
        <v>165</v>
      </c>
      <c r="D792" s="61">
        <v>32</v>
      </c>
      <c r="E792" s="61">
        <v>32</v>
      </c>
      <c r="F792" s="61">
        <v>12.9</v>
      </c>
      <c r="G792" s="61">
        <v>19.100000000000001</v>
      </c>
      <c r="H792" s="61">
        <v>19.100000000000001</v>
      </c>
      <c r="I792" s="54">
        <f t="shared" si="94"/>
        <v>0.40312500000000001</v>
      </c>
      <c r="J792" s="17" t="s">
        <v>1357</v>
      </c>
      <c r="K792" s="18" t="s">
        <v>337</v>
      </c>
      <c r="L792" s="18">
        <v>28</v>
      </c>
      <c r="M792" s="138">
        <v>44</v>
      </c>
      <c r="N792" s="17"/>
      <c r="O792" s="19" t="s">
        <v>1376</v>
      </c>
    </row>
    <row r="793" spans="1:15" ht="56.25" hidden="1" customHeight="1" thickBot="1" x14ac:dyDescent="0.3">
      <c r="A793" s="15" t="s">
        <v>1404</v>
      </c>
      <c r="B793" s="16" t="s">
        <v>1405</v>
      </c>
      <c r="C793" s="17" t="s">
        <v>165</v>
      </c>
      <c r="D793" s="61"/>
      <c r="E793" s="61"/>
      <c r="F793" s="61"/>
      <c r="G793" s="61"/>
      <c r="H793" s="61"/>
      <c r="I793" s="69"/>
      <c r="J793" s="17"/>
      <c r="K793" s="18"/>
      <c r="L793" s="79"/>
      <c r="M793" s="79"/>
      <c r="N793" s="17"/>
      <c r="O793" s="19"/>
    </row>
    <row r="794" spans="1:15" ht="25.5" customHeight="1" x14ac:dyDescent="0.25">
      <c r="A794" s="285" t="s">
        <v>1406</v>
      </c>
      <c r="B794" s="217" t="s">
        <v>1407</v>
      </c>
      <c r="C794" s="17"/>
      <c r="D794" s="51">
        <f>SUM(D795:D795)</f>
        <v>172</v>
      </c>
      <c r="E794" s="51">
        <f>SUM(E795:E795)</f>
        <v>172</v>
      </c>
      <c r="F794" s="51">
        <f>SUM(F795:F795)</f>
        <v>168.2</v>
      </c>
      <c r="G794" s="51">
        <f>SUM(G795:G795)</f>
        <v>3.8</v>
      </c>
      <c r="H794" s="51">
        <f>SUM(H795:H795)</f>
        <v>3.8</v>
      </c>
      <c r="I794" s="54">
        <f t="shared" ref="I794:I795" si="95">SUM(F794/E794)</f>
        <v>0.97790697674418603</v>
      </c>
      <c r="J794" s="17" t="s">
        <v>1381</v>
      </c>
      <c r="K794" s="18" t="s">
        <v>337</v>
      </c>
      <c r="L794" s="18">
        <v>34</v>
      </c>
      <c r="M794" s="138">
        <v>38</v>
      </c>
      <c r="N794" s="17"/>
      <c r="O794" s="19"/>
    </row>
    <row r="795" spans="1:15" ht="15" customHeight="1" thickBot="1" x14ac:dyDescent="0.3">
      <c r="A795" s="287"/>
      <c r="B795" s="219"/>
      <c r="C795" s="22" t="s">
        <v>165</v>
      </c>
      <c r="D795" s="53">
        <v>172</v>
      </c>
      <c r="E795" s="53">
        <v>172</v>
      </c>
      <c r="F795" s="53">
        <v>168.2</v>
      </c>
      <c r="G795" s="53">
        <v>3.8</v>
      </c>
      <c r="H795" s="53">
        <v>3.8</v>
      </c>
      <c r="I795" s="54">
        <f t="shared" si="95"/>
        <v>0.97790697674418603</v>
      </c>
      <c r="J795" s="22"/>
      <c r="K795" s="24"/>
      <c r="L795" s="81"/>
      <c r="M795" s="81"/>
      <c r="N795" s="22"/>
      <c r="O795" s="25"/>
    </row>
    <row r="796" spans="1:15" ht="39" hidden="1" thickBot="1" x14ac:dyDescent="0.3">
      <c r="A796" s="37" t="s">
        <v>1408</v>
      </c>
      <c r="B796" s="17" t="s">
        <v>1409</v>
      </c>
      <c r="C796" s="17" t="s">
        <v>165</v>
      </c>
      <c r="D796" s="61"/>
      <c r="E796" s="61"/>
      <c r="F796" s="61"/>
      <c r="G796" s="61"/>
      <c r="H796" s="61"/>
      <c r="I796" s="70"/>
      <c r="J796" s="17"/>
      <c r="K796" s="18"/>
      <c r="L796" s="79"/>
      <c r="M796" s="79"/>
      <c r="N796" s="17"/>
      <c r="O796" s="19"/>
    </row>
    <row r="797" spans="1:15" ht="39" hidden="1" thickBot="1" x14ac:dyDescent="0.3">
      <c r="A797" s="37" t="s">
        <v>1410</v>
      </c>
      <c r="B797" s="17" t="s">
        <v>1411</v>
      </c>
      <c r="C797" s="17" t="s">
        <v>165</v>
      </c>
      <c r="D797" s="61"/>
      <c r="E797" s="61"/>
      <c r="F797" s="61"/>
      <c r="G797" s="61"/>
      <c r="H797" s="61"/>
      <c r="I797" s="69"/>
      <c r="J797" s="17"/>
      <c r="K797" s="18"/>
      <c r="L797" s="79"/>
      <c r="M797" s="79"/>
      <c r="N797" s="17"/>
      <c r="O797" s="19"/>
    </row>
    <row r="798" spans="1:15" ht="25.5" customHeight="1" x14ac:dyDescent="0.25">
      <c r="A798" s="285" t="s">
        <v>1412</v>
      </c>
      <c r="B798" s="217" t="s">
        <v>1413</v>
      </c>
      <c r="C798" s="17"/>
      <c r="D798" s="51">
        <f>SUM(D799:D801)</f>
        <v>9141.7000000000007</v>
      </c>
      <c r="E798" s="51">
        <f>SUM(E799:E801)</f>
        <v>9141.7000000000007</v>
      </c>
      <c r="F798" s="51">
        <f>SUM(F799:F801)</f>
        <v>9114.2000000000007</v>
      </c>
      <c r="G798" s="51">
        <f>SUM(G799:G801)</f>
        <v>27.5</v>
      </c>
      <c r="H798" s="51">
        <f>SUM(H799:H801)</f>
        <v>27.5</v>
      </c>
      <c r="I798" s="54">
        <f t="shared" ref="I798" si="96">SUM(F798/E798)</f>
        <v>0.996991806775545</v>
      </c>
      <c r="J798" s="17" t="s">
        <v>1357</v>
      </c>
      <c r="K798" s="18" t="s">
        <v>337</v>
      </c>
      <c r="L798" s="79">
        <v>3650</v>
      </c>
      <c r="M798" s="138">
        <v>4884</v>
      </c>
      <c r="N798" s="17"/>
      <c r="O798" s="19" t="s">
        <v>1376</v>
      </c>
    </row>
    <row r="799" spans="1:15" ht="15.75" thickBot="1" x14ac:dyDescent="0.3">
      <c r="A799" s="287"/>
      <c r="B799" s="219"/>
      <c r="C799" s="22"/>
      <c r="D799" s="53"/>
      <c r="E799" s="53"/>
      <c r="F799" s="53"/>
      <c r="G799" s="53"/>
      <c r="H799" s="53"/>
      <c r="I799" s="67"/>
      <c r="J799" s="22" t="s">
        <v>1381</v>
      </c>
      <c r="K799" s="24" t="s">
        <v>337</v>
      </c>
      <c r="L799" s="24">
        <v>33</v>
      </c>
      <c r="M799" s="120">
        <v>38</v>
      </c>
      <c r="N799" s="22"/>
      <c r="O799" s="25"/>
    </row>
    <row r="800" spans="1:15" ht="26.25" thickBot="1" x14ac:dyDescent="0.3">
      <c r="A800" s="15" t="s">
        <v>1414</v>
      </c>
      <c r="B800" s="16" t="s">
        <v>1415</v>
      </c>
      <c r="C800" s="17" t="s">
        <v>165</v>
      </c>
      <c r="D800" s="61">
        <v>8790.1</v>
      </c>
      <c r="E800" s="61">
        <v>8790.1</v>
      </c>
      <c r="F800" s="61">
        <v>8764</v>
      </c>
      <c r="G800" s="61">
        <v>26.1</v>
      </c>
      <c r="H800" s="61">
        <v>26.1</v>
      </c>
      <c r="I800" s="62">
        <f t="shared" ref="I800:I816" si="97">SUM(F800/E800)</f>
        <v>0.99703075050340717</v>
      </c>
      <c r="J800" s="17" t="s">
        <v>1416</v>
      </c>
      <c r="K800" s="18" t="s">
        <v>19</v>
      </c>
      <c r="L800" s="79">
        <v>3650</v>
      </c>
      <c r="M800" s="138">
        <v>3909</v>
      </c>
      <c r="N800" s="17"/>
      <c r="O800" s="19" t="s">
        <v>1376</v>
      </c>
    </row>
    <row r="801" spans="1:15" ht="26.25" thickBot="1" x14ac:dyDescent="0.3">
      <c r="A801" s="15" t="s">
        <v>1417</v>
      </c>
      <c r="B801" s="16" t="s">
        <v>1407</v>
      </c>
      <c r="C801" s="17" t="s">
        <v>165</v>
      </c>
      <c r="D801" s="61">
        <v>351.6</v>
      </c>
      <c r="E801" s="61">
        <v>351.6</v>
      </c>
      <c r="F801" s="61">
        <v>350.2</v>
      </c>
      <c r="G801" s="61">
        <v>1.4</v>
      </c>
      <c r="H801" s="61">
        <v>1.4</v>
      </c>
      <c r="I801" s="62">
        <f t="shared" si="97"/>
        <v>0.99601820250284401</v>
      </c>
      <c r="J801" s="17" t="s">
        <v>1418</v>
      </c>
      <c r="K801" s="18" t="s">
        <v>19</v>
      </c>
      <c r="L801" s="18">
        <v>33</v>
      </c>
      <c r="M801" s="138">
        <v>38</v>
      </c>
      <c r="N801" s="17"/>
      <c r="O801" s="19" t="s">
        <v>1376</v>
      </c>
    </row>
    <row r="802" spans="1:15" ht="64.5" thickBot="1" x14ac:dyDescent="0.3">
      <c r="A802" s="15" t="s">
        <v>1419</v>
      </c>
      <c r="B802" s="16" t="s">
        <v>1420</v>
      </c>
      <c r="C802" s="17" t="s">
        <v>755</v>
      </c>
      <c r="D802" s="61">
        <v>0.9</v>
      </c>
      <c r="E802" s="61">
        <v>0.9</v>
      </c>
      <c r="F802" s="61">
        <v>0.6</v>
      </c>
      <c r="G802" s="61">
        <v>0.3</v>
      </c>
      <c r="H802" s="61">
        <v>0.3</v>
      </c>
      <c r="I802" s="62">
        <f t="shared" si="97"/>
        <v>0.66666666666666663</v>
      </c>
      <c r="J802" s="17" t="s">
        <v>1357</v>
      </c>
      <c r="K802" s="18" t="s">
        <v>337</v>
      </c>
      <c r="L802" s="18">
        <v>1</v>
      </c>
      <c r="M802" s="127">
        <v>1</v>
      </c>
      <c r="N802" s="17"/>
      <c r="O802" s="19" t="s">
        <v>1376</v>
      </c>
    </row>
    <row r="803" spans="1:15" x14ac:dyDescent="0.25">
      <c r="A803" s="285" t="s">
        <v>1421</v>
      </c>
      <c r="B803" s="217" t="s">
        <v>1422</v>
      </c>
      <c r="C803" s="17"/>
      <c r="D803" s="51">
        <f>SUM(D804:D804)</f>
        <v>5.2</v>
      </c>
      <c r="E803" s="51">
        <f>SUM(E804:E804)</f>
        <v>5.2</v>
      </c>
      <c r="F803" s="51">
        <f>SUM(F804:F804)</f>
        <v>5.2</v>
      </c>
      <c r="G803" s="51"/>
      <c r="H803" s="51"/>
      <c r="I803" s="54">
        <f t="shared" si="97"/>
        <v>1</v>
      </c>
      <c r="J803" s="17" t="s">
        <v>1357</v>
      </c>
      <c r="K803" s="18" t="s">
        <v>337</v>
      </c>
      <c r="L803" s="18">
        <v>2</v>
      </c>
      <c r="M803" s="127">
        <v>2</v>
      </c>
      <c r="N803" s="17"/>
      <c r="O803" s="19" t="s">
        <v>1376</v>
      </c>
    </row>
    <row r="804" spans="1:15" ht="15.75" thickBot="1" x14ac:dyDescent="0.3">
      <c r="A804" s="287"/>
      <c r="B804" s="219"/>
      <c r="C804" s="22" t="s">
        <v>26</v>
      </c>
      <c r="D804" s="53">
        <v>5.2</v>
      </c>
      <c r="E804" s="53">
        <v>5.2</v>
      </c>
      <c r="F804" s="53">
        <v>5.2</v>
      </c>
      <c r="G804" s="53"/>
      <c r="H804" s="53"/>
      <c r="I804" s="68">
        <f t="shared" si="97"/>
        <v>1</v>
      </c>
      <c r="J804" s="22"/>
      <c r="K804" s="24"/>
      <c r="L804" s="81"/>
      <c r="M804" s="81"/>
      <c r="N804" s="22"/>
      <c r="O804" s="25"/>
    </row>
    <row r="805" spans="1:15" ht="26.25" thickBot="1" x14ac:dyDescent="0.3">
      <c r="A805" s="37" t="s">
        <v>1423</v>
      </c>
      <c r="B805" s="17" t="s">
        <v>1424</v>
      </c>
      <c r="C805" s="17"/>
      <c r="D805" s="51">
        <f>D806+D809</f>
        <v>1576.1</v>
      </c>
      <c r="E805" s="51">
        <f>E806+E809</f>
        <v>1576.1</v>
      </c>
      <c r="F805" s="51">
        <f>F806+F809</f>
        <v>1451.6</v>
      </c>
      <c r="G805" s="51">
        <f>G806+G809</f>
        <v>124.5</v>
      </c>
      <c r="H805" s="51">
        <f>H806+H809</f>
        <v>124.5</v>
      </c>
      <c r="I805" s="62">
        <f t="shared" si="97"/>
        <v>0.92100755028234249</v>
      </c>
      <c r="J805" s="17" t="s">
        <v>1357</v>
      </c>
      <c r="K805" s="18" t="s">
        <v>337</v>
      </c>
      <c r="L805" s="79">
        <v>4150</v>
      </c>
      <c r="M805" s="138">
        <v>4554</v>
      </c>
      <c r="N805" s="17"/>
      <c r="O805" s="19"/>
    </row>
    <row r="806" spans="1:15" ht="25.5" customHeight="1" x14ac:dyDescent="0.25">
      <c r="A806" s="285" t="s">
        <v>1425</v>
      </c>
      <c r="B806" s="217" t="s">
        <v>1426</v>
      </c>
      <c r="C806" s="17"/>
      <c r="D806" s="51">
        <f>SUM(D807:D808)</f>
        <v>1426.1</v>
      </c>
      <c r="E806" s="51">
        <f>SUM(E807:E808)</f>
        <v>1426.1</v>
      </c>
      <c r="F806" s="51">
        <f>SUM(F807:F808)</f>
        <v>1318.8</v>
      </c>
      <c r="G806" s="51">
        <f>SUM(G807:G808)</f>
        <v>107.3</v>
      </c>
      <c r="H806" s="51">
        <f>SUM(H807:H808)</f>
        <v>107.3</v>
      </c>
      <c r="I806" s="54">
        <f t="shared" si="97"/>
        <v>0.92475983451370869</v>
      </c>
      <c r="J806" s="17" t="s">
        <v>1357</v>
      </c>
      <c r="K806" s="18" t="s">
        <v>337</v>
      </c>
      <c r="L806" s="79">
        <v>4150</v>
      </c>
      <c r="M806" s="138">
        <v>4554</v>
      </c>
      <c r="N806" s="17"/>
      <c r="O806" s="19" t="s">
        <v>1376</v>
      </c>
    </row>
    <row r="807" spans="1:15" x14ac:dyDescent="0.25">
      <c r="A807" s="286"/>
      <c r="B807" s="218"/>
      <c r="C807" s="22" t="s">
        <v>755</v>
      </c>
      <c r="D807" s="53">
        <v>1346.1</v>
      </c>
      <c r="E807" s="53">
        <v>1346.1</v>
      </c>
      <c r="F807" s="53">
        <v>1260.5</v>
      </c>
      <c r="G807" s="53">
        <v>85.6</v>
      </c>
      <c r="H807" s="53">
        <v>85.6</v>
      </c>
      <c r="I807" s="54">
        <f t="shared" si="97"/>
        <v>0.93640888492682572</v>
      </c>
      <c r="J807" s="22"/>
      <c r="K807" s="24"/>
      <c r="L807" s="81"/>
      <c r="M807" s="81"/>
      <c r="N807" s="22"/>
      <c r="O807" s="25"/>
    </row>
    <row r="808" spans="1:15" ht="15.75" thickBot="1" x14ac:dyDescent="0.3">
      <c r="A808" s="287"/>
      <c r="B808" s="219"/>
      <c r="C808" s="22" t="s">
        <v>181</v>
      </c>
      <c r="D808" s="53">
        <v>80</v>
      </c>
      <c r="E808" s="53">
        <v>80</v>
      </c>
      <c r="F808" s="53">
        <v>58.3</v>
      </c>
      <c r="G808" s="53">
        <v>21.7</v>
      </c>
      <c r="H808" s="53">
        <v>21.7</v>
      </c>
      <c r="I808" s="68">
        <f t="shared" si="97"/>
        <v>0.72875000000000001</v>
      </c>
      <c r="J808" s="22"/>
      <c r="K808" s="24"/>
      <c r="L808" s="81"/>
      <c r="M808" s="81"/>
      <c r="N808" s="22"/>
      <c r="O808" s="25"/>
    </row>
    <row r="809" spans="1:15" ht="26.25" thickBot="1" x14ac:dyDescent="0.3">
      <c r="A809" s="15" t="s">
        <v>1427</v>
      </c>
      <c r="B809" s="16" t="s">
        <v>1428</v>
      </c>
      <c r="C809" s="17" t="s">
        <v>755</v>
      </c>
      <c r="D809" s="61">
        <v>150</v>
      </c>
      <c r="E809" s="61">
        <v>150</v>
      </c>
      <c r="F809" s="61">
        <v>132.80000000000001</v>
      </c>
      <c r="G809" s="61">
        <v>17.2</v>
      </c>
      <c r="H809" s="61">
        <v>17.2</v>
      </c>
      <c r="I809" s="62">
        <f t="shared" si="97"/>
        <v>0.88533333333333342</v>
      </c>
      <c r="J809" s="17" t="s">
        <v>1357</v>
      </c>
      <c r="K809" s="18" t="s">
        <v>337</v>
      </c>
      <c r="L809" s="79">
        <v>1500</v>
      </c>
      <c r="M809" s="126">
        <v>1343</v>
      </c>
      <c r="N809" s="17"/>
      <c r="O809" s="19" t="s">
        <v>1376</v>
      </c>
    </row>
    <row r="810" spans="1:15" ht="54" customHeight="1" x14ac:dyDescent="0.25">
      <c r="A810" s="285" t="s">
        <v>1429</v>
      </c>
      <c r="B810" s="217" t="s">
        <v>1430</v>
      </c>
      <c r="C810" s="17"/>
      <c r="D810" s="51">
        <f>SUM(D811:D812)</f>
        <v>2361.9</v>
      </c>
      <c r="E810" s="51">
        <f>SUM(E811:E812)</f>
        <v>2361.9</v>
      </c>
      <c r="F810" s="51">
        <f>SUM(F811:F812)</f>
        <v>2361.1999999999998</v>
      </c>
      <c r="G810" s="51">
        <f>SUM(G811:G812)</f>
        <v>0.7</v>
      </c>
      <c r="H810" s="51">
        <f>SUM(H811:H812)</f>
        <v>0.7</v>
      </c>
      <c r="I810" s="54">
        <f t="shared" si="97"/>
        <v>0.99970362843473459</v>
      </c>
      <c r="J810" s="17" t="s">
        <v>1431</v>
      </c>
      <c r="K810" s="18" t="s">
        <v>25</v>
      </c>
      <c r="L810" s="18">
        <v>100</v>
      </c>
      <c r="M810" s="127">
        <v>100</v>
      </c>
      <c r="N810" s="17" t="s">
        <v>1432</v>
      </c>
      <c r="O810" s="19"/>
    </row>
    <row r="811" spans="1:15" x14ac:dyDescent="0.25">
      <c r="A811" s="286"/>
      <c r="B811" s="218"/>
      <c r="C811" s="22" t="s">
        <v>26</v>
      </c>
      <c r="D811" s="53">
        <v>144.9</v>
      </c>
      <c r="E811" s="53">
        <v>144.9</v>
      </c>
      <c r="F811" s="53">
        <v>144.19999999999999</v>
      </c>
      <c r="G811" s="53">
        <v>0.7</v>
      </c>
      <c r="H811" s="53">
        <v>0.7</v>
      </c>
      <c r="I811" s="54">
        <f t="shared" si="97"/>
        <v>0.99516908212560373</v>
      </c>
      <c r="J811" s="22"/>
      <c r="K811" s="24"/>
      <c r="L811" s="81"/>
      <c r="M811" s="81"/>
      <c r="N811" s="22"/>
      <c r="O811" s="25"/>
    </row>
    <row r="812" spans="1:15" ht="15.75" thickBot="1" x14ac:dyDescent="0.3">
      <c r="A812" s="287"/>
      <c r="B812" s="219"/>
      <c r="C812" s="22" t="s">
        <v>30</v>
      </c>
      <c r="D812" s="53">
        <v>2217</v>
      </c>
      <c r="E812" s="53">
        <v>2217</v>
      </c>
      <c r="F812" s="53">
        <v>2217</v>
      </c>
      <c r="G812" s="53"/>
      <c r="H812" s="53"/>
      <c r="I812" s="68">
        <f t="shared" si="97"/>
        <v>1</v>
      </c>
      <c r="J812" s="22"/>
      <c r="K812" s="24"/>
      <c r="L812" s="81"/>
      <c r="M812" s="81"/>
      <c r="N812" s="22"/>
      <c r="O812" s="25"/>
    </row>
    <row r="813" spans="1:15" ht="165.75" x14ac:dyDescent="0.25">
      <c r="A813" s="285" t="s">
        <v>1433</v>
      </c>
      <c r="B813" s="217" t="s">
        <v>1434</v>
      </c>
      <c r="C813" s="17"/>
      <c r="D813" s="51">
        <f>SUM(D814:D816)</f>
        <v>210</v>
      </c>
      <c r="E813" s="51">
        <f>SUM(E814:E816)</f>
        <v>210</v>
      </c>
      <c r="F813" s="51">
        <f>SUM(F814:F816)</f>
        <v>192.9</v>
      </c>
      <c r="G813" s="51">
        <f>SUM(G814:G816)</f>
        <v>17.100000000000001</v>
      </c>
      <c r="H813" s="51">
        <f>SUM(H814:H816)</f>
        <v>17.100000000000001</v>
      </c>
      <c r="I813" s="54">
        <f t="shared" si="97"/>
        <v>0.91857142857142859</v>
      </c>
      <c r="J813" s="17" t="s">
        <v>1435</v>
      </c>
      <c r="K813" s="18" t="s">
        <v>25</v>
      </c>
      <c r="L813" s="18">
        <v>100</v>
      </c>
      <c r="M813" s="127">
        <v>100</v>
      </c>
      <c r="N813" s="17" t="s">
        <v>1436</v>
      </c>
      <c r="O813" s="19"/>
    </row>
    <row r="814" spans="1:15" x14ac:dyDescent="0.25">
      <c r="A814" s="286"/>
      <c r="B814" s="218"/>
      <c r="C814" s="22" t="s">
        <v>30</v>
      </c>
      <c r="D814" s="53">
        <v>80</v>
      </c>
      <c r="E814" s="53">
        <v>80</v>
      </c>
      <c r="F814" s="53">
        <v>80</v>
      </c>
      <c r="G814" s="53"/>
      <c r="H814" s="53"/>
      <c r="I814" s="54">
        <f t="shared" si="97"/>
        <v>1</v>
      </c>
      <c r="J814" s="22"/>
      <c r="K814" s="24"/>
      <c r="L814" s="81"/>
      <c r="M814" s="82"/>
      <c r="N814" s="22"/>
      <c r="O814" s="25"/>
    </row>
    <row r="815" spans="1:15" x14ac:dyDescent="0.25">
      <c r="A815" s="286"/>
      <c r="B815" s="218"/>
      <c r="C815" s="22" t="s">
        <v>26</v>
      </c>
      <c r="D815" s="53">
        <v>100</v>
      </c>
      <c r="E815" s="53">
        <v>100</v>
      </c>
      <c r="F815" s="53">
        <v>100</v>
      </c>
      <c r="G815" s="53"/>
      <c r="H815" s="53"/>
      <c r="I815" s="54">
        <f t="shared" si="97"/>
        <v>1</v>
      </c>
      <c r="J815" s="22"/>
      <c r="K815" s="24"/>
      <c r="L815" s="81"/>
      <c r="M815" s="82"/>
      <c r="N815" s="22"/>
      <c r="O815" s="25"/>
    </row>
    <row r="816" spans="1:15" ht="15.75" thickBot="1" x14ac:dyDescent="0.3">
      <c r="A816" s="287"/>
      <c r="B816" s="219"/>
      <c r="C816" s="22" t="s">
        <v>168</v>
      </c>
      <c r="D816" s="53">
        <v>30</v>
      </c>
      <c r="E816" s="53">
        <v>30</v>
      </c>
      <c r="F816" s="53">
        <v>12.9</v>
      </c>
      <c r="G816" s="53">
        <v>17.100000000000001</v>
      </c>
      <c r="H816" s="53">
        <v>17.100000000000001</v>
      </c>
      <c r="I816" s="54">
        <f t="shared" si="97"/>
        <v>0.43</v>
      </c>
      <c r="J816" s="22"/>
      <c r="K816" s="24"/>
      <c r="L816" s="81"/>
      <c r="M816" s="82"/>
      <c r="N816" s="22"/>
      <c r="O816" s="25"/>
    </row>
    <row r="817" spans="1:19" ht="15.75" thickBot="1" x14ac:dyDescent="0.3">
      <c r="A817" s="4" t="s">
        <v>1437</v>
      </c>
      <c r="B817" s="5" t="s">
        <v>1438</v>
      </c>
      <c r="C817" s="6"/>
      <c r="D817" s="45">
        <f>D818+D931</f>
        <v>23481.3</v>
      </c>
      <c r="E817" s="45">
        <f>E818+E931</f>
        <v>23481.3</v>
      </c>
      <c r="F817" s="45">
        <f>F818+F931-0.1</f>
        <v>21120.000000000004</v>
      </c>
      <c r="G817" s="45">
        <f>G818+G931-0.1</f>
        <v>2361.2999999999997</v>
      </c>
      <c r="H817" s="45">
        <f>H818+H931-0.1</f>
        <v>2361.2999999999997</v>
      </c>
      <c r="I817" s="46">
        <f>SUM(F817/E817)</f>
        <v>0.89943912815729987</v>
      </c>
      <c r="J817" s="266"/>
      <c r="K817" s="267"/>
      <c r="L817" s="267"/>
      <c r="M817" s="267"/>
      <c r="N817" s="267"/>
      <c r="O817" s="268"/>
    </row>
    <row r="818" spans="1:19" ht="51" customHeight="1" x14ac:dyDescent="0.25">
      <c r="A818" s="293" t="s">
        <v>1439</v>
      </c>
      <c r="B818" s="296" t="s">
        <v>1440</v>
      </c>
      <c r="C818" s="9"/>
      <c r="D818" s="47">
        <f>D819+D820+D821+D869+D893+D913+D926-0.1</f>
        <v>22825.1</v>
      </c>
      <c r="E818" s="47">
        <f>E819+E820+E821+E869+E893+E913+E926-0.1</f>
        <v>22825.1</v>
      </c>
      <c r="F818" s="47">
        <f>F819+F820+F821+F869+F893+F913+F926</f>
        <v>20556.500000000004</v>
      </c>
      <c r="G818" s="47">
        <f>G819+G820+G821+G869+G893+G913+G926</f>
        <v>2268.6999999999998</v>
      </c>
      <c r="H818" s="47">
        <f>H819+H820+H821+H869+H893+H913+H926</f>
        <v>2268.6999999999998</v>
      </c>
      <c r="I818" s="48">
        <f>SUM(F818/E818)</f>
        <v>0.90060941682621343</v>
      </c>
      <c r="J818" s="9" t="s">
        <v>1441</v>
      </c>
      <c r="K818" s="10" t="s">
        <v>25</v>
      </c>
      <c r="L818" s="10">
        <v>80</v>
      </c>
      <c r="M818" s="78">
        <v>100</v>
      </c>
      <c r="N818" s="9" t="s">
        <v>1442</v>
      </c>
      <c r="O818" s="11"/>
      <c r="Q818" s="194"/>
      <c r="R818" s="195" t="s">
        <v>1</v>
      </c>
      <c r="S818" s="195" t="s">
        <v>1983</v>
      </c>
    </row>
    <row r="819" spans="1:19" ht="15.75" x14ac:dyDescent="0.25">
      <c r="A819" s="294"/>
      <c r="B819" s="297"/>
      <c r="C819" s="35"/>
      <c r="D819" s="64"/>
      <c r="E819" s="64"/>
      <c r="F819" s="64"/>
      <c r="G819" s="64"/>
      <c r="H819" s="64"/>
      <c r="I819" s="65"/>
      <c r="J819" s="35" t="s">
        <v>1443</v>
      </c>
      <c r="K819" s="36" t="s">
        <v>19</v>
      </c>
      <c r="L819" s="93">
        <v>12000</v>
      </c>
      <c r="M819" s="93">
        <v>22289</v>
      </c>
      <c r="N819" s="35"/>
      <c r="O819" s="38"/>
      <c r="Q819" s="196"/>
      <c r="R819" s="197" t="s">
        <v>1961</v>
      </c>
      <c r="S819" s="198">
        <v>36</v>
      </c>
    </row>
    <row r="820" spans="1:19" ht="32.25" thickBot="1" x14ac:dyDescent="0.3">
      <c r="A820" s="295"/>
      <c r="B820" s="298"/>
      <c r="C820" s="35"/>
      <c r="D820" s="64"/>
      <c r="E820" s="64"/>
      <c r="F820" s="64"/>
      <c r="G820" s="64"/>
      <c r="H820" s="64"/>
      <c r="I820" s="65"/>
      <c r="J820" s="35" t="s">
        <v>1444</v>
      </c>
      <c r="K820" s="36" t="s">
        <v>19</v>
      </c>
      <c r="L820" s="36">
        <v>25</v>
      </c>
      <c r="M820" s="95">
        <v>20</v>
      </c>
      <c r="N820" s="35"/>
      <c r="O820" s="38"/>
      <c r="Q820" s="199"/>
      <c r="R820" s="197" t="s">
        <v>1962</v>
      </c>
      <c r="S820" s="198"/>
    </row>
    <row r="821" spans="1:19" ht="32.25" thickBot="1" x14ac:dyDescent="0.3">
      <c r="A821" s="12" t="s">
        <v>1445</v>
      </c>
      <c r="B821" s="13" t="s">
        <v>1446</v>
      </c>
      <c r="C821" s="14"/>
      <c r="D821" s="49">
        <f>D822+D849+D855+D856+D860+D862+D865</f>
        <v>12042.599999999999</v>
      </c>
      <c r="E821" s="49">
        <f>E822+E849+E855+E856+E860+E862+E865</f>
        <v>12042.599999999999</v>
      </c>
      <c r="F821" s="49">
        <f>F822+F849+F855+F856+F860+F862+F865</f>
        <v>10943.1</v>
      </c>
      <c r="G821" s="49">
        <f>G822+G849+G855+G856+G860+G862+G865</f>
        <v>1099.5</v>
      </c>
      <c r="H821" s="49">
        <f>H822+H849+H855+H856+H860+H862+H865</f>
        <v>1099.5</v>
      </c>
      <c r="I821" s="66">
        <f>SUM(F821/E821)</f>
        <v>0.90869911813063642</v>
      </c>
      <c r="J821" s="263"/>
      <c r="K821" s="264"/>
      <c r="L821" s="264"/>
      <c r="M821" s="264"/>
      <c r="N821" s="264"/>
      <c r="O821" s="265"/>
      <c r="Q821" s="200"/>
      <c r="R821" s="197" t="s">
        <v>1963</v>
      </c>
      <c r="S821" s="201">
        <v>5</v>
      </c>
    </row>
    <row r="822" spans="1:19" ht="178.5" x14ac:dyDescent="0.25">
      <c r="A822" s="15" t="s">
        <v>1447</v>
      </c>
      <c r="B822" s="16" t="s">
        <v>1448</v>
      </c>
      <c r="C822" s="17"/>
      <c r="D822" s="51">
        <f>D823+D824+D825+D826+D827+D828+D829+D830+D831+D832+D833+D838+D839+D840+D841+D844+D847</f>
        <v>8897.6999999999989</v>
      </c>
      <c r="E822" s="51">
        <f>E823+E824+E825+E826+E827+E828+E829+E830+E831+E832+E833+E838+E839+E840+E841+E844+E847</f>
        <v>8897.6999999999989</v>
      </c>
      <c r="F822" s="51">
        <f>F823+F824+F825+F826+F827+F828+F829+F830+F831+F832+F833+F838+F839+F840+F841+F844+F847</f>
        <v>8198.2999999999993</v>
      </c>
      <c r="G822" s="51">
        <f>G823+G824+G825+G826+G827+G828+G829+G830+G831+G832+G833+G838+G839+G840+G841+G844+G847</f>
        <v>699.4</v>
      </c>
      <c r="H822" s="51">
        <f>H823+H824+H825+H826+H827+H828+H829+H830+H831+H832+H833+H838+H839+H840+H841+H844+H847</f>
        <v>699.4</v>
      </c>
      <c r="I822" s="54">
        <f t="shared" ref="I822" si="98">SUM(F822/E822)</f>
        <v>0.92139541679310388</v>
      </c>
      <c r="J822" s="17" t="s">
        <v>1449</v>
      </c>
      <c r="K822" s="18" t="s">
        <v>337</v>
      </c>
      <c r="L822" s="18">
        <v>181</v>
      </c>
      <c r="M822" s="139">
        <v>209</v>
      </c>
      <c r="N822" s="17" t="s">
        <v>1450</v>
      </c>
      <c r="O822" s="116"/>
      <c r="Q822" s="202"/>
      <c r="R822" s="197" t="s">
        <v>1964</v>
      </c>
      <c r="S822" s="201">
        <v>2</v>
      </c>
    </row>
    <row r="823" spans="1:19" ht="140.25" x14ac:dyDescent="0.25">
      <c r="A823" s="20"/>
      <c r="B823" s="21"/>
      <c r="C823" s="22"/>
      <c r="D823" s="53"/>
      <c r="E823" s="53"/>
      <c r="F823" s="53"/>
      <c r="G823" s="53"/>
      <c r="H823" s="53"/>
      <c r="I823" s="55"/>
      <c r="J823" s="22" t="s">
        <v>1451</v>
      </c>
      <c r="K823" s="24" t="s">
        <v>337</v>
      </c>
      <c r="L823" s="24">
        <v>85</v>
      </c>
      <c r="M823" s="137">
        <v>70</v>
      </c>
      <c r="N823" s="22" t="s">
        <v>1452</v>
      </c>
      <c r="O823" s="25"/>
      <c r="Q823" s="204"/>
      <c r="R823" s="197" t="s">
        <v>1965</v>
      </c>
      <c r="S823" s="201">
        <v>1</v>
      </c>
    </row>
    <row r="824" spans="1:19" ht="127.5" x14ac:dyDescent="0.25">
      <c r="A824" s="20"/>
      <c r="B824" s="21"/>
      <c r="C824" s="22"/>
      <c r="D824" s="53"/>
      <c r="E824" s="53"/>
      <c r="F824" s="53"/>
      <c r="G824" s="53"/>
      <c r="H824" s="53"/>
      <c r="I824" s="55"/>
      <c r="J824" s="22" t="s">
        <v>1453</v>
      </c>
      <c r="K824" s="24" t="s">
        <v>25</v>
      </c>
      <c r="L824" s="24">
        <v>100</v>
      </c>
      <c r="M824" s="137">
        <v>80</v>
      </c>
      <c r="N824" s="22" t="s">
        <v>1454</v>
      </c>
      <c r="O824" s="25" t="s">
        <v>1775</v>
      </c>
      <c r="Q824" s="194"/>
      <c r="R824" s="205" t="s">
        <v>1966</v>
      </c>
      <c r="S824" s="201">
        <f>+SUM(S819:S823)</f>
        <v>44</v>
      </c>
    </row>
    <row r="825" spans="1:19" ht="25.5" x14ac:dyDescent="0.25">
      <c r="A825" s="20"/>
      <c r="B825" s="21"/>
      <c r="C825" s="22"/>
      <c r="D825" s="53"/>
      <c r="E825" s="53"/>
      <c r="F825" s="53"/>
      <c r="G825" s="53"/>
      <c r="H825" s="53"/>
      <c r="I825" s="55"/>
      <c r="J825" s="22" t="s">
        <v>1455</v>
      </c>
      <c r="K825" s="24" t="s">
        <v>19</v>
      </c>
      <c r="L825" s="24">
        <v>40</v>
      </c>
      <c r="M825" s="130">
        <v>40</v>
      </c>
      <c r="N825" s="22" t="s">
        <v>1456</v>
      </c>
      <c r="O825" s="25"/>
    </row>
    <row r="826" spans="1:19" ht="38.25" x14ac:dyDescent="0.25">
      <c r="A826" s="20"/>
      <c r="B826" s="21"/>
      <c r="C826" s="22"/>
      <c r="D826" s="53"/>
      <c r="E826" s="53"/>
      <c r="F826" s="53"/>
      <c r="G826" s="53"/>
      <c r="H826" s="53"/>
      <c r="I826" s="55"/>
      <c r="J826" s="22" t="s">
        <v>1457</v>
      </c>
      <c r="K826" s="24" t="s">
        <v>19</v>
      </c>
      <c r="L826" s="24">
        <v>3</v>
      </c>
      <c r="M826" s="131">
        <v>4</v>
      </c>
      <c r="N826" s="22" t="s">
        <v>1458</v>
      </c>
      <c r="O826" s="25"/>
    </row>
    <row r="827" spans="1:19" ht="51" x14ac:dyDescent="0.25">
      <c r="A827" s="20"/>
      <c r="B827" s="21"/>
      <c r="C827" s="22"/>
      <c r="D827" s="53"/>
      <c r="E827" s="53"/>
      <c r="F827" s="53"/>
      <c r="G827" s="53"/>
      <c r="H827" s="53"/>
      <c r="I827" s="55"/>
      <c r="J827" s="22" t="s">
        <v>1459</v>
      </c>
      <c r="K827" s="24" t="s">
        <v>19</v>
      </c>
      <c r="L827" s="24">
        <v>3</v>
      </c>
      <c r="M827" s="130">
        <v>3</v>
      </c>
      <c r="N827" s="22" t="s">
        <v>1460</v>
      </c>
      <c r="O827" s="25"/>
    </row>
    <row r="828" spans="1:19" x14ac:dyDescent="0.25">
      <c r="A828" s="20"/>
      <c r="B828" s="21"/>
      <c r="C828" s="22"/>
      <c r="D828" s="53"/>
      <c r="E828" s="53"/>
      <c r="F828" s="53"/>
      <c r="G828" s="53"/>
      <c r="H828" s="53"/>
      <c r="I828" s="55"/>
      <c r="J828" s="22" t="s">
        <v>1461</v>
      </c>
      <c r="K828" s="24" t="s">
        <v>19</v>
      </c>
      <c r="L828" s="24">
        <v>1</v>
      </c>
      <c r="M828" s="131">
        <v>3</v>
      </c>
      <c r="N828" s="22" t="s">
        <v>1462</v>
      </c>
      <c r="O828" s="25"/>
    </row>
    <row r="829" spans="1:19" x14ac:dyDescent="0.25">
      <c r="A829" s="20"/>
      <c r="B829" s="21"/>
      <c r="C829" s="22"/>
      <c r="D829" s="53"/>
      <c r="E829" s="53"/>
      <c r="F829" s="53"/>
      <c r="G829" s="53"/>
      <c r="H829" s="53"/>
      <c r="I829" s="55"/>
      <c r="J829" s="22" t="s">
        <v>1463</v>
      </c>
      <c r="K829" s="24" t="s">
        <v>19</v>
      </c>
      <c r="L829" s="24">
        <v>300</v>
      </c>
      <c r="M829" s="130">
        <v>300</v>
      </c>
      <c r="N829" s="22" t="s">
        <v>1464</v>
      </c>
      <c r="O829" s="25"/>
    </row>
    <row r="830" spans="1:19" ht="25.5" x14ac:dyDescent="0.25">
      <c r="A830" s="20"/>
      <c r="B830" s="21"/>
      <c r="C830" s="22"/>
      <c r="D830" s="53"/>
      <c r="E830" s="53"/>
      <c r="F830" s="53"/>
      <c r="G830" s="53"/>
      <c r="H830" s="53"/>
      <c r="I830" s="55"/>
      <c r="J830" s="22" t="s">
        <v>1465</v>
      </c>
      <c r="K830" s="24" t="s">
        <v>337</v>
      </c>
      <c r="L830" s="81">
        <v>18000</v>
      </c>
      <c r="M830" s="120">
        <v>21056</v>
      </c>
      <c r="N830" s="22"/>
      <c r="O830" s="25"/>
    </row>
    <row r="831" spans="1:19" ht="25.5" x14ac:dyDescent="0.25">
      <c r="A831" s="20"/>
      <c r="B831" s="21"/>
      <c r="C831" s="22"/>
      <c r="D831" s="53"/>
      <c r="E831" s="53"/>
      <c r="F831" s="53"/>
      <c r="G831" s="53"/>
      <c r="H831" s="53"/>
      <c r="I831" s="55"/>
      <c r="J831" s="22" t="s">
        <v>1466</v>
      </c>
      <c r="K831" s="24" t="s">
        <v>337</v>
      </c>
      <c r="L831" s="24">
        <v>280</v>
      </c>
      <c r="M831" s="131">
        <v>840</v>
      </c>
      <c r="N831" s="22" t="s">
        <v>1467</v>
      </c>
      <c r="O831" s="25"/>
    </row>
    <row r="832" spans="1:19" ht="39" thickBot="1" x14ac:dyDescent="0.3">
      <c r="A832" s="20"/>
      <c r="B832" s="21"/>
      <c r="C832" s="22"/>
      <c r="D832" s="53"/>
      <c r="E832" s="53"/>
      <c r="F832" s="53"/>
      <c r="G832" s="53"/>
      <c r="H832" s="53"/>
      <c r="I832" s="67"/>
      <c r="J832" s="22" t="s">
        <v>1468</v>
      </c>
      <c r="K832" s="24" t="s">
        <v>337</v>
      </c>
      <c r="L832" s="81">
        <v>2000</v>
      </c>
      <c r="M832" s="120">
        <v>2111</v>
      </c>
      <c r="N832" s="154" t="s">
        <v>1886</v>
      </c>
      <c r="O832" s="153"/>
    </row>
    <row r="833" spans="1:15" ht="216.75" x14ac:dyDescent="0.25">
      <c r="A833" s="285" t="s">
        <v>1469</v>
      </c>
      <c r="B833" s="217" t="s">
        <v>1470</v>
      </c>
      <c r="C833" s="17"/>
      <c r="D833" s="51">
        <f>SUM(D834:D837)</f>
        <v>6951.5999999999995</v>
      </c>
      <c r="E833" s="51">
        <f>SUM(E834:E837)</f>
        <v>6951.5999999999995</v>
      </c>
      <c r="F833" s="51">
        <f>SUM(F834:F837)-0.1</f>
        <v>6598.3999999999987</v>
      </c>
      <c r="G833" s="51">
        <f>SUM(G834:G837)+0.1</f>
        <v>353.20000000000005</v>
      </c>
      <c r="H833" s="51">
        <f>SUM(H834:H837)+0.1</f>
        <v>353.20000000000005</v>
      </c>
      <c r="I833" s="54">
        <f>SUM(F833/E833)</f>
        <v>0.94919155302376423</v>
      </c>
      <c r="J833" s="17" t="s">
        <v>1449</v>
      </c>
      <c r="K833" s="18" t="s">
        <v>337</v>
      </c>
      <c r="L833" s="18">
        <v>181</v>
      </c>
      <c r="M833" s="139">
        <v>209</v>
      </c>
      <c r="N833" s="143" t="s">
        <v>1471</v>
      </c>
      <c r="O833" s="19"/>
    </row>
    <row r="834" spans="1:15" ht="372" customHeight="1" x14ac:dyDescent="0.25">
      <c r="A834" s="286"/>
      <c r="B834" s="218"/>
      <c r="C834" s="22" t="s">
        <v>30</v>
      </c>
      <c r="D834" s="53">
        <v>6.5</v>
      </c>
      <c r="E834" s="53">
        <v>6.5</v>
      </c>
      <c r="F834" s="53">
        <v>6.5</v>
      </c>
      <c r="G834" s="53"/>
      <c r="H834" s="53"/>
      <c r="I834" s="54">
        <f>SUM(F834/E834)</f>
        <v>1</v>
      </c>
      <c r="J834" s="22" t="s">
        <v>1472</v>
      </c>
      <c r="K834" s="24" t="s">
        <v>337</v>
      </c>
      <c r="L834" s="24">
        <v>85</v>
      </c>
      <c r="M834" s="137">
        <v>70</v>
      </c>
      <c r="N834" s="144" t="s">
        <v>1473</v>
      </c>
      <c r="O834" s="25"/>
    </row>
    <row r="835" spans="1:15" x14ac:dyDescent="0.25">
      <c r="A835" s="286"/>
      <c r="B835" s="218"/>
      <c r="C835" s="22" t="s">
        <v>26</v>
      </c>
      <c r="D835" s="53">
        <v>6926.4</v>
      </c>
      <c r="E835" s="53">
        <v>6926.4</v>
      </c>
      <c r="F835" s="53">
        <v>6573.9</v>
      </c>
      <c r="G835" s="53">
        <v>352.5</v>
      </c>
      <c r="H835" s="53">
        <v>352.5</v>
      </c>
      <c r="I835" s="54">
        <f t="shared" ref="I835:I849" si="99">SUM(F835/E835)</f>
        <v>0.94910776160776156</v>
      </c>
      <c r="J835" s="22"/>
      <c r="K835" s="24"/>
      <c r="L835" s="81"/>
      <c r="M835" s="82"/>
      <c r="N835" s="22"/>
      <c r="O835" s="25"/>
    </row>
    <row r="836" spans="1:15" x14ac:dyDescent="0.25">
      <c r="A836" s="286"/>
      <c r="B836" s="218"/>
      <c r="C836" s="22" t="s">
        <v>181</v>
      </c>
      <c r="D836" s="53">
        <v>15.7</v>
      </c>
      <c r="E836" s="53">
        <v>15.7</v>
      </c>
      <c r="F836" s="53">
        <v>15.7</v>
      </c>
      <c r="G836" s="53"/>
      <c r="H836" s="53"/>
      <c r="I836" s="54">
        <f t="shared" si="99"/>
        <v>1</v>
      </c>
      <c r="J836" s="22"/>
      <c r="K836" s="24"/>
      <c r="L836" s="81"/>
      <c r="M836" s="82"/>
      <c r="N836" s="22"/>
      <c r="O836" s="25"/>
    </row>
    <row r="837" spans="1:15" ht="15.75" thickBot="1" x14ac:dyDescent="0.3">
      <c r="A837" s="287"/>
      <c r="B837" s="219"/>
      <c r="C837" s="22" t="s">
        <v>171</v>
      </c>
      <c r="D837" s="53">
        <v>3</v>
      </c>
      <c r="E837" s="53">
        <v>3</v>
      </c>
      <c r="F837" s="53">
        <v>2.4</v>
      </c>
      <c r="G837" s="53">
        <v>0.6</v>
      </c>
      <c r="H837" s="53">
        <v>0.6</v>
      </c>
      <c r="I837" s="68">
        <f t="shared" si="99"/>
        <v>0.79999999999999993</v>
      </c>
      <c r="J837" s="22"/>
      <c r="K837" s="24"/>
      <c r="L837" s="81"/>
      <c r="M837" s="82"/>
      <c r="N837" s="22"/>
      <c r="O837" s="25"/>
    </row>
    <row r="838" spans="1:15" ht="26.25" thickBot="1" x14ac:dyDescent="0.3">
      <c r="A838" s="15" t="s">
        <v>1474</v>
      </c>
      <c r="B838" s="16" t="s">
        <v>1475</v>
      </c>
      <c r="C838" s="17" t="s">
        <v>26</v>
      </c>
      <c r="D838" s="61">
        <v>137.6</v>
      </c>
      <c r="E838" s="61">
        <v>137.6</v>
      </c>
      <c r="F838" s="61">
        <v>129.6</v>
      </c>
      <c r="G838" s="61">
        <v>8</v>
      </c>
      <c r="H838" s="61">
        <v>8</v>
      </c>
      <c r="I838" s="62">
        <f t="shared" si="99"/>
        <v>0.94186046511627908</v>
      </c>
      <c r="J838" s="17" t="s">
        <v>1476</v>
      </c>
      <c r="K838" s="18" t="s">
        <v>25</v>
      </c>
      <c r="L838" s="18">
        <v>100</v>
      </c>
      <c r="M838" s="125">
        <v>100</v>
      </c>
      <c r="N838" s="17" t="s">
        <v>1477</v>
      </c>
      <c r="O838" s="19"/>
    </row>
    <row r="839" spans="1:15" ht="39" thickBot="1" x14ac:dyDescent="0.3">
      <c r="A839" s="15" t="s">
        <v>1478</v>
      </c>
      <c r="B839" s="16" t="s">
        <v>1479</v>
      </c>
      <c r="C839" s="17" t="s">
        <v>26</v>
      </c>
      <c r="D839" s="61">
        <v>794.9</v>
      </c>
      <c r="E839" s="61">
        <v>794.9</v>
      </c>
      <c r="F839" s="61">
        <v>747</v>
      </c>
      <c r="G839" s="61">
        <v>47.9</v>
      </c>
      <c r="H839" s="61">
        <v>47.9</v>
      </c>
      <c r="I839" s="62">
        <f t="shared" si="99"/>
        <v>0.93974084790539691</v>
      </c>
      <c r="J839" s="17" t="s">
        <v>1476</v>
      </c>
      <c r="K839" s="18" t="s">
        <v>25</v>
      </c>
      <c r="L839" s="18">
        <v>100</v>
      </c>
      <c r="M839" s="125">
        <v>100</v>
      </c>
      <c r="N839" s="17" t="s">
        <v>1477</v>
      </c>
      <c r="O839" s="19"/>
    </row>
    <row r="840" spans="1:15" ht="26.25" thickBot="1" x14ac:dyDescent="0.3">
      <c r="A840" s="15" t="s">
        <v>1480</v>
      </c>
      <c r="B840" s="16" t="s">
        <v>1481</v>
      </c>
      <c r="C840" s="17" t="s">
        <v>26</v>
      </c>
      <c r="D840" s="61">
        <v>200</v>
      </c>
      <c r="E840" s="61">
        <v>200</v>
      </c>
      <c r="F840" s="61">
        <v>68</v>
      </c>
      <c r="G840" s="61">
        <v>132</v>
      </c>
      <c r="H840" s="61">
        <v>132</v>
      </c>
      <c r="I840" s="62">
        <f t="shared" si="99"/>
        <v>0.34</v>
      </c>
      <c r="J840" s="17" t="s">
        <v>1476</v>
      </c>
      <c r="K840" s="18" t="s">
        <v>25</v>
      </c>
      <c r="L840" s="18">
        <v>100</v>
      </c>
      <c r="M840" s="125">
        <v>100</v>
      </c>
      <c r="N840" s="17" t="s">
        <v>1477</v>
      </c>
      <c r="O840" s="19"/>
    </row>
    <row r="841" spans="1:15" ht="140.25" x14ac:dyDescent="0.25">
      <c r="A841" s="285" t="s">
        <v>1482</v>
      </c>
      <c r="B841" s="217" t="s">
        <v>1483</v>
      </c>
      <c r="C841" s="17"/>
      <c r="D841" s="51">
        <f>SUM(D842:D843)</f>
        <v>581.5</v>
      </c>
      <c r="E841" s="51">
        <f>SUM(E842:E843)</f>
        <v>581.5</v>
      </c>
      <c r="F841" s="51">
        <f>SUM(F842:F843)</f>
        <v>513.9</v>
      </c>
      <c r="G841" s="51">
        <f>SUM(G842:G843)</f>
        <v>67.599999999999994</v>
      </c>
      <c r="H841" s="51">
        <f>SUM(H842:H843)</f>
        <v>67.599999999999994</v>
      </c>
      <c r="I841" s="54">
        <f t="shared" si="99"/>
        <v>0.88374892519346515</v>
      </c>
      <c r="J841" s="17" t="s">
        <v>1453</v>
      </c>
      <c r="K841" s="18" t="s">
        <v>25</v>
      </c>
      <c r="L841" s="18">
        <v>100</v>
      </c>
      <c r="M841" s="135">
        <v>80</v>
      </c>
      <c r="N841" s="17" t="s">
        <v>1484</v>
      </c>
      <c r="O841" s="19" t="s">
        <v>1887</v>
      </c>
    </row>
    <row r="842" spans="1:15" x14ac:dyDescent="0.25">
      <c r="A842" s="286"/>
      <c r="B842" s="218"/>
      <c r="C842" s="22" t="s">
        <v>30</v>
      </c>
      <c r="D842" s="53">
        <v>404.5</v>
      </c>
      <c r="E842" s="53">
        <v>404.5</v>
      </c>
      <c r="F842" s="53">
        <v>398.4</v>
      </c>
      <c r="G842" s="53">
        <v>6.1</v>
      </c>
      <c r="H842" s="53">
        <v>6.1</v>
      </c>
      <c r="I842" s="54">
        <f t="shared" si="99"/>
        <v>0.98491965389369585</v>
      </c>
      <c r="J842" s="22"/>
      <c r="K842" s="24"/>
      <c r="L842" s="81"/>
      <c r="M842" s="82"/>
      <c r="N842" s="22"/>
      <c r="O842" s="25"/>
    </row>
    <row r="843" spans="1:15" ht="15.75" thickBot="1" x14ac:dyDescent="0.3">
      <c r="A843" s="287"/>
      <c r="B843" s="219"/>
      <c r="C843" s="22" t="s">
        <v>26</v>
      </c>
      <c r="D843" s="53">
        <v>177</v>
      </c>
      <c r="E843" s="53">
        <v>177</v>
      </c>
      <c r="F843" s="53">
        <v>115.5</v>
      </c>
      <c r="G843" s="53">
        <v>61.5</v>
      </c>
      <c r="H843" s="53">
        <v>61.5</v>
      </c>
      <c r="I843" s="68">
        <f t="shared" si="99"/>
        <v>0.65254237288135597</v>
      </c>
      <c r="J843" s="22"/>
      <c r="K843" s="24"/>
      <c r="L843" s="81"/>
      <c r="M843" s="82"/>
      <c r="N843" s="22"/>
      <c r="O843" s="25"/>
    </row>
    <row r="844" spans="1:15" ht="51" customHeight="1" x14ac:dyDescent="0.25">
      <c r="A844" s="285" t="s">
        <v>1485</v>
      </c>
      <c r="B844" s="217" t="s">
        <v>1486</v>
      </c>
      <c r="C844" s="17" t="s">
        <v>26</v>
      </c>
      <c r="D844" s="51">
        <f>SUM(D845:D846)+63</f>
        <v>63</v>
      </c>
      <c r="E844" s="51">
        <f>SUM(E845:E846)+63</f>
        <v>63</v>
      </c>
      <c r="F844" s="51">
        <f>SUM(F845:F846)+43.7</f>
        <v>43.7</v>
      </c>
      <c r="G844" s="51">
        <f>SUM(G845:G846)+19.3</f>
        <v>19.3</v>
      </c>
      <c r="H844" s="51">
        <f>SUM(H845:H846)+19.3</f>
        <v>19.3</v>
      </c>
      <c r="I844" s="54">
        <f t="shared" si="99"/>
        <v>0.69365079365079374</v>
      </c>
      <c r="J844" s="17" t="s">
        <v>1487</v>
      </c>
      <c r="K844" s="18" t="s">
        <v>337</v>
      </c>
      <c r="L844" s="79">
        <v>18000</v>
      </c>
      <c r="M844" s="160">
        <v>21056</v>
      </c>
      <c r="N844" s="17"/>
      <c r="O844" s="19"/>
    </row>
    <row r="845" spans="1:15" ht="38.25" x14ac:dyDescent="0.25">
      <c r="A845" s="286"/>
      <c r="B845" s="218"/>
      <c r="C845" s="22"/>
      <c r="D845" s="53"/>
      <c r="E845" s="53"/>
      <c r="F845" s="53"/>
      <c r="G845" s="53"/>
      <c r="H845" s="53"/>
      <c r="I845" s="54"/>
      <c r="J845" s="22" t="s">
        <v>1488</v>
      </c>
      <c r="K845" s="24" t="s">
        <v>337</v>
      </c>
      <c r="L845" s="81">
        <v>2000</v>
      </c>
      <c r="M845" s="148">
        <v>2111</v>
      </c>
      <c r="N845" s="22"/>
      <c r="O845" s="25"/>
    </row>
    <row r="846" spans="1:15" ht="15.75" thickBot="1" x14ac:dyDescent="0.3">
      <c r="A846" s="287"/>
      <c r="B846" s="219"/>
      <c r="C846" s="22"/>
      <c r="D846" s="53"/>
      <c r="E846" s="53"/>
      <c r="F846" s="53"/>
      <c r="G846" s="53"/>
      <c r="H846" s="53"/>
      <c r="I846" s="68"/>
      <c r="J846" s="22" t="s">
        <v>1489</v>
      </c>
      <c r="K846" s="24" t="s">
        <v>25</v>
      </c>
      <c r="L846" s="24">
        <v>100</v>
      </c>
      <c r="M846" s="130">
        <v>100</v>
      </c>
      <c r="N846" s="22" t="s">
        <v>1477</v>
      </c>
      <c r="O846" s="25"/>
    </row>
    <row r="847" spans="1:15" ht="51" customHeight="1" x14ac:dyDescent="0.25">
      <c r="A847" s="285" t="s">
        <v>1490</v>
      </c>
      <c r="B847" s="217" t="s">
        <v>1491</v>
      </c>
      <c r="C847" s="17"/>
      <c r="D847" s="51">
        <f>SUM(D848:D848)</f>
        <v>169.1</v>
      </c>
      <c r="E847" s="51">
        <f>SUM(E848:E848)</f>
        <v>169.1</v>
      </c>
      <c r="F847" s="51">
        <f>SUM(F848:F848)</f>
        <v>97.7</v>
      </c>
      <c r="G847" s="51">
        <f>SUM(G848:G848)</f>
        <v>71.400000000000006</v>
      </c>
      <c r="H847" s="51">
        <f>SUM(H848:H848)</f>
        <v>71.400000000000006</v>
      </c>
      <c r="I847" s="54">
        <f t="shared" si="99"/>
        <v>0.57776463630987585</v>
      </c>
      <c r="J847" s="17" t="s">
        <v>1455</v>
      </c>
      <c r="K847" s="18" t="s">
        <v>19</v>
      </c>
      <c r="L847" s="18">
        <v>40</v>
      </c>
      <c r="M847" s="125">
        <v>40</v>
      </c>
      <c r="N847" s="17" t="s">
        <v>1492</v>
      </c>
      <c r="O847" s="19"/>
    </row>
    <row r="848" spans="1:15" ht="51.75" thickBot="1" x14ac:dyDescent="0.3">
      <c r="A848" s="287"/>
      <c r="B848" s="219"/>
      <c r="C848" s="22" t="s">
        <v>26</v>
      </c>
      <c r="D848" s="53">
        <v>169.1</v>
      </c>
      <c r="E848" s="53">
        <v>169.1</v>
      </c>
      <c r="F848" s="53">
        <v>97.7</v>
      </c>
      <c r="G848" s="53">
        <v>71.400000000000006</v>
      </c>
      <c r="H848" s="53">
        <v>71.400000000000006</v>
      </c>
      <c r="I848" s="68">
        <f t="shared" si="99"/>
        <v>0.57776463630987585</v>
      </c>
      <c r="J848" s="22" t="s">
        <v>1493</v>
      </c>
      <c r="K848" s="24" t="s">
        <v>19</v>
      </c>
      <c r="L848" s="24">
        <v>3</v>
      </c>
      <c r="M848" s="130">
        <v>3</v>
      </c>
      <c r="N848" s="22" t="s">
        <v>1460</v>
      </c>
      <c r="O848" s="25"/>
    </row>
    <row r="849" spans="1:15" ht="127.5" x14ac:dyDescent="0.25">
      <c r="A849" s="285" t="s">
        <v>1494</v>
      </c>
      <c r="B849" s="217" t="s">
        <v>1495</v>
      </c>
      <c r="C849" s="17"/>
      <c r="D849" s="51">
        <f>SUM(D850:D854)</f>
        <v>865.2</v>
      </c>
      <c r="E849" s="51">
        <f>SUM(E850:E854)</f>
        <v>865.2</v>
      </c>
      <c r="F849" s="51">
        <f>SUM(F850:F854)</f>
        <v>797.8</v>
      </c>
      <c r="G849" s="51">
        <f>SUM(G850:G854)</f>
        <v>67.400000000000006</v>
      </c>
      <c r="H849" s="51">
        <f>SUM(H850:H854)</f>
        <v>67.400000000000006</v>
      </c>
      <c r="I849" s="54">
        <f t="shared" si="99"/>
        <v>0.92209893666204334</v>
      </c>
      <c r="J849" s="17" t="s">
        <v>1496</v>
      </c>
      <c r="K849" s="18" t="s">
        <v>337</v>
      </c>
      <c r="L849" s="18">
        <v>8</v>
      </c>
      <c r="M849" s="125">
        <v>8</v>
      </c>
      <c r="N849" s="17" t="s">
        <v>1497</v>
      </c>
      <c r="O849" s="19"/>
    </row>
    <row r="850" spans="1:15" ht="25.5" x14ac:dyDescent="0.25">
      <c r="A850" s="286"/>
      <c r="B850" s="218"/>
      <c r="C850" s="22"/>
      <c r="D850" s="53"/>
      <c r="E850" s="53"/>
      <c r="F850" s="53"/>
      <c r="G850" s="53"/>
      <c r="H850" s="53"/>
      <c r="I850" s="55"/>
      <c r="J850" s="22" t="s">
        <v>1498</v>
      </c>
      <c r="K850" s="24" t="s">
        <v>25</v>
      </c>
      <c r="L850" s="24">
        <v>100</v>
      </c>
      <c r="M850" s="130">
        <v>100</v>
      </c>
      <c r="N850" s="22" t="s">
        <v>1499</v>
      </c>
      <c r="O850" s="25"/>
    </row>
    <row r="851" spans="1:15" ht="26.25" thickBot="1" x14ac:dyDescent="0.3">
      <c r="A851" s="287"/>
      <c r="B851" s="219"/>
      <c r="C851" s="22"/>
      <c r="D851" s="53"/>
      <c r="E851" s="53"/>
      <c r="F851" s="53"/>
      <c r="G851" s="53"/>
      <c r="H851" s="53"/>
      <c r="I851" s="67"/>
      <c r="J851" s="22" t="s">
        <v>1500</v>
      </c>
      <c r="K851" s="24" t="s">
        <v>25</v>
      </c>
      <c r="L851" s="24">
        <v>100</v>
      </c>
      <c r="M851" s="130">
        <v>100</v>
      </c>
      <c r="N851" s="22" t="s">
        <v>1501</v>
      </c>
      <c r="O851" s="25"/>
    </row>
    <row r="852" spans="1:15" ht="26.25" thickBot="1" x14ac:dyDescent="0.3">
      <c r="A852" s="15" t="s">
        <v>1502</v>
      </c>
      <c r="B852" s="16" t="s">
        <v>1503</v>
      </c>
      <c r="C852" s="17" t="s">
        <v>26</v>
      </c>
      <c r="D852" s="61">
        <v>528.70000000000005</v>
      </c>
      <c r="E852" s="61">
        <v>528.70000000000005</v>
      </c>
      <c r="F852" s="61">
        <v>478.7</v>
      </c>
      <c r="G852" s="61">
        <v>50</v>
      </c>
      <c r="H852" s="61">
        <v>50</v>
      </c>
      <c r="I852" s="62">
        <f t="shared" ref="I852:I865" si="100">SUM(F852/E852)</f>
        <v>0.90542840930584445</v>
      </c>
      <c r="J852" s="17" t="s">
        <v>1504</v>
      </c>
      <c r="K852" s="18" t="s">
        <v>25</v>
      </c>
      <c r="L852" s="18">
        <v>100</v>
      </c>
      <c r="M852" s="125">
        <v>100</v>
      </c>
      <c r="N852" s="17" t="s">
        <v>1505</v>
      </c>
      <c r="O852" s="19"/>
    </row>
    <row r="853" spans="1:15" ht="26.25" thickBot="1" x14ac:dyDescent="0.3">
      <c r="A853" s="15" t="s">
        <v>1506</v>
      </c>
      <c r="B853" s="16" t="s">
        <v>1507</v>
      </c>
      <c r="C853" s="17" t="s">
        <v>26</v>
      </c>
      <c r="D853" s="61">
        <v>15</v>
      </c>
      <c r="E853" s="61">
        <v>15</v>
      </c>
      <c r="F853" s="61">
        <v>14.5</v>
      </c>
      <c r="G853" s="61">
        <v>0.5</v>
      </c>
      <c r="H853" s="61">
        <v>0.5</v>
      </c>
      <c r="I853" s="62">
        <f t="shared" si="100"/>
        <v>0.96666666666666667</v>
      </c>
      <c r="J853" s="17" t="s">
        <v>734</v>
      </c>
      <c r="K853" s="18" t="s">
        <v>25</v>
      </c>
      <c r="L853" s="18">
        <v>100</v>
      </c>
      <c r="M853" s="125">
        <v>100</v>
      </c>
      <c r="N853" s="17" t="s">
        <v>1508</v>
      </c>
      <c r="O853" s="19"/>
    </row>
    <row r="854" spans="1:15" ht="128.25" thickBot="1" x14ac:dyDescent="0.3">
      <c r="A854" s="15" t="s">
        <v>1509</v>
      </c>
      <c r="B854" s="16" t="s">
        <v>1510</v>
      </c>
      <c r="C854" s="17" t="s">
        <v>26</v>
      </c>
      <c r="D854" s="61">
        <v>321.5</v>
      </c>
      <c r="E854" s="61">
        <v>321.5</v>
      </c>
      <c r="F854" s="61">
        <v>304.60000000000002</v>
      </c>
      <c r="G854" s="61">
        <v>16.899999999999999</v>
      </c>
      <c r="H854" s="61">
        <v>16.899999999999999</v>
      </c>
      <c r="I854" s="62">
        <f t="shared" si="100"/>
        <v>0.94743390357698298</v>
      </c>
      <c r="J854" s="17" t="s">
        <v>1496</v>
      </c>
      <c r="K854" s="18" t="s">
        <v>337</v>
      </c>
      <c r="L854" s="18">
        <v>8</v>
      </c>
      <c r="M854" s="125">
        <v>8</v>
      </c>
      <c r="N854" s="17" t="s">
        <v>1511</v>
      </c>
      <c r="O854" s="19"/>
    </row>
    <row r="855" spans="1:15" ht="39" thickBot="1" x14ac:dyDescent="0.3">
      <c r="A855" s="15" t="s">
        <v>1512</v>
      </c>
      <c r="B855" s="16" t="s">
        <v>1513</v>
      </c>
      <c r="C855" s="17" t="s">
        <v>26</v>
      </c>
      <c r="D855" s="61">
        <v>319.39999999999998</v>
      </c>
      <c r="E855" s="61">
        <v>319.39999999999998</v>
      </c>
      <c r="F855" s="61">
        <v>302.5</v>
      </c>
      <c r="G855" s="61">
        <v>16.899999999999999</v>
      </c>
      <c r="H855" s="61">
        <v>16.899999999999999</v>
      </c>
      <c r="I855" s="62">
        <f t="shared" si="100"/>
        <v>0.9470882905447715</v>
      </c>
      <c r="J855" s="17" t="s">
        <v>1514</v>
      </c>
      <c r="K855" s="18" t="s">
        <v>337</v>
      </c>
      <c r="L855" s="18">
        <v>6</v>
      </c>
      <c r="M855" s="135">
        <v>5</v>
      </c>
      <c r="N855" s="17" t="s">
        <v>1515</v>
      </c>
      <c r="O855" s="19" t="s">
        <v>1888</v>
      </c>
    </row>
    <row r="856" spans="1:15" ht="216.75" x14ac:dyDescent="0.25">
      <c r="A856" s="285" t="s">
        <v>1516</v>
      </c>
      <c r="B856" s="217" t="s">
        <v>1517</v>
      </c>
      <c r="C856" s="17"/>
      <c r="D856" s="51">
        <f>SUM(D857:D859)</f>
        <v>1543.4</v>
      </c>
      <c r="E856" s="51">
        <f>SUM(E857:E859)</f>
        <v>1543.4</v>
      </c>
      <c r="F856" s="51">
        <f>SUM(F857:F859)</f>
        <v>1543.2</v>
      </c>
      <c r="G856" s="51">
        <f>SUM(G857:G859)</f>
        <v>0.2</v>
      </c>
      <c r="H856" s="51">
        <f>SUM(H857:H859)</f>
        <v>0.2</v>
      </c>
      <c r="I856" s="54">
        <f t="shared" si="100"/>
        <v>0.99987041596475312</v>
      </c>
      <c r="J856" s="17" t="s">
        <v>1518</v>
      </c>
      <c r="K856" s="18" t="s">
        <v>25</v>
      </c>
      <c r="L856" s="18">
        <v>100</v>
      </c>
      <c r="M856" s="125">
        <v>100</v>
      </c>
      <c r="N856" s="17" t="s">
        <v>1519</v>
      </c>
      <c r="O856" s="116"/>
    </row>
    <row r="857" spans="1:15" x14ac:dyDescent="0.25">
      <c r="A857" s="286"/>
      <c r="B857" s="218"/>
      <c r="C857" s="22" t="s">
        <v>26</v>
      </c>
      <c r="D857" s="53">
        <v>1492.6</v>
      </c>
      <c r="E857" s="53">
        <v>1492.6</v>
      </c>
      <c r="F857" s="53">
        <v>1492.6</v>
      </c>
      <c r="G857" s="53"/>
      <c r="H857" s="53"/>
      <c r="I857" s="54">
        <f t="shared" si="100"/>
        <v>1</v>
      </c>
      <c r="J857" s="22"/>
      <c r="K857" s="24"/>
      <c r="L857" s="81"/>
      <c r="M857" s="82"/>
      <c r="N857" s="22"/>
      <c r="O857" s="25"/>
    </row>
    <row r="858" spans="1:15" x14ac:dyDescent="0.25">
      <c r="A858" s="286"/>
      <c r="B858" s="218"/>
      <c r="C858" s="22" t="s">
        <v>30</v>
      </c>
      <c r="D858" s="53">
        <v>50.4</v>
      </c>
      <c r="E858" s="53">
        <v>50.4</v>
      </c>
      <c r="F858" s="53">
        <v>50.4</v>
      </c>
      <c r="G858" s="53"/>
      <c r="H858" s="53"/>
      <c r="I858" s="54">
        <f t="shared" si="100"/>
        <v>1</v>
      </c>
      <c r="J858" s="22"/>
      <c r="K858" s="24"/>
      <c r="L858" s="81"/>
      <c r="M858" s="82"/>
      <c r="N858" s="22"/>
      <c r="O858" s="25"/>
    </row>
    <row r="859" spans="1:15" ht="15.75" thickBot="1" x14ac:dyDescent="0.3">
      <c r="A859" s="287"/>
      <c r="B859" s="219"/>
      <c r="C859" s="22" t="s">
        <v>168</v>
      </c>
      <c r="D859" s="53">
        <v>0.4</v>
      </c>
      <c r="E859" s="53">
        <v>0.4</v>
      </c>
      <c r="F859" s="53">
        <v>0.2</v>
      </c>
      <c r="G859" s="53">
        <v>0.2</v>
      </c>
      <c r="H859" s="53">
        <v>0.2</v>
      </c>
      <c r="I859" s="68">
        <f t="shared" si="100"/>
        <v>0.5</v>
      </c>
      <c r="J859" s="22"/>
      <c r="K859" s="24"/>
      <c r="L859" s="81"/>
      <c r="M859" s="82"/>
      <c r="N859" s="22"/>
      <c r="O859" s="25"/>
    </row>
    <row r="860" spans="1:15" ht="51" x14ac:dyDescent="0.25">
      <c r="A860" s="285" t="s">
        <v>1520</v>
      </c>
      <c r="B860" s="217" t="s">
        <v>1521</v>
      </c>
      <c r="C860" s="17"/>
      <c r="D860" s="51">
        <f>SUM(D861:D861)</f>
        <v>91.9</v>
      </c>
      <c r="E860" s="51">
        <f>SUM(E861:E861)</f>
        <v>91.9</v>
      </c>
      <c r="F860" s="51">
        <f>SUM(F861:F861)</f>
        <v>91.2</v>
      </c>
      <c r="G860" s="51">
        <f>SUM(G861:G861)</f>
        <v>0.7</v>
      </c>
      <c r="H860" s="51">
        <f>SUM(H861:H861)</f>
        <v>0.7</v>
      </c>
      <c r="I860" s="54">
        <f t="shared" si="100"/>
        <v>0.99238302502720344</v>
      </c>
      <c r="J860" s="17" t="s">
        <v>1522</v>
      </c>
      <c r="K860" s="18" t="s">
        <v>25</v>
      </c>
      <c r="L860" s="18">
        <v>100</v>
      </c>
      <c r="M860" s="125">
        <v>100</v>
      </c>
      <c r="N860" s="143" t="s">
        <v>1828</v>
      </c>
      <c r="O860" s="19"/>
    </row>
    <row r="861" spans="1:15" ht="15.75" thickBot="1" x14ac:dyDescent="0.3">
      <c r="A861" s="287"/>
      <c r="B861" s="219"/>
      <c r="C861" s="22" t="s">
        <v>26</v>
      </c>
      <c r="D861" s="53">
        <v>91.9</v>
      </c>
      <c r="E861" s="53">
        <v>91.9</v>
      </c>
      <c r="F861" s="53">
        <v>91.2</v>
      </c>
      <c r="G861" s="53">
        <v>0.7</v>
      </c>
      <c r="H861" s="53">
        <v>0.7</v>
      </c>
      <c r="I861" s="68">
        <f t="shared" si="100"/>
        <v>0.99238302502720344</v>
      </c>
      <c r="J861" s="22"/>
      <c r="K861" s="24"/>
      <c r="L861" s="81"/>
      <c r="M861" s="82"/>
      <c r="N861" s="22"/>
      <c r="O861" s="25"/>
    </row>
    <row r="862" spans="1:15" ht="63.75" x14ac:dyDescent="0.25">
      <c r="A862" s="285" t="s">
        <v>1523</v>
      </c>
      <c r="B862" s="217" t="s">
        <v>1524</v>
      </c>
      <c r="C862" s="17"/>
      <c r="D862" s="51">
        <f>SUM(D863:D864)</f>
        <v>275</v>
      </c>
      <c r="E862" s="51">
        <f>SUM(E863:E864)</f>
        <v>275</v>
      </c>
      <c r="F862" s="51">
        <f>SUM(F863:F864)</f>
        <v>10.1</v>
      </c>
      <c r="G862" s="51">
        <f>SUM(G863:G864)</f>
        <v>264.89999999999998</v>
      </c>
      <c r="H862" s="51">
        <f>SUM(H863:H864)</f>
        <v>264.89999999999998</v>
      </c>
      <c r="I862" s="54">
        <f t="shared" si="100"/>
        <v>3.6727272727272726E-2</v>
      </c>
      <c r="J862" s="17" t="s">
        <v>1525</v>
      </c>
      <c r="K862" s="18" t="s">
        <v>25</v>
      </c>
      <c r="L862" s="18">
        <v>100</v>
      </c>
      <c r="M862" s="125">
        <v>100</v>
      </c>
      <c r="N862" s="143" t="s">
        <v>1765</v>
      </c>
      <c r="O862" s="19"/>
    </row>
    <row r="863" spans="1:15" x14ac:dyDescent="0.25">
      <c r="A863" s="286"/>
      <c r="B863" s="218"/>
      <c r="C863" s="22" t="s">
        <v>30</v>
      </c>
      <c r="D863" s="53">
        <v>45</v>
      </c>
      <c r="E863" s="53">
        <v>45</v>
      </c>
      <c r="F863" s="53">
        <v>10.1</v>
      </c>
      <c r="G863" s="53">
        <v>34.9</v>
      </c>
      <c r="H863" s="53">
        <v>34.9</v>
      </c>
      <c r="I863" s="54">
        <f t="shared" si="100"/>
        <v>0.22444444444444445</v>
      </c>
      <c r="J863" s="22"/>
      <c r="K863" s="24"/>
      <c r="L863" s="81"/>
      <c r="M863" s="82"/>
      <c r="N863" s="22"/>
      <c r="O863" s="25"/>
    </row>
    <row r="864" spans="1:15" ht="15.75" thickBot="1" x14ac:dyDescent="0.3">
      <c r="A864" s="287"/>
      <c r="B864" s="219"/>
      <c r="C864" s="22" t="s">
        <v>26</v>
      </c>
      <c r="D864" s="53">
        <v>230</v>
      </c>
      <c r="E864" s="53">
        <v>230</v>
      </c>
      <c r="F864" s="53">
        <v>0</v>
      </c>
      <c r="G864" s="53">
        <v>230</v>
      </c>
      <c r="H864" s="53">
        <v>230</v>
      </c>
      <c r="I864" s="68">
        <f t="shared" si="100"/>
        <v>0</v>
      </c>
      <c r="J864" s="22"/>
      <c r="K864" s="24"/>
      <c r="L864" s="81"/>
      <c r="M864" s="82"/>
      <c r="N864" s="22"/>
      <c r="O864" s="25"/>
    </row>
    <row r="865" spans="1:15" ht="51" x14ac:dyDescent="0.25">
      <c r="A865" s="285" t="s">
        <v>1526</v>
      </c>
      <c r="B865" s="217" t="s">
        <v>1527</v>
      </c>
      <c r="C865" s="17" t="s">
        <v>26</v>
      </c>
      <c r="D865" s="51">
        <f>SUM(D866:D868)+50</f>
        <v>50</v>
      </c>
      <c r="E865" s="51">
        <f>SUM(E866:E868)+50</f>
        <v>50</v>
      </c>
      <c r="F865" s="51"/>
      <c r="G865" s="51">
        <f>SUM(G866:G868)+50</f>
        <v>50</v>
      </c>
      <c r="H865" s="51">
        <f>SUM(H866:H868)+50</f>
        <v>50</v>
      </c>
      <c r="I865" s="54">
        <f t="shared" si="100"/>
        <v>0</v>
      </c>
      <c r="J865" s="17" t="s">
        <v>1528</v>
      </c>
      <c r="K865" s="18" t="s">
        <v>337</v>
      </c>
      <c r="L865" s="18">
        <v>1</v>
      </c>
      <c r="M865" s="125">
        <v>1</v>
      </c>
      <c r="N865" s="17" t="s">
        <v>1529</v>
      </c>
      <c r="O865" s="116"/>
    </row>
    <row r="866" spans="1:15" ht="38.25" x14ac:dyDescent="0.25">
      <c r="A866" s="286"/>
      <c r="B866" s="218"/>
      <c r="C866" s="22"/>
      <c r="D866" s="53"/>
      <c r="E866" s="53"/>
      <c r="F866" s="53"/>
      <c r="G866" s="53"/>
      <c r="H866" s="53"/>
      <c r="I866" s="55"/>
      <c r="J866" s="22" t="s">
        <v>1530</v>
      </c>
      <c r="K866" s="24" t="s">
        <v>19</v>
      </c>
      <c r="L866" s="24">
        <v>1</v>
      </c>
      <c r="M866" s="130">
        <v>1</v>
      </c>
      <c r="N866" s="22" t="s">
        <v>1531</v>
      </c>
      <c r="O866" s="25"/>
    </row>
    <row r="867" spans="1:15" x14ac:dyDescent="0.25">
      <c r="A867" s="286"/>
      <c r="B867" s="218"/>
      <c r="C867" s="22"/>
      <c r="D867" s="53"/>
      <c r="E867" s="53"/>
      <c r="F867" s="53"/>
      <c r="G867" s="53"/>
      <c r="H867" s="53"/>
      <c r="I867" s="55"/>
      <c r="J867" s="22" t="s">
        <v>1532</v>
      </c>
      <c r="K867" s="24" t="s">
        <v>19</v>
      </c>
      <c r="L867" s="24">
        <v>0</v>
      </c>
      <c r="M867" s="82">
        <v>0</v>
      </c>
      <c r="N867" s="22"/>
      <c r="O867" s="25"/>
    </row>
    <row r="868" spans="1:15" ht="15.75" thickBot="1" x14ac:dyDescent="0.3">
      <c r="A868" s="287"/>
      <c r="B868" s="219"/>
      <c r="C868" s="22"/>
      <c r="D868" s="53"/>
      <c r="E868" s="53"/>
      <c r="F868" s="53"/>
      <c r="G868" s="53"/>
      <c r="H868" s="53"/>
      <c r="I868" s="55"/>
      <c r="J868" s="22" t="s">
        <v>1533</v>
      </c>
      <c r="K868" s="24" t="s">
        <v>19</v>
      </c>
      <c r="L868" s="24">
        <v>0</v>
      </c>
      <c r="M868" s="82">
        <v>0</v>
      </c>
      <c r="N868" s="22"/>
      <c r="O868" s="25"/>
    </row>
    <row r="869" spans="1:15" ht="26.25" thickBot="1" x14ac:dyDescent="0.3">
      <c r="A869" s="12" t="s">
        <v>1534</v>
      </c>
      <c r="B869" s="13" t="s">
        <v>1535</v>
      </c>
      <c r="C869" s="14"/>
      <c r="D869" s="49">
        <f>D870+D871+D872+D873+D874+D875+D876+D877+D878+D879+D880+D881+D882+D883+D884+D885+D886+D889+D891+D892</f>
        <v>637.59999999999991</v>
      </c>
      <c r="E869" s="49">
        <f>E870+E871+E872+E873+E874+E875+E876+E877+E878+E879+E880+E881+E882+E883+E884+E885+E886+E889+E891+E892</f>
        <v>637.59999999999991</v>
      </c>
      <c r="F869" s="49">
        <f>F870+F871+F872+F873+F874+F875+F876+F877+F878+F879+F880+F881+F882+F883+F884+F885+F886+F889+F891+F892</f>
        <v>618.19999999999993</v>
      </c>
      <c r="G869" s="49">
        <f>G870+G871+G872+G873+G874+G875+G876+G877+G878+G879+G880+G881+G882+G883+G884+G885+G886+G889+G891+G892+0.1</f>
        <v>19.399999999999999</v>
      </c>
      <c r="H869" s="49">
        <f>H870+H871+H872+H873+H874+H875+H876+H877+H878+H879+H880+H881+H882+H883+H884+H885+H886+H889+H891+H892+0.1</f>
        <v>19.399999999999999</v>
      </c>
      <c r="I869" s="66">
        <f>SUM(F869/E869)</f>
        <v>0.96957340025094108</v>
      </c>
      <c r="J869" s="263"/>
      <c r="K869" s="264"/>
      <c r="L869" s="264"/>
      <c r="M869" s="264"/>
      <c r="N869" s="264"/>
      <c r="O869" s="265"/>
    </row>
    <row r="870" spans="1:15" ht="15.75" thickBot="1" x14ac:dyDescent="0.3">
      <c r="A870" s="15" t="s">
        <v>1536</v>
      </c>
      <c r="B870" s="16" t="s">
        <v>1537</v>
      </c>
      <c r="C870" s="17" t="s">
        <v>755</v>
      </c>
      <c r="D870" s="61">
        <v>11.3</v>
      </c>
      <c r="E870" s="61">
        <v>11.3</v>
      </c>
      <c r="F870" s="61">
        <v>11.3</v>
      </c>
      <c r="G870" s="61"/>
      <c r="H870" s="61"/>
      <c r="I870" s="62">
        <f t="shared" ref="I870:I889" si="101">SUM(F870/E870)</f>
        <v>1</v>
      </c>
      <c r="J870" s="17" t="s">
        <v>1476</v>
      </c>
      <c r="K870" s="18" t="s">
        <v>25</v>
      </c>
      <c r="L870" s="18">
        <v>100</v>
      </c>
      <c r="M870" s="125">
        <v>100</v>
      </c>
      <c r="N870" s="17" t="s">
        <v>1477</v>
      </c>
      <c r="O870" s="19"/>
    </row>
    <row r="871" spans="1:15" ht="26.25" thickBot="1" x14ac:dyDescent="0.3">
      <c r="A871" s="15" t="s">
        <v>1538</v>
      </c>
      <c r="B871" s="16" t="s">
        <v>1539</v>
      </c>
      <c r="C871" s="17" t="s">
        <v>755</v>
      </c>
      <c r="D871" s="61">
        <v>0.2</v>
      </c>
      <c r="E871" s="61">
        <v>0.2</v>
      </c>
      <c r="F871" s="61">
        <v>0.2</v>
      </c>
      <c r="G871" s="61"/>
      <c r="H871" s="61"/>
      <c r="I871" s="62">
        <f t="shared" si="101"/>
        <v>1</v>
      </c>
      <c r="J871" s="17" t="s">
        <v>1476</v>
      </c>
      <c r="K871" s="18" t="s">
        <v>25</v>
      </c>
      <c r="L871" s="18">
        <v>100</v>
      </c>
      <c r="M871" s="125">
        <v>100</v>
      </c>
      <c r="N871" s="17" t="s">
        <v>1477</v>
      </c>
      <c r="O871" s="19"/>
    </row>
    <row r="872" spans="1:15" ht="15.75" thickBot="1" x14ac:dyDescent="0.3">
      <c r="A872" s="15" t="s">
        <v>1540</v>
      </c>
      <c r="B872" s="16" t="s">
        <v>1541</v>
      </c>
      <c r="C872" s="17" t="s">
        <v>755</v>
      </c>
      <c r="D872" s="61">
        <v>28.8</v>
      </c>
      <c r="E872" s="61">
        <v>28.8</v>
      </c>
      <c r="F872" s="61">
        <v>28.8</v>
      </c>
      <c r="G872" s="61"/>
      <c r="H872" s="61"/>
      <c r="I872" s="62">
        <f t="shared" si="101"/>
        <v>1</v>
      </c>
      <c r="J872" s="17" t="s">
        <v>1476</v>
      </c>
      <c r="K872" s="18" t="s">
        <v>25</v>
      </c>
      <c r="L872" s="18">
        <v>100</v>
      </c>
      <c r="M872" s="125">
        <v>100</v>
      </c>
      <c r="N872" s="17" t="s">
        <v>1477</v>
      </c>
      <c r="O872" s="19"/>
    </row>
    <row r="873" spans="1:15" ht="15.75" thickBot="1" x14ac:dyDescent="0.3">
      <c r="A873" s="15" t="s">
        <v>1542</v>
      </c>
      <c r="B873" s="16" t="s">
        <v>1543</v>
      </c>
      <c r="C873" s="17" t="s">
        <v>755</v>
      </c>
      <c r="D873" s="61">
        <v>58.4</v>
      </c>
      <c r="E873" s="61">
        <v>58.4</v>
      </c>
      <c r="F873" s="61">
        <v>58.4</v>
      </c>
      <c r="G873" s="61"/>
      <c r="H873" s="61"/>
      <c r="I873" s="62">
        <f t="shared" si="101"/>
        <v>1</v>
      </c>
      <c r="J873" s="17" t="s">
        <v>1476</v>
      </c>
      <c r="K873" s="18" t="s">
        <v>25</v>
      </c>
      <c r="L873" s="18">
        <v>100</v>
      </c>
      <c r="M873" s="125">
        <v>100</v>
      </c>
      <c r="N873" s="17" t="s">
        <v>1477</v>
      </c>
      <c r="O873" s="19"/>
    </row>
    <row r="874" spans="1:15" ht="15.75" thickBot="1" x14ac:dyDescent="0.3">
      <c r="A874" s="15" t="s">
        <v>1544</v>
      </c>
      <c r="B874" s="16" t="s">
        <v>1545</v>
      </c>
      <c r="C874" s="17" t="s">
        <v>755</v>
      </c>
      <c r="D874" s="61">
        <v>1.9</v>
      </c>
      <c r="E874" s="61">
        <v>1.9</v>
      </c>
      <c r="F874" s="61">
        <v>1.9</v>
      </c>
      <c r="G874" s="61"/>
      <c r="H874" s="61"/>
      <c r="I874" s="62">
        <f t="shared" si="101"/>
        <v>1</v>
      </c>
      <c r="J874" s="17" t="s">
        <v>1476</v>
      </c>
      <c r="K874" s="18" t="s">
        <v>25</v>
      </c>
      <c r="L874" s="18">
        <v>100</v>
      </c>
      <c r="M874" s="125">
        <v>100</v>
      </c>
      <c r="N874" s="17" t="s">
        <v>1477</v>
      </c>
      <c r="O874" s="19"/>
    </row>
    <row r="875" spans="1:15" ht="26.25" thickBot="1" x14ac:dyDescent="0.3">
      <c r="A875" s="15" t="s">
        <v>1546</v>
      </c>
      <c r="B875" s="16" t="s">
        <v>1547</v>
      </c>
      <c r="C875" s="17" t="s">
        <v>755</v>
      </c>
      <c r="D875" s="61">
        <v>17</v>
      </c>
      <c r="E875" s="61">
        <v>17</v>
      </c>
      <c r="F875" s="61">
        <v>17</v>
      </c>
      <c r="G875" s="61"/>
      <c r="H875" s="61"/>
      <c r="I875" s="62">
        <f t="shared" si="101"/>
        <v>1</v>
      </c>
      <c r="J875" s="17" t="s">
        <v>1476</v>
      </c>
      <c r="K875" s="18" t="s">
        <v>25</v>
      </c>
      <c r="L875" s="18">
        <v>100</v>
      </c>
      <c r="M875" s="125">
        <v>100</v>
      </c>
      <c r="N875" s="17" t="s">
        <v>1477</v>
      </c>
      <c r="O875" s="19"/>
    </row>
    <row r="876" spans="1:15" ht="15.75" thickBot="1" x14ac:dyDescent="0.3">
      <c r="A876" s="15" t="s">
        <v>1548</v>
      </c>
      <c r="B876" s="16" t="s">
        <v>1549</v>
      </c>
      <c r="C876" s="17" t="s">
        <v>755</v>
      </c>
      <c r="D876" s="61">
        <v>31.9</v>
      </c>
      <c r="E876" s="61">
        <v>31.9</v>
      </c>
      <c r="F876" s="61">
        <v>30.1</v>
      </c>
      <c r="G876" s="61">
        <v>1.8</v>
      </c>
      <c r="H876" s="61">
        <v>1.8</v>
      </c>
      <c r="I876" s="62">
        <f t="shared" si="101"/>
        <v>0.94357366771159878</v>
      </c>
      <c r="J876" s="17" t="s">
        <v>1476</v>
      </c>
      <c r="K876" s="18" t="s">
        <v>25</v>
      </c>
      <c r="L876" s="18">
        <v>100</v>
      </c>
      <c r="M876" s="125">
        <v>100</v>
      </c>
      <c r="N876" s="17" t="s">
        <v>1477</v>
      </c>
      <c r="O876" s="116"/>
    </row>
    <row r="877" spans="1:15" ht="15.75" thickBot="1" x14ac:dyDescent="0.3">
      <c r="A877" s="15" t="s">
        <v>1550</v>
      </c>
      <c r="B877" s="16" t="s">
        <v>1551</v>
      </c>
      <c r="C877" s="17" t="s">
        <v>755</v>
      </c>
      <c r="D877" s="61">
        <v>80.599999999999994</v>
      </c>
      <c r="E877" s="61">
        <v>80.599999999999994</v>
      </c>
      <c r="F877" s="61">
        <v>80.599999999999994</v>
      </c>
      <c r="G877" s="61"/>
      <c r="H877" s="61"/>
      <c r="I877" s="62">
        <f t="shared" si="101"/>
        <v>1</v>
      </c>
      <c r="J877" s="17" t="s">
        <v>1476</v>
      </c>
      <c r="K877" s="18" t="s">
        <v>25</v>
      </c>
      <c r="L877" s="18">
        <v>100</v>
      </c>
      <c r="M877" s="125">
        <v>100</v>
      </c>
      <c r="N877" s="17" t="s">
        <v>1477</v>
      </c>
      <c r="O877" s="116"/>
    </row>
    <row r="878" spans="1:15" ht="15.75" thickBot="1" x14ac:dyDescent="0.3">
      <c r="A878" s="15" t="s">
        <v>1552</v>
      </c>
      <c r="B878" s="16" t="s">
        <v>1553</v>
      </c>
      <c r="C878" s="17" t="s">
        <v>755</v>
      </c>
      <c r="D878" s="61">
        <v>24.9</v>
      </c>
      <c r="E878" s="61">
        <v>24.9</v>
      </c>
      <c r="F878" s="61">
        <v>19.3</v>
      </c>
      <c r="G878" s="61">
        <v>5.6</v>
      </c>
      <c r="H878" s="61">
        <v>5.6</v>
      </c>
      <c r="I878" s="62">
        <f t="shared" si="101"/>
        <v>0.77510040160642579</v>
      </c>
      <c r="J878" s="17" t="s">
        <v>1476</v>
      </c>
      <c r="K878" s="18" t="s">
        <v>25</v>
      </c>
      <c r="L878" s="18">
        <v>100</v>
      </c>
      <c r="M878" s="125">
        <v>100</v>
      </c>
      <c r="N878" s="17" t="s">
        <v>1477</v>
      </c>
      <c r="O878" s="116"/>
    </row>
    <row r="879" spans="1:15" ht="15.75" thickBot="1" x14ac:dyDescent="0.3">
      <c r="A879" s="15" t="s">
        <v>1554</v>
      </c>
      <c r="B879" s="16" t="s">
        <v>1555</v>
      </c>
      <c r="C879" s="17" t="s">
        <v>755</v>
      </c>
      <c r="D879" s="61">
        <v>92.2</v>
      </c>
      <c r="E879" s="61">
        <v>92.2</v>
      </c>
      <c r="F879" s="61">
        <v>92.2</v>
      </c>
      <c r="G879" s="61"/>
      <c r="H879" s="61"/>
      <c r="I879" s="62">
        <f t="shared" si="101"/>
        <v>1</v>
      </c>
      <c r="J879" s="17" t="s">
        <v>1476</v>
      </c>
      <c r="K879" s="18" t="s">
        <v>25</v>
      </c>
      <c r="L879" s="18">
        <v>100</v>
      </c>
      <c r="M879" s="125">
        <v>100</v>
      </c>
      <c r="N879" s="17" t="s">
        <v>1477</v>
      </c>
      <c r="O879" s="116"/>
    </row>
    <row r="880" spans="1:15" ht="15.75" thickBot="1" x14ac:dyDescent="0.3">
      <c r="A880" s="15" t="s">
        <v>1556</v>
      </c>
      <c r="B880" s="16" t="s">
        <v>1557</v>
      </c>
      <c r="C880" s="17" t="s">
        <v>755</v>
      </c>
      <c r="D880" s="61">
        <v>8.4</v>
      </c>
      <c r="E880" s="61">
        <v>8.4</v>
      </c>
      <c r="F880" s="61">
        <v>8.4</v>
      </c>
      <c r="G880" s="61"/>
      <c r="H880" s="61"/>
      <c r="I880" s="62">
        <f t="shared" si="101"/>
        <v>1</v>
      </c>
      <c r="J880" s="17" t="s">
        <v>1476</v>
      </c>
      <c r="K880" s="18" t="s">
        <v>25</v>
      </c>
      <c r="L880" s="18">
        <v>100</v>
      </c>
      <c r="M880" s="125">
        <v>100</v>
      </c>
      <c r="N880" s="17" t="s">
        <v>1477</v>
      </c>
      <c r="O880" s="116"/>
    </row>
    <row r="881" spans="1:15" ht="26.25" thickBot="1" x14ac:dyDescent="0.3">
      <c r="A881" s="15" t="s">
        <v>1558</v>
      </c>
      <c r="B881" s="16" t="s">
        <v>1559</v>
      </c>
      <c r="C881" s="17" t="s">
        <v>755</v>
      </c>
      <c r="D881" s="61">
        <v>7.6</v>
      </c>
      <c r="E881" s="61">
        <v>7.6</v>
      </c>
      <c r="F881" s="61">
        <v>7.6</v>
      </c>
      <c r="G881" s="61"/>
      <c r="H881" s="61"/>
      <c r="I881" s="62">
        <f t="shared" si="101"/>
        <v>1</v>
      </c>
      <c r="J881" s="17" t="s">
        <v>1476</v>
      </c>
      <c r="K881" s="18" t="s">
        <v>25</v>
      </c>
      <c r="L881" s="18">
        <v>100</v>
      </c>
      <c r="M881" s="125">
        <v>100</v>
      </c>
      <c r="N881" s="17" t="s">
        <v>1477</v>
      </c>
      <c r="O881" s="116"/>
    </row>
    <row r="882" spans="1:15" ht="15.75" thickBot="1" x14ac:dyDescent="0.3">
      <c r="A882" s="15" t="s">
        <v>1560</v>
      </c>
      <c r="B882" s="16" t="s">
        <v>1561</v>
      </c>
      <c r="C882" s="17" t="s">
        <v>755</v>
      </c>
      <c r="D882" s="61">
        <v>22</v>
      </c>
      <c r="E882" s="61">
        <v>22</v>
      </c>
      <c r="F882" s="61">
        <v>15.1</v>
      </c>
      <c r="G882" s="61">
        <v>6.9</v>
      </c>
      <c r="H882" s="61">
        <v>6.9</v>
      </c>
      <c r="I882" s="62">
        <f t="shared" si="101"/>
        <v>0.6863636363636364</v>
      </c>
      <c r="J882" s="17" t="s">
        <v>1476</v>
      </c>
      <c r="K882" s="18" t="s">
        <v>25</v>
      </c>
      <c r="L882" s="18">
        <v>100</v>
      </c>
      <c r="M882" s="125">
        <v>100</v>
      </c>
      <c r="N882" s="17" t="s">
        <v>1477</v>
      </c>
      <c r="O882" s="116"/>
    </row>
    <row r="883" spans="1:15" ht="26.25" thickBot="1" x14ac:dyDescent="0.3">
      <c r="A883" s="15" t="s">
        <v>1562</v>
      </c>
      <c r="B883" s="16" t="s">
        <v>1563</v>
      </c>
      <c r="C883" s="17" t="s">
        <v>755</v>
      </c>
      <c r="D883" s="61">
        <v>59.8</v>
      </c>
      <c r="E883" s="61">
        <v>59.8</v>
      </c>
      <c r="F883" s="61">
        <v>55.7</v>
      </c>
      <c r="G883" s="61">
        <v>4.0999999999999996</v>
      </c>
      <c r="H883" s="61">
        <v>4.0999999999999996</v>
      </c>
      <c r="I883" s="62">
        <f t="shared" si="101"/>
        <v>0.93143812709030105</v>
      </c>
      <c r="J883" s="17" t="s">
        <v>1476</v>
      </c>
      <c r="K883" s="18" t="s">
        <v>25</v>
      </c>
      <c r="L883" s="18">
        <v>100</v>
      </c>
      <c r="M883" s="125">
        <v>100</v>
      </c>
      <c r="N883" s="17" t="s">
        <v>1477</v>
      </c>
      <c r="O883" s="116"/>
    </row>
    <row r="884" spans="1:15" ht="15.75" thickBot="1" x14ac:dyDescent="0.3">
      <c r="A884" s="15" t="s">
        <v>1564</v>
      </c>
      <c r="B884" s="16" t="s">
        <v>1565</v>
      </c>
      <c r="C884" s="17" t="s">
        <v>755</v>
      </c>
      <c r="D884" s="61">
        <v>112.9</v>
      </c>
      <c r="E884" s="61">
        <v>112.9</v>
      </c>
      <c r="F884" s="61">
        <v>112.9</v>
      </c>
      <c r="G884" s="61"/>
      <c r="H884" s="61"/>
      <c r="I884" s="62">
        <f t="shared" si="101"/>
        <v>1</v>
      </c>
      <c r="J884" s="17" t="s">
        <v>1476</v>
      </c>
      <c r="K884" s="18" t="s">
        <v>25</v>
      </c>
      <c r="L884" s="18">
        <v>100</v>
      </c>
      <c r="M884" s="125">
        <v>100</v>
      </c>
      <c r="N884" s="17" t="s">
        <v>1477</v>
      </c>
      <c r="O884" s="19"/>
    </row>
    <row r="885" spans="1:15" ht="26.25" thickBot="1" x14ac:dyDescent="0.3">
      <c r="A885" s="15" t="s">
        <v>1566</v>
      </c>
      <c r="B885" s="16" t="s">
        <v>1567</v>
      </c>
      <c r="C885" s="17" t="s">
        <v>755</v>
      </c>
      <c r="D885" s="61">
        <v>0.2</v>
      </c>
      <c r="E885" s="61">
        <v>0.2</v>
      </c>
      <c r="F885" s="61">
        <v>0</v>
      </c>
      <c r="G885" s="61">
        <v>0.2</v>
      </c>
      <c r="H885" s="61">
        <v>0.2</v>
      </c>
      <c r="I885" s="62">
        <f t="shared" si="101"/>
        <v>0</v>
      </c>
      <c r="J885" s="17" t="s">
        <v>1568</v>
      </c>
      <c r="K885" s="18" t="s">
        <v>19</v>
      </c>
      <c r="L885" s="18">
        <v>3</v>
      </c>
      <c r="M885" s="161">
        <v>0</v>
      </c>
      <c r="N885" s="17"/>
      <c r="O885" s="19" t="s">
        <v>1889</v>
      </c>
    </row>
    <row r="886" spans="1:15" ht="38.25" customHeight="1" x14ac:dyDescent="0.25">
      <c r="A886" s="285" t="s">
        <v>1569</v>
      </c>
      <c r="B886" s="217" t="s">
        <v>1570</v>
      </c>
      <c r="C886" s="17"/>
      <c r="D886" s="51">
        <f>SUM(D887:D888)</f>
        <v>3.4</v>
      </c>
      <c r="E886" s="51">
        <f>SUM(E887:E888)</f>
        <v>3.4</v>
      </c>
      <c r="F886" s="51">
        <f>SUM(F887:F888)</f>
        <v>3.4</v>
      </c>
      <c r="G886" s="51"/>
      <c r="H886" s="51"/>
      <c r="I886" s="54">
        <f t="shared" si="101"/>
        <v>1</v>
      </c>
      <c r="J886" s="17" t="s">
        <v>1476</v>
      </c>
      <c r="K886" s="18" t="s">
        <v>25</v>
      </c>
      <c r="L886" s="18">
        <v>100</v>
      </c>
      <c r="M886" s="125">
        <v>100</v>
      </c>
      <c r="N886" s="17" t="s">
        <v>1477</v>
      </c>
      <c r="O886" s="19"/>
    </row>
    <row r="887" spans="1:15" x14ac:dyDescent="0.25">
      <c r="A887" s="286"/>
      <c r="B887" s="218"/>
      <c r="C887" s="22" t="s">
        <v>181</v>
      </c>
      <c r="D887" s="53">
        <v>0.5</v>
      </c>
      <c r="E887" s="53">
        <v>0.5</v>
      </c>
      <c r="F887" s="53">
        <v>0.5</v>
      </c>
      <c r="G887" s="53"/>
      <c r="H887" s="53"/>
      <c r="I887" s="54">
        <f t="shared" si="101"/>
        <v>1</v>
      </c>
      <c r="J887" s="22"/>
      <c r="K887" s="24"/>
      <c r="L887" s="81"/>
      <c r="M887" s="82"/>
      <c r="N887" s="22"/>
      <c r="O887" s="25"/>
    </row>
    <row r="888" spans="1:15" ht="15.75" thickBot="1" x14ac:dyDescent="0.3">
      <c r="A888" s="287"/>
      <c r="B888" s="219"/>
      <c r="C888" s="22" t="s">
        <v>755</v>
      </c>
      <c r="D888" s="53">
        <v>2.9</v>
      </c>
      <c r="E888" s="53">
        <v>2.9</v>
      </c>
      <c r="F888" s="53">
        <v>2.9</v>
      </c>
      <c r="G888" s="53"/>
      <c r="H888" s="53"/>
      <c r="I888" s="68">
        <f t="shared" si="101"/>
        <v>1</v>
      </c>
      <c r="J888" s="22"/>
      <c r="K888" s="24"/>
      <c r="L888" s="81"/>
      <c r="M888" s="82"/>
      <c r="N888" s="22"/>
      <c r="O888" s="25"/>
    </row>
    <row r="889" spans="1:15" ht="25.5" x14ac:dyDescent="0.25">
      <c r="A889" s="285" t="s">
        <v>1571</v>
      </c>
      <c r="B889" s="217" t="s">
        <v>1572</v>
      </c>
      <c r="C889" s="17" t="s">
        <v>755</v>
      </c>
      <c r="D889" s="51">
        <f>SUM(D890:D890)+8.4</f>
        <v>8.4</v>
      </c>
      <c r="E889" s="51">
        <f>SUM(E890:E890)+8.4</f>
        <v>8.4</v>
      </c>
      <c r="F889" s="51">
        <f>SUM(F890:F890)+8.4</f>
        <v>8.4</v>
      </c>
      <c r="G889" s="51"/>
      <c r="H889" s="51"/>
      <c r="I889" s="54">
        <f t="shared" si="101"/>
        <v>1</v>
      </c>
      <c r="J889" s="17" t="s">
        <v>1573</v>
      </c>
      <c r="K889" s="18" t="s">
        <v>19</v>
      </c>
      <c r="L889" s="18">
        <v>2</v>
      </c>
      <c r="M889" s="135">
        <v>1</v>
      </c>
      <c r="N889" s="17" t="s">
        <v>1830</v>
      </c>
      <c r="O889" s="19" t="s">
        <v>1829</v>
      </c>
    </row>
    <row r="890" spans="1:15" ht="26.25" thickBot="1" x14ac:dyDescent="0.3">
      <c r="A890" s="287"/>
      <c r="B890" s="219"/>
      <c r="C890" s="22"/>
      <c r="D890" s="53"/>
      <c r="E890" s="53"/>
      <c r="F890" s="53"/>
      <c r="G890" s="53"/>
      <c r="H890" s="53"/>
      <c r="I890" s="67"/>
      <c r="J890" s="22" t="s">
        <v>1574</v>
      </c>
      <c r="K890" s="24" t="s">
        <v>19</v>
      </c>
      <c r="L890" s="24">
        <v>250</v>
      </c>
      <c r="M890" s="131">
        <v>285</v>
      </c>
      <c r="N890" s="22" t="s">
        <v>1575</v>
      </c>
      <c r="O890" s="25"/>
    </row>
    <row r="891" spans="1:15" ht="39" thickBot="1" x14ac:dyDescent="0.3">
      <c r="A891" s="15" t="s">
        <v>1576</v>
      </c>
      <c r="B891" s="16" t="s">
        <v>1577</v>
      </c>
      <c r="C891" s="17" t="s">
        <v>181</v>
      </c>
      <c r="D891" s="61">
        <v>28.9</v>
      </c>
      <c r="E891" s="61">
        <v>28.9</v>
      </c>
      <c r="F891" s="61">
        <v>28.1</v>
      </c>
      <c r="G891" s="61">
        <v>0.7</v>
      </c>
      <c r="H891" s="61">
        <v>0.7</v>
      </c>
      <c r="I891" s="62">
        <f t="shared" ref="I891:I892" si="102">SUM(F891/E891)</f>
        <v>0.97231833910034615</v>
      </c>
      <c r="J891" s="17" t="s">
        <v>1476</v>
      </c>
      <c r="K891" s="18" t="s">
        <v>25</v>
      </c>
      <c r="L891" s="18">
        <v>100</v>
      </c>
      <c r="M891" s="125">
        <v>100</v>
      </c>
      <c r="N891" s="17" t="s">
        <v>1477</v>
      </c>
      <c r="O891" s="19"/>
    </row>
    <row r="892" spans="1:15" ht="26.25" thickBot="1" x14ac:dyDescent="0.3">
      <c r="A892" s="15" t="s">
        <v>1578</v>
      </c>
      <c r="B892" s="16" t="s">
        <v>1579</v>
      </c>
      <c r="C892" s="17" t="s">
        <v>755</v>
      </c>
      <c r="D892" s="61">
        <v>38.799999999999997</v>
      </c>
      <c r="E892" s="61">
        <v>38.799999999999997</v>
      </c>
      <c r="F892" s="61">
        <v>38.799999999999997</v>
      </c>
      <c r="G892" s="61"/>
      <c r="H892" s="61"/>
      <c r="I892" s="54">
        <f t="shared" si="102"/>
        <v>1</v>
      </c>
      <c r="J892" s="17" t="s">
        <v>1580</v>
      </c>
      <c r="K892" s="18" t="s">
        <v>25</v>
      </c>
      <c r="L892" s="18">
        <v>100</v>
      </c>
      <c r="M892" s="125">
        <v>100</v>
      </c>
      <c r="N892" s="17" t="s">
        <v>1477</v>
      </c>
      <c r="O892" s="19"/>
    </row>
    <row r="893" spans="1:15" ht="39" thickBot="1" x14ac:dyDescent="0.3">
      <c r="A893" s="12" t="s">
        <v>1581</v>
      </c>
      <c r="B893" s="13" t="s">
        <v>1582</v>
      </c>
      <c r="C893" s="14"/>
      <c r="D893" s="49">
        <f>D894+D895+D909</f>
        <v>675.99999999999989</v>
      </c>
      <c r="E893" s="49">
        <f>E894+E895+E909</f>
        <v>675.99999999999989</v>
      </c>
      <c r="F893" s="49">
        <f>F894+F895+F909</f>
        <v>583.49999999999989</v>
      </c>
      <c r="G893" s="49">
        <f>G894+G895+G909</f>
        <v>92.5</v>
      </c>
      <c r="H893" s="49">
        <f>H894+H895+H909</f>
        <v>92.5</v>
      </c>
      <c r="I893" s="50">
        <f>SUM(F893/E893)</f>
        <v>0.86316568047337272</v>
      </c>
      <c r="J893" s="263"/>
      <c r="K893" s="264"/>
      <c r="L893" s="264"/>
      <c r="M893" s="264"/>
      <c r="N893" s="264"/>
      <c r="O893" s="265"/>
    </row>
    <row r="894" spans="1:15" ht="39.75" customHeight="1" thickBot="1" x14ac:dyDescent="0.3">
      <c r="A894" s="15" t="s">
        <v>1583</v>
      </c>
      <c r="B894" s="16" t="s">
        <v>1584</v>
      </c>
      <c r="C894" s="17"/>
      <c r="D894" s="61"/>
      <c r="E894" s="61"/>
      <c r="F894" s="61"/>
      <c r="G894" s="61"/>
      <c r="H894" s="61"/>
      <c r="I894" s="69"/>
      <c r="J894" s="17" t="s">
        <v>1585</v>
      </c>
      <c r="K894" s="18" t="s">
        <v>19</v>
      </c>
      <c r="L894" s="18">
        <v>10</v>
      </c>
      <c r="M894" s="125">
        <v>10</v>
      </c>
      <c r="N894" s="117"/>
      <c r="O894" s="19"/>
    </row>
    <row r="895" spans="1:15" ht="39" thickBot="1" x14ac:dyDescent="0.3">
      <c r="A895" s="15" t="s">
        <v>1586</v>
      </c>
      <c r="B895" s="16" t="s">
        <v>1587</v>
      </c>
      <c r="C895" s="17"/>
      <c r="D895" s="51">
        <f>D896+D901+D905+0.1</f>
        <v>614.69999999999993</v>
      </c>
      <c r="E895" s="51">
        <f>E896+E901+E905+0.1</f>
        <v>614.69999999999993</v>
      </c>
      <c r="F895" s="51">
        <f>F896+F901+F905+0.1</f>
        <v>555.19999999999993</v>
      </c>
      <c r="G895" s="51">
        <f>G896+G901+G905</f>
        <v>59.5</v>
      </c>
      <c r="H895" s="51">
        <f>H896+H901+H905</f>
        <v>59.5</v>
      </c>
      <c r="I895" s="62">
        <f t="shared" ref="I895:I909" si="103">SUM(F895/E895)</f>
        <v>0.90320481535708474</v>
      </c>
      <c r="J895" s="17" t="s">
        <v>1588</v>
      </c>
      <c r="K895" s="18" t="s">
        <v>19</v>
      </c>
      <c r="L895" s="18">
        <v>4</v>
      </c>
      <c r="M895" s="125">
        <v>4</v>
      </c>
      <c r="N895" s="17"/>
      <c r="O895" s="19"/>
    </row>
    <row r="896" spans="1:15" ht="63.75" x14ac:dyDescent="0.25">
      <c r="A896" s="285" t="s">
        <v>1589</v>
      </c>
      <c r="B896" s="217" t="s">
        <v>1590</v>
      </c>
      <c r="C896" s="17"/>
      <c r="D896" s="51">
        <f>SUM(D897:D900)</f>
        <v>207.7</v>
      </c>
      <c r="E896" s="51">
        <f>SUM(E897:E900)</f>
        <v>207.7</v>
      </c>
      <c r="F896" s="51">
        <f>SUM(F897:F900)</f>
        <v>191.7</v>
      </c>
      <c r="G896" s="51">
        <f>SUM(G897:G900)</f>
        <v>16</v>
      </c>
      <c r="H896" s="51">
        <f>SUM(H897:H900)</f>
        <v>16</v>
      </c>
      <c r="I896" s="54">
        <f t="shared" si="103"/>
        <v>0.9229658160808859</v>
      </c>
      <c r="J896" s="17" t="s">
        <v>1588</v>
      </c>
      <c r="K896" s="18" t="s">
        <v>19</v>
      </c>
      <c r="L896" s="18">
        <v>3</v>
      </c>
      <c r="M896" s="125">
        <v>3</v>
      </c>
      <c r="N896" s="17" t="s">
        <v>1831</v>
      </c>
      <c r="O896" s="19" t="s">
        <v>1890</v>
      </c>
    </row>
    <row r="897" spans="1:15" x14ac:dyDescent="0.25">
      <c r="A897" s="286"/>
      <c r="B897" s="218"/>
      <c r="C897" s="22" t="s">
        <v>30</v>
      </c>
      <c r="D897" s="53">
        <v>1.2</v>
      </c>
      <c r="E897" s="53">
        <v>1.2</v>
      </c>
      <c r="F897" s="53">
        <v>1.2</v>
      </c>
      <c r="G897" s="53"/>
      <c r="H897" s="53"/>
      <c r="I897" s="54">
        <f t="shared" si="103"/>
        <v>1</v>
      </c>
      <c r="J897" s="22"/>
      <c r="K897" s="24"/>
      <c r="L897" s="81"/>
      <c r="M897" s="82"/>
      <c r="N897" s="22"/>
      <c r="O897" s="25"/>
    </row>
    <row r="898" spans="1:15" x14ac:dyDescent="0.25">
      <c r="A898" s="286"/>
      <c r="B898" s="218"/>
      <c r="C898" s="22" t="s">
        <v>181</v>
      </c>
      <c r="D898" s="53">
        <v>6</v>
      </c>
      <c r="E898" s="53">
        <v>6</v>
      </c>
      <c r="F898" s="53">
        <v>5.4</v>
      </c>
      <c r="G898" s="53">
        <v>0.6</v>
      </c>
      <c r="H898" s="53">
        <v>0.6</v>
      </c>
      <c r="I898" s="54">
        <f t="shared" si="103"/>
        <v>0.9</v>
      </c>
      <c r="J898" s="22"/>
      <c r="K898" s="24"/>
      <c r="L898" s="81"/>
      <c r="M898" s="82"/>
      <c r="N898" s="22"/>
      <c r="O898" s="25"/>
    </row>
    <row r="899" spans="1:15" x14ac:dyDescent="0.25">
      <c r="A899" s="286"/>
      <c r="B899" s="218"/>
      <c r="C899" s="22" t="s">
        <v>191</v>
      </c>
      <c r="D899" s="53">
        <v>180</v>
      </c>
      <c r="E899" s="53">
        <v>180</v>
      </c>
      <c r="F899" s="53">
        <v>166.1</v>
      </c>
      <c r="G899" s="53">
        <v>13.9</v>
      </c>
      <c r="H899" s="53">
        <v>13.9</v>
      </c>
      <c r="I899" s="54">
        <f t="shared" si="103"/>
        <v>0.9227777777777777</v>
      </c>
      <c r="J899" s="22"/>
      <c r="K899" s="24"/>
      <c r="L899" s="81"/>
      <c r="M899" s="82"/>
      <c r="N899" s="22"/>
      <c r="O899" s="25"/>
    </row>
    <row r="900" spans="1:15" ht="15.75" thickBot="1" x14ac:dyDescent="0.3">
      <c r="A900" s="287"/>
      <c r="B900" s="219"/>
      <c r="C900" s="22" t="s">
        <v>26</v>
      </c>
      <c r="D900" s="53">
        <v>20.5</v>
      </c>
      <c r="E900" s="53">
        <v>20.5</v>
      </c>
      <c r="F900" s="53">
        <v>19</v>
      </c>
      <c r="G900" s="53">
        <v>1.5</v>
      </c>
      <c r="H900" s="53">
        <v>1.5</v>
      </c>
      <c r="I900" s="68">
        <f t="shared" si="103"/>
        <v>0.92682926829268297</v>
      </c>
      <c r="J900" s="22"/>
      <c r="K900" s="24"/>
      <c r="L900" s="81"/>
      <c r="M900" s="82"/>
      <c r="N900" s="22"/>
      <c r="O900" s="25"/>
    </row>
    <row r="901" spans="1:15" ht="63.75" customHeight="1" x14ac:dyDescent="0.25">
      <c r="A901" s="285" t="s">
        <v>1591</v>
      </c>
      <c r="B901" s="217" t="s">
        <v>1592</v>
      </c>
      <c r="C901" s="17"/>
      <c r="D901" s="51">
        <f>SUM(D902:D904)</f>
        <v>353.9</v>
      </c>
      <c r="E901" s="51">
        <f>SUM(E902:E904)</f>
        <v>353.9</v>
      </c>
      <c r="F901" s="51">
        <f>SUM(F902:F904)</f>
        <v>315.39999999999998</v>
      </c>
      <c r="G901" s="51">
        <f>SUM(G902:G904)</f>
        <v>38.5</v>
      </c>
      <c r="H901" s="51">
        <f>SUM(H902:H904)</f>
        <v>38.5</v>
      </c>
      <c r="I901" s="54">
        <f t="shared" si="103"/>
        <v>0.89121220683808988</v>
      </c>
      <c r="J901" s="17" t="s">
        <v>1588</v>
      </c>
      <c r="K901" s="18" t="s">
        <v>19</v>
      </c>
      <c r="L901" s="18">
        <v>1</v>
      </c>
      <c r="M901" s="125">
        <v>1</v>
      </c>
      <c r="N901" s="17" t="s">
        <v>1593</v>
      </c>
      <c r="O901" s="19" t="s">
        <v>1891</v>
      </c>
    </row>
    <row r="902" spans="1:15" x14ac:dyDescent="0.25">
      <c r="A902" s="286"/>
      <c r="B902" s="218"/>
      <c r="C902" s="22" t="s">
        <v>191</v>
      </c>
      <c r="D902" s="53">
        <v>300</v>
      </c>
      <c r="E902" s="53">
        <v>300</v>
      </c>
      <c r="F902" s="53">
        <v>266.89999999999998</v>
      </c>
      <c r="G902" s="53">
        <v>33.1</v>
      </c>
      <c r="H902" s="53">
        <v>33.1</v>
      </c>
      <c r="I902" s="54">
        <f t="shared" si="103"/>
        <v>0.88966666666666661</v>
      </c>
      <c r="J902" s="22"/>
      <c r="K902" s="24"/>
      <c r="L902" s="81"/>
      <c r="M902" s="82"/>
      <c r="N902" s="22"/>
      <c r="O902" s="25"/>
    </row>
    <row r="903" spans="1:15" x14ac:dyDescent="0.25">
      <c r="A903" s="286"/>
      <c r="B903" s="218"/>
      <c r="C903" s="22" t="s">
        <v>30</v>
      </c>
      <c r="D903" s="53">
        <v>0.9</v>
      </c>
      <c r="E903" s="53">
        <v>0.9</v>
      </c>
      <c r="F903" s="53">
        <v>0.9</v>
      </c>
      <c r="G903" s="53"/>
      <c r="H903" s="53"/>
      <c r="I903" s="54">
        <f t="shared" si="103"/>
        <v>1</v>
      </c>
      <c r="J903" s="22"/>
      <c r="K903" s="24"/>
      <c r="L903" s="81"/>
      <c r="M903" s="82"/>
      <c r="N903" s="22"/>
      <c r="O903" s="25"/>
    </row>
    <row r="904" spans="1:15" ht="15.75" thickBot="1" x14ac:dyDescent="0.3">
      <c r="A904" s="287"/>
      <c r="B904" s="219"/>
      <c r="C904" s="22" t="s">
        <v>181</v>
      </c>
      <c r="D904" s="53">
        <v>53</v>
      </c>
      <c r="E904" s="53">
        <v>53</v>
      </c>
      <c r="F904" s="53">
        <v>47.6</v>
      </c>
      <c r="G904" s="53">
        <v>5.4</v>
      </c>
      <c r="H904" s="53">
        <v>5.4</v>
      </c>
      <c r="I904" s="68">
        <f t="shared" si="103"/>
        <v>0.89811320754716983</v>
      </c>
      <c r="J904" s="22"/>
      <c r="K904" s="24"/>
      <c r="L904" s="81"/>
      <c r="M904" s="82"/>
      <c r="N904" s="22"/>
      <c r="O904" s="25"/>
    </row>
    <row r="905" spans="1:15" ht="25.5" x14ac:dyDescent="0.25">
      <c r="A905" s="285" t="s">
        <v>1594</v>
      </c>
      <c r="B905" s="217" t="s">
        <v>1595</v>
      </c>
      <c r="C905" s="17"/>
      <c r="D905" s="51">
        <f>SUM(D906:D908)</f>
        <v>53</v>
      </c>
      <c r="E905" s="51">
        <f>SUM(E906:E908)</f>
        <v>53</v>
      </c>
      <c r="F905" s="51">
        <f>SUM(F906:F908)</f>
        <v>48</v>
      </c>
      <c r="G905" s="51">
        <f>SUM(G906:G908)</f>
        <v>5</v>
      </c>
      <c r="H905" s="51">
        <f>SUM(H906:H908)</f>
        <v>5</v>
      </c>
      <c r="I905" s="54">
        <f t="shared" si="103"/>
        <v>0.90566037735849059</v>
      </c>
      <c r="J905" s="17" t="s">
        <v>1596</v>
      </c>
      <c r="K905" s="18" t="s">
        <v>19</v>
      </c>
      <c r="L905" s="18">
        <v>1</v>
      </c>
      <c r="M905" s="125">
        <v>1</v>
      </c>
      <c r="N905" s="17" t="s">
        <v>1597</v>
      </c>
      <c r="O905" s="19"/>
    </row>
    <row r="906" spans="1:15" x14ac:dyDescent="0.25">
      <c r="A906" s="286"/>
      <c r="B906" s="218"/>
      <c r="C906" s="22" t="s">
        <v>181</v>
      </c>
      <c r="D906" s="53">
        <v>15.9</v>
      </c>
      <c r="E906" s="53">
        <v>15.9</v>
      </c>
      <c r="F906" s="53">
        <v>15.9</v>
      </c>
      <c r="G906" s="53"/>
      <c r="H906" s="53"/>
      <c r="I906" s="54">
        <f t="shared" si="103"/>
        <v>1</v>
      </c>
      <c r="J906" s="22"/>
      <c r="K906" s="24"/>
      <c r="L906" s="81"/>
      <c r="M906" s="82"/>
      <c r="N906" s="22"/>
      <c r="O906" s="25"/>
    </row>
    <row r="907" spans="1:15" x14ac:dyDescent="0.25">
      <c r="A907" s="286"/>
      <c r="B907" s="218"/>
      <c r="C907" s="22" t="s">
        <v>26</v>
      </c>
      <c r="D907" s="53">
        <v>30</v>
      </c>
      <c r="E907" s="53">
        <v>30</v>
      </c>
      <c r="F907" s="53">
        <v>25</v>
      </c>
      <c r="G907" s="53">
        <v>5</v>
      </c>
      <c r="H907" s="53">
        <v>5</v>
      </c>
      <c r="I907" s="54">
        <f t="shared" si="103"/>
        <v>0.83333333333333337</v>
      </c>
      <c r="J907" s="22"/>
      <c r="K907" s="24"/>
      <c r="L907" s="81"/>
      <c r="M907" s="82"/>
      <c r="N907" s="22"/>
      <c r="O907" s="25"/>
    </row>
    <row r="908" spans="1:15" ht="15.75" thickBot="1" x14ac:dyDescent="0.3">
      <c r="A908" s="287"/>
      <c r="B908" s="219"/>
      <c r="C908" s="22" t="s">
        <v>30</v>
      </c>
      <c r="D908" s="53">
        <v>7.1</v>
      </c>
      <c r="E908" s="53">
        <v>7.1</v>
      </c>
      <c r="F908" s="53">
        <v>7.1</v>
      </c>
      <c r="G908" s="53"/>
      <c r="H908" s="53"/>
      <c r="I908" s="68">
        <f t="shared" si="103"/>
        <v>1</v>
      </c>
      <c r="J908" s="22"/>
      <c r="K908" s="24"/>
      <c r="L908" s="81"/>
      <c r="M908" s="82"/>
      <c r="N908" s="22"/>
      <c r="O908" s="25"/>
    </row>
    <row r="909" spans="1:15" ht="25.5" x14ac:dyDescent="0.25">
      <c r="A909" s="285" t="s">
        <v>1598</v>
      </c>
      <c r="B909" s="217" t="s">
        <v>1599</v>
      </c>
      <c r="C909" s="17"/>
      <c r="D909" s="51">
        <f>SUM(D910:D912)</f>
        <v>61.3</v>
      </c>
      <c r="E909" s="51">
        <f>SUM(E910:E912)</f>
        <v>61.3</v>
      </c>
      <c r="F909" s="51">
        <f>SUM(F910:F912)</f>
        <v>28.3</v>
      </c>
      <c r="G909" s="51">
        <f>SUM(G910:G912)</f>
        <v>33</v>
      </c>
      <c r="H909" s="51">
        <f>SUM(H910:H912)</f>
        <v>33</v>
      </c>
      <c r="I909" s="54">
        <f t="shared" si="103"/>
        <v>0.46166394779771619</v>
      </c>
      <c r="J909" s="17" t="s">
        <v>1600</v>
      </c>
      <c r="K909" s="18" t="s">
        <v>337</v>
      </c>
      <c r="L909" s="18">
        <v>6</v>
      </c>
      <c r="M909" s="125">
        <v>6</v>
      </c>
      <c r="N909" s="17" t="s">
        <v>1601</v>
      </c>
      <c r="O909" s="116"/>
    </row>
    <row r="910" spans="1:15" ht="15.75" thickBot="1" x14ac:dyDescent="0.3">
      <c r="A910" s="287"/>
      <c r="B910" s="219"/>
      <c r="C910" s="22"/>
      <c r="D910" s="53"/>
      <c r="E910" s="53"/>
      <c r="F910" s="53"/>
      <c r="G910" s="53"/>
      <c r="H910" s="53"/>
      <c r="I910" s="67"/>
      <c r="J910" s="22" t="s">
        <v>1602</v>
      </c>
      <c r="K910" s="24" t="s">
        <v>19</v>
      </c>
      <c r="L910" s="24">
        <v>2</v>
      </c>
      <c r="M910" s="130">
        <v>2</v>
      </c>
      <c r="N910" s="22"/>
      <c r="O910" s="25"/>
    </row>
    <row r="911" spans="1:15" ht="51.75" thickBot="1" x14ac:dyDescent="0.3">
      <c r="A911" s="15" t="s">
        <v>1603</v>
      </c>
      <c r="B911" s="16" t="s">
        <v>1604</v>
      </c>
      <c r="C911" s="17" t="s">
        <v>30</v>
      </c>
      <c r="D911" s="61">
        <v>61.3</v>
      </c>
      <c r="E911" s="61">
        <v>61.3</v>
      </c>
      <c r="F911" s="61">
        <v>28.3</v>
      </c>
      <c r="G911" s="61">
        <v>33</v>
      </c>
      <c r="H911" s="61">
        <v>33</v>
      </c>
      <c r="I911" s="54">
        <f>SUM(F911/E911)</f>
        <v>0.46166394779771619</v>
      </c>
      <c r="J911" s="17"/>
      <c r="K911" s="18"/>
      <c r="L911" s="79"/>
      <c r="M911" s="80"/>
      <c r="N911" s="17"/>
      <c r="O911" s="19"/>
    </row>
    <row r="912" spans="1:15" ht="51.75" thickBot="1" x14ac:dyDescent="0.3">
      <c r="A912" s="15" t="s">
        <v>1605</v>
      </c>
      <c r="B912" s="16" t="s">
        <v>1606</v>
      </c>
      <c r="C912" s="17"/>
      <c r="D912" s="61"/>
      <c r="E912" s="61"/>
      <c r="F912" s="61"/>
      <c r="G912" s="61"/>
      <c r="H912" s="61"/>
      <c r="I912" s="70"/>
      <c r="J912" s="17"/>
      <c r="K912" s="18"/>
      <c r="L912" s="79"/>
      <c r="M912" s="80"/>
      <c r="N912" s="17"/>
      <c r="O912" s="19"/>
    </row>
    <row r="913" spans="1:15" ht="26.25" thickBot="1" x14ac:dyDescent="0.3">
      <c r="A913" s="12" t="s">
        <v>1607</v>
      </c>
      <c r="B913" s="13" t="s">
        <v>1608</v>
      </c>
      <c r="C913" s="14"/>
      <c r="D913" s="49">
        <f>D914+D916+D919+D922</f>
        <v>9457.0999999999985</v>
      </c>
      <c r="E913" s="49">
        <f>E914+E916+E919+E922</f>
        <v>9457.0999999999985</v>
      </c>
      <c r="F913" s="49">
        <f>F914+F916+F919+F922</f>
        <v>8399.8000000000011</v>
      </c>
      <c r="G913" s="49">
        <f>G914+G916+G919+G922</f>
        <v>1057.3</v>
      </c>
      <c r="H913" s="49">
        <f>H914+H916+H919+H922</f>
        <v>1057.3</v>
      </c>
      <c r="I913" s="66">
        <f>SUM(F913/E913)</f>
        <v>0.88820039969969677</v>
      </c>
      <c r="J913" s="263"/>
      <c r="K913" s="264"/>
      <c r="L913" s="264"/>
      <c r="M913" s="264"/>
      <c r="N913" s="264"/>
      <c r="O913" s="265"/>
    </row>
    <row r="914" spans="1:15" ht="38.25" customHeight="1" x14ac:dyDescent="0.25">
      <c r="A914" s="285" t="s">
        <v>1609</v>
      </c>
      <c r="B914" s="217" t="s">
        <v>1610</v>
      </c>
      <c r="C914" s="17"/>
      <c r="D914" s="51">
        <f>SUM(D915:D915)</f>
        <v>6386.2</v>
      </c>
      <c r="E914" s="51">
        <f>SUM(E915:E915)</f>
        <v>6386.2</v>
      </c>
      <c r="F914" s="51">
        <f>SUM(F915:F915)</f>
        <v>5435.9</v>
      </c>
      <c r="G914" s="51">
        <f>SUM(G915:G915)</f>
        <v>950.3</v>
      </c>
      <c r="H914" s="51">
        <f>SUM(H915:H915)</f>
        <v>950.3</v>
      </c>
      <c r="I914" s="54">
        <f t="shared" ref="I914:I921" si="104">SUM(F914/E914)</f>
        <v>0.85119476370924807</v>
      </c>
      <c r="J914" s="17" t="s">
        <v>1611</v>
      </c>
      <c r="K914" s="18" t="s">
        <v>337</v>
      </c>
      <c r="L914" s="18">
        <v>8</v>
      </c>
      <c r="M914" s="125">
        <v>8</v>
      </c>
      <c r="N914" s="17"/>
      <c r="O914" s="116"/>
    </row>
    <row r="915" spans="1:15" ht="24" customHeight="1" thickBot="1" x14ac:dyDescent="0.3">
      <c r="A915" s="287"/>
      <c r="B915" s="219"/>
      <c r="C915" s="22" t="s">
        <v>26</v>
      </c>
      <c r="D915" s="53">
        <v>6386.2</v>
      </c>
      <c r="E915" s="53">
        <v>6386.2</v>
      </c>
      <c r="F915" s="53">
        <v>5435.9</v>
      </c>
      <c r="G915" s="53">
        <v>950.3</v>
      </c>
      <c r="H915" s="53">
        <v>950.3</v>
      </c>
      <c r="I915" s="68">
        <f t="shared" si="104"/>
        <v>0.85119476370924807</v>
      </c>
      <c r="J915" s="22" t="s">
        <v>1612</v>
      </c>
      <c r="K915" s="24" t="s">
        <v>25</v>
      </c>
      <c r="L915" s="24">
        <v>100</v>
      </c>
      <c r="M915" s="130">
        <v>100</v>
      </c>
      <c r="N915" s="22"/>
      <c r="O915" s="133"/>
    </row>
    <row r="916" spans="1:15" x14ac:dyDescent="0.25">
      <c r="A916" s="285" t="s">
        <v>1613</v>
      </c>
      <c r="B916" s="217" t="s">
        <v>1614</v>
      </c>
      <c r="C916" s="17"/>
      <c r="D916" s="51">
        <f>SUM(D917:D918)</f>
        <v>2897.1000000000004</v>
      </c>
      <c r="E916" s="51">
        <f>SUM(E917:E918)</f>
        <v>2897.1000000000004</v>
      </c>
      <c r="F916" s="51">
        <f>SUM(F917:F918)</f>
        <v>2891.3</v>
      </c>
      <c r="G916" s="51">
        <f>SUM(G917:G918)</f>
        <v>5.8</v>
      </c>
      <c r="H916" s="51">
        <f>SUM(H917:H918)</f>
        <v>5.8</v>
      </c>
      <c r="I916" s="54">
        <f t="shared" si="104"/>
        <v>0.99799799799799793</v>
      </c>
      <c r="J916" s="17" t="s">
        <v>1615</v>
      </c>
      <c r="K916" s="18" t="s">
        <v>25</v>
      </c>
      <c r="L916" s="18">
        <v>100</v>
      </c>
      <c r="M916" s="125">
        <v>100</v>
      </c>
      <c r="N916" s="17" t="s">
        <v>1432</v>
      </c>
      <c r="O916" s="116"/>
    </row>
    <row r="917" spans="1:15" x14ac:dyDescent="0.25">
      <c r="A917" s="286"/>
      <c r="B917" s="218"/>
      <c r="C917" s="22" t="s">
        <v>26</v>
      </c>
      <c r="D917" s="53">
        <v>2179.3000000000002</v>
      </c>
      <c r="E917" s="53">
        <v>2179.3000000000002</v>
      </c>
      <c r="F917" s="53">
        <v>2173.5</v>
      </c>
      <c r="G917" s="53">
        <v>5.8</v>
      </c>
      <c r="H917" s="53">
        <v>5.8</v>
      </c>
      <c r="I917" s="54">
        <f t="shared" si="104"/>
        <v>0.99733859496168487</v>
      </c>
      <c r="J917" s="22"/>
      <c r="K917" s="24"/>
      <c r="L917" s="81"/>
      <c r="M917" s="82"/>
      <c r="N917" s="22"/>
      <c r="O917" s="25"/>
    </row>
    <row r="918" spans="1:15" ht="15.75" thickBot="1" x14ac:dyDescent="0.3">
      <c r="A918" s="287"/>
      <c r="B918" s="219"/>
      <c r="C918" s="22" t="s">
        <v>30</v>
      </c>
      <c r="D918" s="53">
        <v>717.8</v>
      </c>
      <c r="E918" s="53">
        <v>717.8</v>
      </c>
      <c r="F918" s="53">
        <v>717.8</v>
      </c>
      <c r="G918" s="53"/>
      <c r="H918" s="53"/>
      <c r="I918" s="68">
        <f t="shared" si="104"/>
        <v>1</v>
      </c>
      <c r="J918" s="22"/>
      <c r="K918" s="24"/>
      <c r="L918" s="81"/>
      <c r="M918" s="82"/>
      <c r="N918" s="22"/>
      <c r="O918" s="25"/>
    </row>
    <row r="919" spans="1:15" ht="26.25" thickBot="1" x14ac:dyDescent="0.3">
      <c r="A919" s="37" t="s">
        <v>1616</v>
      </c>
      <c r="B919" s="17" t="s">
        <v>1617</v>
      </c>
      <c r="C919" s="17"/>
      <c r="D919" s="51">
        <f>SUM(D920:D921)</f>
        <v>28.799999999999997</v>
      </c>
      <c r="E919" s="51">
        <f>SUM(E920:E921)</f>
        <v>28.799999999999997</v>
      </c>
      <c r="F919" s="51">
        <f>SUM(F920:F921)-0.1</f>
        <v>28.699999999999996</v>
      </c>
      <c r="G919" s="51">
        <f>SUM(G920:G921)+0.1</f>
        <v>0.1</v>
      </c>
      <c r="H919" s="51">
        <f>SUM(H920:H921)+0.1</f>
        <v>0.1</v>
      </c>
      <c r="I919" s="62">
        <f t="shared" si="104"/>
        <v>0.99652777777777768</v>
      </c>
      <c r="J919" s="17" t="s">
        <v>1615</v>
      </c>
      <c r="K919" s="18" t="s">
        <v>25</v>
      </c>
      <c r="L919" s="18">
        <v>100</v>
      </c>
      <c r="M919" s="125">
        <v>100</v>
      </c>
      <c r="N919" s="17" t="s">
        <v>1618</v>
      </c>
      <c r="O919" s="19"/>
    </row>
    <row r="920" spans="1:15" ht="51.75" thickBot="1" x14ac:dyDescent="0.3">
      <c r="A920" s="37" t="s">
        <v>1619</v>
      </c>
      <c r="B920" s="17" t="s">
        <v>1620</v>
      </c>
      <c r="C920" s="17" t="s">
        <v>26</v>
      </c>
      <c r="D920" s="61">
        <v>7.6</v>
      </c>
      <c r="E920" s="61">
        <v>7.6</v>
      </c>
      <c r="F920" s="61">
        <v>7.6</v>
      </c>
      <c r="G920" s="61"/>
      <c r="H920" s="61"/>
      <c r="I920" s="62">
        <f t="shared" si="104"/>
        <v>1</v>
      </c>
      <c r="J920" s="17" t="s">
        <v>1615</v>
      </c>
      <c r="K920" s="18" t="s">
        <v>25</v>
      </c>
      <c r="L920" s="18">
        <v>100</v>
      </c>
      <c r="M920" s="125">
        <v>100</v>
      </c>
      <c r="N920" s="17" t="s">
        <v>1621</v>
      </c>
      <c r="O920" s="19"/>
    </row>
    <row r="921" spans="1:15" ht="64.5" thickBot="1" x14ac:dyDescent="0.3">
      <c r="A921" s="37" t="s">
        <v>1622</v>
      </c>
      <c r="B921" s="17" t="s">
        <v>1623</v>
      </c>
      <c r="C921" s="17" t="s">
        <v>26</v>
      </c>
      <c r="D921" s="61">
        <v>21.2</v>
      </c>
      <c r="E921" s="61">
        <v>21.2</v>
      </c>
      <c r="F921" s="61">
        <v>21.2</v>
      </c>
      <c r="G921" s="61"/>
      <c r="H921" s="61"/>
      <c r="I921" s="62">
        <f t="shared" si="104"/>
        <v>1</v>
      </c>
      <c r="J921" s="17" t="s">
        <v>1615</v>
      </c>
      <c r="K921" s="18" t="s">
        <v>25</v>
      </c>
      <c r="L921" s="18">
        <v>100</v>
      </c>
      <c r="M921" s="125">
        <v>100</v>
      </c>
      <c r="N921" s="17" t="s">
        <v>1621</v>
      </c>
      <c r="O921" s="19"/>
    </row>
    <row r="922" spans="1:15" ht="38.25" x14ac:dyDescent="0.25">
      <c r="A922" s="285" t="s">
        <v>1624</v>
      </c>
      <c r="B922" s="217" t="s">
        <v>1625</v>
      </c>
      <c r="C922" s="17"/>
      <c r="D922" s="51">
        <f>SUM(D923:D925)</f>
        <v>145</v>
      </c>
      <c r="E922" s="51">
        <f>SUM(E923:E925)</f>
        <v>145</v>
      </c>
      <c r="F922" s="51">
        <f>SUM(F923:F925)</f>
        <v>43.9</v>
      </c>
      <c r="G922" s="51">
        <f>SUM(G923:G925)</f>
        <v>101.1</v>
      </c>
      <c r="H922" s="51">
        <f>SUM(H923:H925)</f>
        <v>101.1</v>
      </c>
      <c r="I922" s="54">
        <f>SUM(F922/E922)</f>
        <v>0.30275862068965514</v>
      </c>
      <c r="J922" s="17" t="s">
        <v>1626</v>
      </c>
      <c r="K922" s="18" t="s">
        <v>25</v>
      </c>
      <c r="L922" s="18">
        <v>100</v>
      </c>
      <c r="M922" s="125">
        <v>100</v>
      </c>
      <c r="N922" s="17"/>
      <c r="O922" s="19"/>
    </row>
    <row r="923" spans="1:15" ht="26.25" thickBot="1" x14ac:dyDescent="0.3">
      <c r="A923" s="287"/>
      <c r="B923" s="219"/>
      <c r="C923" s="22"/>
      <c r="D923" s="53"/>
      <c r="E923" s="53"/>
      <c r="F923" s="53"/>
      <c r="G923" s="53"/>
      <c r="H923" s="53"/>
      <c r="I923" s="67"/>
      <c r="J923" s="22" t="s">
        <v>1627</v>
      </c>
      <c r="K923" s="24" t="s">
        <v>337</v>
      </c>
      <c r="L923" s="24">
        <v>74</v>
      </c>
      <c r="M923" s="130">
        <v>74</v>
      </c>
      <c r="N923" s="22"/>
      <c r="O923" s="25"/>
    </row>
    <row r="924" spans="1:15" ht="51.75" thickBot="1" x14ac:dyDescent="0.3">
      <c r="A924" s="37" t="s">
        <v>1628</v>
      </c>
      <c r="B924" s="17" t="s">
        <v>1629</v>
      </c>
      <c r="C924" s="17" t="s">
        <v>26</v>
      </c>
      <c r="D924" s="61">
        <v>15</v>
      </c>
      <c r="E924" s="61">
        <v>15</v>
      </c>
      <c r="F924" s="61">
        <v>15</v>
      </c>
      <c r="G924" s="61"/>
      <c r="H924" s="61"/>
      <c r="I924" s="62">
        <f t="shared" ref="I924:I925" si="105">SUM(F924/E924)</f>
        <v>1</v>
      </c>
      <c r="J924" s="17" t="s">
        <v>1627</v>
      </c>
      <c r="K924" s="18" t="s">
        <v>337</v>
      </c>
      <c r="L924" s="18">
        <v>74</v>
      </c>
      <c r="M924" s="125">
        <v>74</v>
      </c>
      <c r="N924" s="17"/>
      <c r="O924" s="116"/>
    </row>
    <row r="925" spans="1:15" ht="39" thickBot="1" x14ac:dyDescent="0.3">
      <c r="A925" s="15" t="s">
        <v>1630</v>
      </c>
      <c r="B925" s="16" t="s">
        <v>1631</v>
      </c>
      <c r="C925" s="17" t="s">
        <v>26</v>
      </c>
      <c r="D925" s="61">
        <v>130</v>
      </c>
      <c r="E925" s="61">
        <v>130</v>
      </c>
      <c r="F925" s="61">
        <v>28.9</v>
      </c>
      <c r="G925" s="61">
        <v>101.1</v>
      </c>
      <c r="H925" s="61">
        <v>101.1</v>
      </c>
      <c r="I925" s="54">
        <f t="shared" si="105"/>
        <v>0.22230769230769229</v>
      </c>
      <c r="J925" s="17" t="s">
        <v>1631</v>
      </c>
      <c r="K925" s="18" t="s">
        <v>25</v>
      </c>
      <c r="L925" s="18">
        <v>100</v>
      </c>
      <c r="M925" s="125">
        <v>100</v>
      </c>
      <c r="N925" s="17"/>
      <c r="O925" s="116"/>
    </row>
    <row r="926" spans="1:15" ht="39" thickBot="1" x14ac:dyDescent="0.3">
      <c r="A926" s="12" t="s">
        <v>1632</v>
      </c>
      <c r="B926" s="13" t="s">
        <v>1633</v>
      </c>
      <c r="C926" s="14"/>
      <c r="D926" s="49">
        <f>SUM(D927:D929)</f>
        <v>11.9</v>
      </c>
      <c r="E926" s="49">
        <f>SUM(E927:E929)</f>
        <v>11.9</v>
      </c>
      <c r="F926" s="49">
        <f>SUM(F927:F929)</f>
        <v>11.9</v>
      </c>
      <c r="G926" s="49"/>
      <c r="H926" s="49"/>
      <c r="I926" s="50">
        <f>SUM(F926/E926)</f>
        <v>1</v>
      </c>
      <c r="J926" s="263"/>
      <c r="K926" s="264"/>
      <c r="L926" s="264"/>
      <c r="M926" s="264"/>
      <c r="N926" s="264"/>
      <c r="O926" s="265"/>
    </row>
    <row r="927" spans="1:15" ht="51.75" thickBot="1" x14ac:dyDescent="0.3">
      <c r="A927" s="15" t="s">
        <v>1634</v>
      </c>
      <c r="B927" s="16" t="s">
        <v>1635</v>
      </c>
      <c r="C927" s="17"/>
      <c r="D927" s="61"/>
      <c r="E927" s="61"/>
      <c r="F927" s="61"/>
      <c r="G927" s="61"/>
      <c r="H927" s="61"/>
      <c r="I927" s="70"/>
      <c r="J927" s="17" t="s">
        <v>1636</v>
      </c>
      <c r="K927" s="18" t="s">
        <v>25</v>
      </c>
      <c r="L927" s="18">
        <v>100</v>
      </c>
      <c r="M927" s="125">
        <v>100</v>
      </c>
      <c r="N927" s="17" t="s">
        <v>1637</v>
      </c>
      <c r="O927" s="19"/>
    </row>
    <row r="928" spans="1:15" ht="153.75" thickBot="1" x14ac:dyDescent="0.3">
      <c r="A928" s="15" t="s">
        <v>1638</v>
      </c>
      <c r="B928" s="16" t="s">
        <v>1639</v>
      </c>
      <c r="C928" s="17"/>
      <c r="D928" s="61"/>
      <c r="E928" s="61"/>
      <c r="F928" s="61"/>
      <c r="G928" s="61"/>
      <c r="H928" s="61"/>
      <c r="I928" s="69"/>
      <c r="J928" s="17" t="s">
        <v>1640</v>
      </c>
      <c r="K928" s="18" t="s">
        <v>19</v>
      </c>
      <c r="L928" s="18">
        <v>2</v>
      </c>
      <c r="M928" s="125">
        <v>2</v>
      </c>
      <c r="N928" s="17" t="s">
        <v>1764</v>
      </c>
      <c r="O928" s="19"/>
    </row>
    <row r="929" spans="1:15" ht="127.5" x14ac:dyDescent="0.25">
      <c r="A929" s="285" t="s">
        <v>1641</v>
      </c>
      <c r="B929" s="217" t="s">
        <v>1642</v>
      </c>
      <c r="C929" s="17"/>
      <c r="D929" s="51">
        <f>SUM(D930:D930)</f>
        <v>11.9</v>
      </c>
      <c r="E929" s="51">
        <f>SUM(E930:E930)</f>
        <v>11.9</v>
      </c>
      <c r="F929" s="51">
        <f>SUM(F930:F930)</f>
        <v>11.9</v>
      </c>
      <c r="G929" s="51"/>
      <c r="H929" s="51"/>
      <c r="I929" s="54">
        <f>SUM(F929/E929)</f>
        <v>1</v>
      </c>
      <c r="J929" s="17" t="s">
        <v>1643</v>
      </c>
      <c r="K929" s="18" t="s">
        <v>19</v>
      </c>
      <c r="L929" s="18">
        <v>3</v>
      </c>
      <c r="M929" s="125">
        <v>3</v>
      </c>
      <c r="N929" s="17" t="s">
        <v>1644</v>
      </c>
      <c r="O929" s="19"/>
    </row>
    <row r="930" spans="1:15" ht="15.75" thickBot="1" x14ac:dyDescent="0.3">
      <c r="A930" s="287"/>
      <c r="B930" s="219"/>
      <c r="C930" s="22" t="s">
        <v>26</v>
      </c>
      <c r="D930" s="53">
        <v>11.9</v>
      </c>
      <c r="E930" s="53">
        <v>11.9</v>
      </c>
      <c r="F930" s="53">
        <v>11.9</v>
      </c>
      <c r="G930" s="53"/>
      <c r="H930" s="53"/>
      <c r="I930" s="54">
        <f>SUM(F930/E930)</f>
        <v>1</v>
      </c>
      <c r="J930" s="22"/>
      <c r="K930" s="24"/>
      <c r="L930" s="81"/>
      <c r="M930" s="82"/>
      <c r="N930" s="22"/>
      <c r="O930" s="25"/>
    </row>
    <row r="931" spans="1:15" ht="25.5" customHeight="1" x14ac:dyDescent="0.25">
      <c r="A931" s="293" t="s">
        <v>1645</v>
      </c>
      <c r="B931" s="296" t="s">
        <v>1646</v>
      </c>
      <c r="C931" s="9"/>
      <c r="D931" s="47">
        <f>SUM(D932:D933)</f>
        <v>656.2</v>
      </c>
      <c r="E931" s="47">
        <f>SUM(E932:E933)</f>
        <v>656.2</v>
      </c>
      <c r="F931" s="47">
        <f>SUM(F932:F933)</f>
        <v>563.6</v>
      </c>
      <c r="G931" s="47">
        <f>SUM(G932:G933)</f>
        <v>92.699999999999989</v>
      </c>
      <c r="H931" s="47">
        <f>SUM(H932:H933)</f>
        <v>92.699999999999989</v>
      </c>
      <c r="I931" s="48">
        <f>SUM(F931/E931)</f>
        <v>0.85888448643706183</v>
      </c>
      <c r="J931" s="9" t="s">
        <v>1647</v>
      </c>
      <c r="K931" s="10" t="s">
        <v>25</v>
      </c>
      <c r="L931" s="10">
        <v>100</v>
      </c>
      <c r="M931" s="39">
        <v>100</v>
      </c>
      <c r="N931" s="275"/>
      <c r="O931" s="276"/>
    </row>
    <row r="932" spans="1:15" ht="15.75" thickBot="1" x14ac:dyDescent="0.3">
      <c r="A932" s="295"/>
      <c r="B932" s="298"/>
      <c r="C932" s="35"/>
      <c r="D932" s="64"/>
      <c r="E932" s="64"/>
      <c r="F932" s="64"/>
      <c r="G932" s="64"/>
      <c r="H932" s="64"/>
      <c r="I932" s="65"/>
      <c r="J932" s="35" t="s">
        <v>1648</v>
      </c>
      <c r="K932" s="36" t="s">
        <v>19</v>
      </c>
      <c r="L932" s="40">
        <v>39</v>
      </c>
      <c r="M932" s="96">
        <v>33</v>
      </c>
      <c r="N932" s="307"/>
      <c r="O932" s="280"/>
    </row>
    <row r="933" spans="1:15" ht="39" thickBot="1" x14ac:dyDescent="0.3">
      <c r="A933" s="12" t="s">
        <v>1649</v>
      </c>
      <c r="B933" s="13" t="s">
        <v>1650</v>
      </c>
      <c r="C933" s="14"/>
      <c r="D933" s="49">
        <f>D934+D937+D943+D945+D947+D952+D955</f>
        <v>656.2</v>
      </c>
      <c r="E933" s="49">
        <f>E934+E937+E943+E945+E947+E952+E955</f>
        <v>656.2</v>
      </c>
      <c r="F933" s="49">
        <f>F934+F937+F943+F945+F947+F952+F955</f>
        <v>563.6</v>
      </c>
      <c r="G933" s="49">
        <f>G934+G937+G943+G945+G947+G952+G955+0.1</f>
        <v>92.699999999999989</v>
      </c>
      <c r="H933" s="49">
        <f>H934+H937+H943+H945+H947+H952+H955+0.1</f>
        <v>92.699999999999989</v>
      </c>
      <c r="I933" s="66">
        <f>SUM(F933/E933)</f>
        <v>0.85888448643706183</v>
      </c>
      <c r="J933" s="263"/>
      <c r="K933" s="264"/>
      <c r="L933" s="264"/>
      <c r="M933" s="308"/>
      <c r="N933" s="264"/>
      <c r="O933" s="265"/>
    </row>
    <row r="934" spans="1:15" ht="39" thickBot="1" x14ac:dyDescent="0.3">
      <c r="A934" s="15" t="s">
        <v>1651</v>
      </c>
      <c r="B934" s="16" t="s">
        <v>1652</v>
      </c>
      <c r="C934" s="17"/>
      <c r="D934" s="51">
        <f>SUM(D935:D936)</f>
        <v>43</v>
      </c>
      <c r="E934" s="51">
        <f>SUM(E935:E936)</f>
        <v>43</v>
      </c>
      <c r="F934" s="51">
        <f>SUM(F935:F936)</f>
        <v>43</v>
      </c>
      <c r="G934" s="51"/>
      <c r="H934" s="51"/>
      <c r="I934" s="62">
        <f t="shared" ref="I934:I936" si="106">SUM(F934/E934)</f>
        <v>1</v>
      </c>
      <c r="J934" s="17" t="s">
        <v>1653</v>
      </c>
      <c r="K934" s="18" t="s">
        <v>337</v>
      </c>
      <c r="L934" s="18">
        <v>37</v>
      </c>
      <c r="M934" s="125">
        <v>37</v>
      </c>
      <c r="N934" s="17" t="s">
        <v>1654</v>
      </c>
      <c r="O934" s="19"/>
    </row>
    <row r="935" spans="1:15" ht="115.5" thickBot="1" x14ac:dyDescent="0.3">
      <c r="A935" s="15" t="s">
        <v>1655</v>
      </c>
      <c r="B935" s="16" t="s">
        <v>1656</v>
      </c>
      <c r="C935" s="17" t="s">
        <v>26</v>
      </c>
      <c r="D935" s="61">
        <v>32</v>
      </c>
      <c r="E935" s="61">
        <v>32</v>
      </c>
      <c r="F935" s="61">
        <v>32</v>
      </c>
      <c r="G935" s="61"/>
      <c r="H935" s="61"/>
      <c r="I935" s="62">
        <f t="shared" si="106"/>
        <v>1</v>
      </c>
      <c r="J935" s="17" t="s">
        <v>1653</v>
      </c>
      <c r="K935" s="18" t="s">
        <v>337</v>
      </c>
      <c r="L935" s="18">
        <v>15</v>
      </c>
      <c r="M935" s="125">
        <v>15</v>
      </c>
      <c r="N935" s="142" t="s">
        <v>1763</v>
      </c>
      <c r="O935" s="19"/>
    </row>
    <row r="936" spans="1:15" ht="115.5" thickBot="1" x14ac:dyDescent="0.3">
      <c r="A936" s="15" t="s">
        <v>1657</v>
      </c>
      <c r="B936" s="16" t="s">
        <v>1658</v>
      </c>
      <c r="C936" s="17" t="s">
        <v>26</v>
      </c>
      <c r="D936" s="61">
        <v>11</v>
      </c>
      <c r="E936" s="61">
        <v>11</v>
      </c>
      <c r="F936" s="61">
        <v>11</v>
      </c>
      <c r="G936" s="61"/>
      <c r="H936" s="61"/>
      <c r="I936" s="62">
        <f t="shared" si="106"/>
        <v>1</v>
      </c>
      <c r="J936" s="17" t="s">
        <v>1653</v>
      </c>
      <c r="K936" s="18" t="s">
        <v>337</v>
      </c>
      <c r="L936" s="18">
        <v>22</v>
      </c>
      <c r="M936" s="125">
        <v>22</v>
      </c>
      <c r="N936" s="141" t="s">
        <v>1762</v>
      </c>
      <c r="O936" s="19"/>
    </row>
    <row r="937" spans="1:15" ht="16.5" customHeight="1" x14ac:dyDescent="0.25">
      <c r="A937" s="285" t="s">
        <v>1659</v>
      </c>
      <c r="B937" s="217" t="s">
        <v>1660</v>
      </c>
      <c r="C937" s="17"/>
      <c r="D937" s="51">
        <f>SUM(D938:D942)</f>
        <v>144.9</v>
      </c>
      <c r="E937" s="51">
        <f>SUM(E938:E942)</f>
        <v>144.9</v>
      </c>
      <c r="F937" s="51">
        <f>SUM(F938:F942)</f>
        <v>143.30000000000001</v>
      </c>
      <c r="G937" s="51">
        <f>SUM(G938:G942)</f>
        <v>1.6</v>
      </c>
      <c r="H937" s="51">
        <f>SUM(H938:H942)</f>
        <v>1.6</v>
      </c>
      <c r="I937" s="54">
        <f>SUM(F937/E937)</f>
        <v>0.98895790200138034</v>
      </c>
      <c r="J937" s="17" t="s">
        <v>1661</v>
      </c>
      <c r="K937" s="18" t="s">
        <v>19</v>
      </c>
      <c r="L937" s="18">
        <v>10</v>
      </c>
      <c r="M937" s="135">
        <v>9</v>
      </c>
      <c r="N937" s="175"/>
      <c r="O937" s="165"/>
    </row>
    <row r="938" spans="1:15" ht="16.5" customHeight="1" x14ac:dyDescent="0.25">
      <c r="A938" s="286"/>
      <c r="B938" s="218"/>
      <c r="C938" s="22"/>
      <c r="D938" s="53"/>
      <c r="E938" s="53"/>
      <c r="F938" s="53"/>
      <c r="G938" s="53"/>
      <c r="H938" s="53"/>
      <c r="I938" s="55"/>
      <c r="J938" s="22" t="s">
        <v>1662</v>
      </c>
      <c r="K938" s="24" t="s">
        <v>19</v>
      </c>
      <c r="L938" s="24">
        <v>2</v>
      </c>
      <c r="M938" s="131">
        <v>4</v>
      </c>
      <c r="N938" s="22"/>
      <c r="O938" s="25"/>
    </row>
    <row r="939" spans="1:15" ht="26.25" thickBot="1" x14ac:dyDescent="0.3">
      <c r="A939" s="287"/>
      <c r="B939" s="219"/>
      <c r="C939" s="22"/>
      <c r="D939" s="53"/>
      <c r="E939" s="53"/>
      <c r="F939" s="53"/>
      <c r="G939" s="53"/>
      <c r="H939" s="53"/>
      <c r="I939" s="67"/>
      <c r="J939" s="22" t="s">
        <v>1663</v>
      </c>
      <c r="K939" s="24" t="s">
        <v>19</v>
      </c>
      <c r="L939" s="24">
        <v>2</v>
      </c>
      <c r="M939" s="162">
        <v>0</v>
      </c>
      <c r="N939" s="22"/>
      <c r="O939" s="25" t="s">
        <v>1905</v>
      </c>
    </row>
    <row r="940" spans="1:15" ht="64.5" thickBot="1" x14ac:dyDescent="0.3">
      <c r="A940" s="15" t="s">
        <v>1664</v>
      </c>
      <c r="B940" s="16" t="s">
        <v>1665</v>
      </c>
      <c r="C940" s="17" t="s">
        <v>181</v>
      </c>
      <c r="D940" s="61">
        <v>74.900000000000006</v>
      </c>
      <c r="E940" s="61">
        <v>74.900000000000006</v>
      </c>
      <c r="F940" s="61">
        <v>73.3</v>
      </c>
      <c r="G940" s="61">
        <v>1.6</v>
      </c>
      <c r="H940" s="61">
        <v>1.6</v>
      </c>
      <c r="I940" s="62">
        <f t="shared" ref="I940:I950" si="107">SUM(F940/E940)</f>
        <v>0.97863818424566074</v>
      </c>
      <c r="J940" s="17" t="s">
        <v>1661</v>
      </c>
      <c r="K940" s="18" t="s">
        <v>19</v>
      </c>
      <c r="L940" s="18">
        <v>10</v>
      </c>
      <c r="M940" s="135">
        <v>9</v>
      </c>
      <c r="N940" s="17" t="s">
        <v>1832</v>
      </c>
      <c r="O940" s="19" t="s">
        <v>1892</v>
      </c>
    </row>
    <row r="941" spans="1:15" ht="182.25" customHeight="1" thickBot="1" x14ac:dyDescent="0.3">
      <c r="A941" s="15" t="s">
        <v>1666</v>
      </c>
      <c r="B941" s="16" t="s">
        <v>1667</v>
      </c>
      <c r="C941" s="17" t="s">
        <v>26</v>
      </c>
      <c r="D941" s="61">
        <v>50</v>
      </c>
      <c r="E941" s="61">
        <v>50</v>
      </c>
      <c r="F941" s="61">
        <v>50</v>
      </c>
      <c r="G941" s="61"/>
      <c r="H941" s="61"/>
      <c r="I941" s="62">
        <f t="shared" si="107"/>
        <v>1</v>
      </c>
      <c r="J941" s="17" t="s">
        <v>1662</v>
      </c>
      <c r="K941" s="18" t="s">
        <v>19</v>
      </c>
      <c r="L941" s="18">
        <v>2</v>
      </c>
      <c r="M941" s="139">
        <v>4</v>
      </c>
      <c r="N941" s="143" t="s">
        <v>1761</v>
      </c>
      <c r="O941" s="19"/>
    </row>
    <row r="942" spans="1:15" ht="26.25" thickBot="1" x14ac:dyDescent="0.3">
      <c r="A942" s="15" t="s">
        <v>1668</v>
      </c>
      <c r="B942" s="16" t="s">
        <v>1669</v>
      </c>
      <c r="C942" s="17" t="s">
        <v>30</v>
      </c>
      <c r="D942" s="61">
        <v>20</v>
      </c>
      <c r="E942" s="61">
        <v>20</v>
      </c>
      <c r="F942" s="61">
        <v>20</v>
      </c>
      <c r="G942" s="61"/>
      <c r="H942" s="61"/>
      <c r="I942" s="62">
        <f t="shared" si="107"/>
        <v>1</v>
      </c>
      <c r="J942" s="17" t="s">
        <v>1670</v>
      </c>
      <c r="K942" s="18" t="s">
        <v>19</v>
      </c>
      <c r="L942" s="18">
        <v>2</v>
      </c>
      <c r="M942" s="180">
        <v>0</v>
      </c>
      <c r="N942" s="17"/>
      <c r="O942" s="19" t="s">
        <v>1905</v>
      </c>
    </row>
    <row r="943" spans="1:15" ht="38.25" customHeight="1" x14ac:dyDescent="0.25">
      <c r="A943" s="285" t="s">
        <v>1671</v>
      </c>
      <c r="B943" s="217" t="s">
        <v>1672</v>
      </c>
      <c r="C943" s="17" t="s">
        <v>26</v>
      </c>
      <c r="D943" s="51">
        <f>SUM(D944:D944)+35</f>
        <v>35</v>
      </c>
      <c r="E943" s="51">
        <f>SUM(E944:E944)+35</f>
        <v>35</v>
      </c>
      <c r="F943" s="51">
        <f>SUM(F944:F944)+33.2</f>
        <v>33.200000000000003</v>
      </c>
      <c r="G943" s="51">
        <f>SUM(G944:G944)+1.8</f>
        <v>1.8</v>
      </c>
      <c r="H943" s="51">
        <f>SUM(H944:H944)+1.8</f>
        <v>1.8</v>
      </c>
      <c r="I943" s="54">
        <f t="shared" si="107"/>
        <v>0.94857142857142862</v>
      </c>
      <c r="J943" s="17" t="s">
        <v>1661</v>
      </c>
      <c r="K943" s="18" t="s">
        <v>19</v>
      </c>
      <c r="L943" s="18">
        <v>11</v>
      </c>
      <c r="M943" s="181">
        <v>12</v>
      </c>
      <c r="N943" s="17" t="s">
        <v>1673</v>
      </c>
      <c r="O943" s="19"/>
    </row>
    <row r="944" spans="1:15" ht="28.5" customHeight="1" thickBot="1" x14ac:dyDescent="0.3">
      <c r="A944" s="287"/>
      <c r="B944" s="219"/>
      <c r="C944" s="22"/>
      <c r="D944" s="53"/>
      <c r="E944" s="53"/>
      <c r="F944" s="53"/>
      <c r="G944" s="53"/>
      <c r="H944" s="53"/>
      <c r="I944" s="68"/>
      <c r="J944" s="22" t="s">
        <v>1674</v>
      </c>
      <c r="K944" s="24" t="s">
        <v>19</v>
      </c>
      <c r="L944" s="24">
        <v>1</v>
      </c>
      <c r="M944" s="182">
        <v>0</v>
      </c>
      <c r="N944" s="22"/>
      <c r="O944" s="25" t="s">
        <v>1906</v>
      </c>
    </row>
    <row r="945" spans="1:15" ht="38.25" customHeight="1" x14ac:dyDescent="0.25">
      <c r="A945" s="285" t="s">
        <v>1675</v>
      </c>
      <c r="B945" s="217" t="s">
        <v>1676</v>
      </c>
      <c r="C945" s="17"/>
      <c r="D945" s="51">
        <f>SUM(D946:D946)</f>
        <v>32</v>
      </c>
      <c r="E945" s="51">
        <f>SUM(E946:E946)</f>
        <v>32</v>
      </c>
      <c r="F945" s="51">
        <f>SUM(F946:F946)</f>
        <v>31.9</v>
      </c>
      <c r="G945" s="51">
        <f>SUM(G946:G946)</f>
        <v>0.1</v>
      </c>
      <c r="H945" s="51">
        <f>SUM(H946:H946)</f>
        <v>0.1</v>
      </c>
      <c r="I945" s="54">
        <f t="shared" si="107"/>
        <v>0.99687499999999996</v>
      </c>
      <c r="J945" s="217" t="s">
        <v>1677</v>
      </c>
      <c r="K945" s="220" t="s">
        <v>19</v>
      </c>
      <c r="L945" s="220">
        <v>11</v>
      </c>
      <c r="M945" s="309">
        <v>12</v>
      </c>
      <c r="N945" s="217" t="s">
        <v>1678</v>
      </c>
      <c r="O945" s="311"/>
    </row>
    <row r="946" spans="1:15" ht="15.75" thickBot="1" x14ac:dyDescent="0.3">
      <c r="A946" s="287"/>
      <c r="B946" s="219"/>
      <c r="C946" s="22" t="s">
        <v>30</v>
      </c>
      <c r="D946" s="53">
        <v>32</v>
      </c>
      <c r="E946" s="53">
        <v>32</v>
      </c>
      <c r="F946" s="53">
        <v>31.9</v>
      </c>
      <c r="G946" s="53">
        <v>0.1</v>
      </c>
      <c r="H946" s="53">
        <v>0.1</v>
      </c>
      <c r="I946" s="68">
        <f t="shared" si="107"/>
        <v>0.99687499999999996</v>
      </c>
      <c r="J946" s="219"/>
      <c r="K946" s="222"/>
      <c r="L946" s="222"/>
      <c r="M946" s="310"/>
      <c r="N946" s="219"/>
      <c r="O946" s="312"/>
    </row>
    <row r="947" spans="1:15" ht="54" customHeight="1" thickBot="1" x14ac:dyDescent="0.3">
      <c r="A947" s="37" t="s">
        <v>1679</v>
      </c>
      <c r="B947" s="17" t="s">
        <v>1680</v>
      </c>
      <c r="C947" s="17"/>
      <c r="D947" s="51">
        <f>D948+D951</f>
        <v>220</v>
      </c>
      <c r="E947" s="51">
        <f>E948+E951</f>
        <v>220</v>
      </c>
      <c r="F947" s="51">
        <f>F948+F951</f>
        <v>190.1</v>
      </c>
      <c r="G947" s="51">
        <f>G948+G951</f>
        <v>29.9</v>
      </c>
      <c r="H947" s="51">
        <f>H948+H951</f>
        <v>29.9</v>
      </c>
      <c r="I947" s="62">
        <f t="shared" si="107"/>
        <v>0.86409090909090902</v>
      </c>
      <c r="J947" s="17" t="s">
        <v>1681</v>
      </c>
      <c r="K947" s="18" t="s">
        <v>19</v>
      </c>
      <c r="L947" s="18">
        <v>3</v>
      </c>
      <c r="M947" s="171">
        <v>2</v>
      </c>
      <c r="N947" s="17" t="s">
        <v>1912</v>
      </c>
      <c r="O947" s="165" t="s">
        <v>1913</v>
      </c>
    </row>
    <row r="948" spans="1:15" ht="38.25" customHeight="1" x14ac:dyDescent="0.25">
      <c r="A948" s="285" t="s">
        <v>1682</v>
      </c>
      <c r="B948" s="217" t="s">
        <v>1683</v>
      </c>
      <c r="C948" s="17"/>
      <c r="D948" s="51">
        <f>SUM(D949:D950)</f>
        <v>220</v>
      </c>
      <c r="E948" s="51">
        <f>SUM(E949:E950)</f>
        <v>220</v>
      </c>
      <c r="F948" s="51">
        <f>SUM(F949:F950)</f>
        <v>190.1</v>
      </c>
      <c r="G948" s="51">
        <f>SUM(G949:G950)</f>
        <v>29.9</v>
      </c>
      <c r="H948" s="51">
        <f>SUM(H949:H950)</f>
        <v>29.9</v>
      </c>
      <c r="I948" s="54">
        <f t="shared" si="107"/>
        <v>0.86409090909090902</v>
      </c>
      <c r="J948" s="17"/>
      <c r="K948" s="18"/>
      <c r="L948" s="79"/>
      <c r="M948" s="80"/>
      <c r="N948" s="17"/>
      <c r="O948" s="19"/>
    </row>
    <row r="949" spans="1:15" x14ac:dyDescent="0.25">
      <c r="A949" s="286"/>
      <c r="B949" s="218"/>
      <c r="C949" s="22" t="s">
        <v>30</v>
      </c>
      <c r="D949" s="53">
        <v>20</v>
      </c>
      <c r="E949" s="53">
        <v>20</v>
      </c>
      <c r="F949" s="53">
        <v>20</v>
      </c>
      <c r="G949" s="53"/>
      <c r="H949" s="53"/>
      <c r="I949" s="54">
        <f t="shared" si="107"/>
        <v>1</v>
      </c>
      <c r="J949" s="22"/>
      <c r="K949" s="24"/>
      <c r="L949" s="81"/>
      <c r="M949" s="82"/>
      <c r="N949" s="22"/>
      <c r="O949" s="25"/>
    </row>
    <row r="950" spans="1:15" ht="15.75" thickBot="1" x14ac:dyDescent="0.3">
      <c r="A950" s="287"/>
      <c r="B950" s="219"/>
      <c r="C950" s="22" t="s">
        <v>26</v>
      </c>
      <c r="D950" s="53">
        <v>200</v>
      </c>
      <c r="E950" s="53">
        <v>200</v>
      </c>
      <c r="F950" s="53">
        <v>170.1</v>
      </c>
      <c r="G950" s="53">
        <v>29.9</v>
      </c>
      <c r="H950" s="53">
        <v>29.9</v>
      </c>
      <c r="I950" s="54">
        <f t="shared" si="107"/>
        <v>0.85049999999999992</v>
      </c>
      <c r="J950" s="22"/>
      <c r="K950" s="24"/>
      <c r="L950" s="81"/>
      <c r="M950" s="82"/>
      <c r="N950" s="22"/>
      <c r="O950" s="25"/>
    </row>
    <row r="951" spans="1:15" ht="26.25" thickBot="1" x14ac:dyDescent="0.3">
      <c r="A951" s="15" t="s">
        <v>1684</v>
      </c>
      <c r="B951" s="16" t="s">
        <v>1685</v>
      </c>
      <c r="C951" s="17"/>
      <c r="D951" s="61"/>
      <c r="E951" s="61"/>
      <c r="F951" s="61"/>
      <c r="G951" s="61"/>
      <c r="H951" s="61"/>
      <c r="I951" s="69"/>
      <c r="J951" s="17"/>
      <c r="K951" s="18"/>
      <c r="L951" s="79"/>
      <c r="M951" s="80"/>
      <c r="N951" s="17"/>
      <c r="O951" s="19"/>
    </row>
    <row r="952" spans="1:15" ht="67.5" customHeight="1" x14ac:dyDescent="0.25">
      <c r="A952" s="285" t="s">
        <v>1686</v>
      </c>
      <c r="B952" s="217" t="s">
        <v>1549</v>
      </c>
      <c r="C952" s="17" t="s">
        <v>26</v>
      </c>
      <c r="D952" s="51">
        <f>SUM(D953:D954)+25</f>
        <v>25</v>
      </c>
      <c r="E952" s="51">
        <f>SUM(E953:E954)+25</f>
        <v>25</v>
      </c>
      <c r="F952" s="51">
        <f>SUM(F953:F954)+18.6</f>
        <v>18.600000000000001</v>
      </c>
      <c r="G952" s="51">
        <f>SUM(G953:G954)+6.4</f>
        <v>6.4</v>
      </c>
      <c r="H952" s="51">
        <f>SUM(H953:H954)+6.4</f>
        <v>6.4</v>
      </c>
      <c r="I952" s="54">
        <f>SUM(F952/E952)</f>
        <v>0.74400000000000011</v>
      </c>
      <c r="J952" s="17" t="s">
        <v>1661</v>
      </c>
      <c r="K952" s="18" t="s">
        <v>19</v>
      </c>
      <c r="L952" s="18">
        <v>5</v>
      </c>
      <c r="M952" s="139">
        <v>10</v>
      </c>
      <c r="N952" s="17"/>
      <c r="O952" s="116"/>
    </row>
    <row r="953" spans="1:15" ht="25.5" x14ac:dyDescent="0.25">
      <c r="A953" s="286"/>
      <c r="B953" s="218"/>
      <c r="C953" s="22"/>
      <c r="D953" s="53"/>
      <c r="E953" s="53"/>
      <c r="F953" s="53"/>
      <c r="G953" s="53"/>
      <c r="H953" s="53"/>
      <c r="I953" s="55"/>
      <c r="J953" s="22" t="s">
        <v>1687</v>
      </c>
      <c r="K953" s="24" t="s">
        <v>337</v>
      </c>
      <c r="L953" s="81">
        <v>1000</v>
      </c>
      <c r="M953" s="137">
        <v>877</v>
      </c>
      <c r="N953" s="22"/>
      <c r="O953" s="25" t="s">
        <v>1893</v>
      </c>
    </row>
    <row r="954" spans="1:15" ht="28.5" customHeight="1" thickBot="1" x14ac:dyDescent="0.3">
      <c r="A954" s="287"/>
      <c r="B954" s="219"/>
      <c r="C954" s="22"/>
      <c r="D954" s="53"/>
      <c r="E954" s="53"/>
      <c r="F954" s="53"/>
      <c r="G954" s="53"/>
      <c r="H954" s="53"/>
      <c r="I954" s="67"/>
      <c r="J954" s="22" t="s">
        <v>1688</v>
      </c>
      <c r="K954" s="24" t="s">
        <v>25</v>
      </c>
      <c r="L954" s="24">
        <v>0.6</v>
      </c>
      <c r="M954" s="137">
        <v>0.5</v>
      </c>
      <c r="N954" s="22"/>
      <c r="O954" s="25" t="s">
        <v>1894</v>
      </c>
    </row>
    <row r="955" spans="1:15" ht="89.25" x14ac:dyDescent="0.25">
      <c r="A955" s="285" t="s">
        <v>1689</v>
      </c>
      <c r="B955" s="217" t="s">
        <v>1690</v>
      </c>
      <c r="C955" s="17"/>
      <c r="D955" s="51">
        <f>SUM(D956:D967)</f>
        <v>156.30000000000001</v>
      </c>
      <c r="E955" s="51">
        <f>SUM(E956:E967)</f>
        <v>156.30000000000001</v>
      </c>
      <c r="F955" s="51">
        <f>SUM(F956:F967)</f>
        <v>103.5</v>
      </c>
      <c r="G955" s="51">
        <f>SUM(G956:G967)</f>
        <v>52.8</v>
      </c>
      <c r="H955" s="51">
        <f>SUM(H956:H967)</f>
        <v>52.8</v>
      </c>
      <c r="I955" s="54">
        <f>SUM(F955/E955)</f>
        <v>0.66218809980806137</v>
      </c>
      <c r="J955" s="17" t="s">
        <v>1691</v>
      </c>
      <c r="K955" s="18" t="s">
        <v>280</v>
      </c>
      <c r="L955" s="79">
        <v>5000</v>
      </c>
      <c r="M955" s="161">
        <v>0</v>
      </c>
      <c r="N955" s="17"/>
      <c r="O955" s="19" t="s">
        <v>1895</v>
      </c>
    </row>
    <row r="956" spans="1:15" ht="25.5" x14ac:dyDescent="0.25">
      <c r="A956" s="286"/>
      <c r="B956" s="218"/>
      <c r="C956" s="22"/>
      <c r="D956" s="53"/>
      <c r="E956" s="53"/>
      <c r="F956" s="53"/>
      <c r="G956" s="53"/>
      <c r="H956" s="53"/>
      <c r="I956" s="55"/>
      <c r="J956" s="22" t="s">
        <v>1692</v>
      </c>
      <c r="K956" s="24" t="s">
        <v>25</v>
      </c>
      <c r="L956" s="24">
        <v>50</v>
      </c>
      <c r="M956" s="130">
        <v>50</v>
      </c>
      <c r="N956" s="22" t="s">
        <v>1693</v>
      </c>
      <c r="O956" s="25"/>
    </row>
    <row r="957" spans="1:15" ht="38.25" x14ac:dyDescent="0.25">
      <c r="A957" s="286"/>
      <c r="B957" s="218"/>
      <c r="C957" s="22"/>
      <c r="D957" s="53"/>
      <c r="E957" s="53"/>
      <c r="F957" s="53"/>
      <c r="G957" s="53"/>
      <c r="H957" s="53"/>
      <c r="I957" s="55"/>
      <c r="J957" s="22" t="s">
        <v>1694</v>
      </c>
      <c r="K957" s="24" t="s">
        <v>337</v>
      </c>
      <c r="L957" s="24">
        <v>60</v>
      </c>
      <c r="M957" s="130">
        <v>60</v>
      </c>
      <c r="N957" s="22" t="s">
        <v>1695</v>
      </c>
      <c r="O957" s="25"/>
    </row>
    <row r="958" spans="1:15" ht="25.5" x14ac:dyDescent="0.25">
      <c r="A958" s="286"/>
      <c r="B958" s="218"/>
      <c r="C958" s="22"/>
      <c r="D958" s="53"/>
      <c r="E958" s="53"/>
      <c r="F958" s="53"/>
      <c r="G958" s="53"/>
      <c r="H958" s="53"/>
      <c r="I958" s="55"/>
      <c r="J958" s="22" t="s">
        <v>1696</v>
      </c>
      <c r="K958" s="24" t="s">
        <v>337</v>
      </c>
      <c r="L958" s="24">
        <v>2</v>
      </c>
      <c r="M958" s="130">
        <v>2</v>
      </c>
      <c r="N958" s="22"/>
      <c r="O958" s="25"/>
    </row>
    <row r="959" spans="1:15" ht="28.5" customHeight="1" x14ac:dyDescent="0.25">
      <c r="A959" s="286"/>
      <c r="B959" s="218"/>
      <c r="C959" s="22"/>
      <c r="D959" s="53"/>
      <c r="E959" s="53"/>
      <c r="F959" s="53"/>
      <c r="G959" s="53"/>
      <c r="H959" s="53"/>
      <c r="I959" s="55"/>
      <c r="J959" s="22" t="s">
        <v>1697</v>
      </c>
      <c r="K959" s="24" t="s">
        <v>453</v>
      </c>
      <c r="L959" s="24">
        <v>75</v>
      </c>
      <c r="M959" s="130">
        <v>75</v>
      </c>
      <c r="N959" s="22" t="s">
        <v>1698</v>
      </c>
      <c r="O959" s="25"/>
    </row>
    <row r="960" spans="1:15" ht="25.5" x14ac:dyDescent="0.25">
      <c r="A960" s="286"/>
      <c r="B960" s="218"/>
      <c r="C960" s="22"/>
      <c r="D960" s="53"/>
      <c r="E960" s="53"/>
      <c r="F960" s="53"/>
      <c r="G960" s="53"/>
      <c r="H960" s="53"/>
      <c r="I960" s="55"/>
      <c r="J960" s="22" t="s">
        <v>1699</v>
      </c>
      <c r="K960" s="24" t="s">
        <v>19</v>
      </c>
      <c r="L960" s="24">
        <v>180</v>
      </c>
      <c r="M960" s="137">
        <v>150</v>
      </c>
      <c r="N960" s="22" t="s">
        <v>1700</v>
      </c>
      <c r="O960" s="25" t="s">
        <v>1760</v>
      </c>
    </row>
    <row r="961" spans="1:16" ht="25.5" x14ac:dyDescent="0.25">
      <c r="A961" s="286"/>
      <c r="B961" s="218"/>
      <c r="C961" s="22"/>
      <c r="D961" s="53"/>
      <c r="E961" s="53"/>
      <c r="F961" s="53"/>
      <c r="G961" s="53"/>
      <c r="H961" s="53"/>
      <c r="I961" s="55"/>
      <c r="J961" s="22" t="s">
        <v>1700</v>
      </c>
      <c r="K961" s="24" t="s">
        <v>19</v>
      </c>
      <c r="L961" s="24">
        <v>30</v>
      </c>
      <c r="M961" s="130">
        <v>30</v>
      </c>
      <c r="N961" s="22"/>
      <c r="O961" s="25"/>
    </row>
    <row r="962" spans="1:16" ht="38.25" x14ac:dyDescent="0.25">
      <c r="A962" s="286"/>
      <c r="B962" s="218"/>
      <c r="C962" s="22"/>
      <c r="D962" s="53"/>
      <c r="E962" s="53"/>
      <c r="F962" s="53"/>
      <c r="G962" s="53"/>
      <c r="H962" s="53"/>
      <c r="I962" s="55"/>
      <c r="J962" s="22" t="s">
        <v>1701</v>
      </c>
      <c r="K962" s="24" t="s">
        <v>925</v>
      </c>
      <c r="L962" s="24">
        <v>36</v>
      </c>
      <c r="M962" s="130">
        <v>36</v>
      </c>
      <c r="N962" s="22"/>
      <c r="O962" s="25"/>
    </row>
    <row r="963" spans="1:16" ht="38.25" x14ac:dyDescent="0.25">
      <c r="A963" s="286"/>
      <c r="B963" s="218"/>
      <c r="C963" s="22"/>
      <c r="D963" s="53"/>
      <c r="E963" s="53"/>
      <c r="F963" s="53"/>
      <c r="G963" s="53"/>
      <c r="H963" s="53"/>
      <c r="I963" s="55"/>
      <c r="J963" s="22" t="s">
        <v>1702</v>
      </c>
      <c r="K963" s="24" t="s">
        <v>925</v>
      </c>
      <c r="L963" s="24">
        <v>100</v>
      </c>
      <c r="M963" s="131">
        <v>516</v>
      </c>
      <c r="N963" s="22" t="s">
        <v>1703</v>
      </c>
      <c r="O963" s="25"/>
    </row>
    <row r="964" spans="1:16" ht="40.5" customHeight="1" x14ac:dyDescent="0.25">
      <c r="A964" s="286"/>
      <c r="B964" s="218"/>
      <c r="C964" s="22"/>
      <c r="D964" s="53"/>
      <c r="E964" s="53"/>
      <c r="F964" s="53"/>
      <c r="G964" s="53"/>
      <c r="H964" s="53"/>
      <c r="I964" s="55"/>
      <c r="J964" s="22" t="s">
        <v>1704</v>
      </c>
      <c r="K964" s="24" t="s">
        <v>925</v>
      </c>
      <c r="L964" s="81">
        <v>1000</v>
      </c>
      <c r="M964" s="137">
        <v>750</v>
      </c>
      <c r="N964" s="22" t="s">
        <v>1759</v>
      </c>
      <c r="O964" s="25" t="s">
        <v>1760</v>
      </c>
    </row>
    <row r="965" spans="1:16" ht="51" x14ac:dyDescent="0.25">
      <c r="A965" s="286"/>
      <c r="B965" s="218"/>
      <c r="C965" s="22"/>
      <c r="D965" s="53"/>
      <c r="E965" s="53"/>
      <c r="F965" s="53"/>
      <c r="G965" s="53"/>
      <c r="H965" s="53"/>
      <c r="I965" s="55"/>
      <c r="J965" s="22" t="s">
        <v>1705</v>
      </c>
      <c r="K965" s="24" t="s">
        <v>25</v>
      </c>
      <c r="L965" s="24">
        <v>70</v>
      </c>
      <c r="M965" s="131">
        <v>75</v>
      </c>
      <c r="N965" s="22" t="s">
        <v>1758</v>
      </c>
      <c r="O965" s="25"/>
    </row>
    <row r="966" spans="1:16" x14ac:dyDescent="0.25">
      <c r="A966" s="286"/>
      <c r="B966" s="218"/>
      <c r="C966" s="22" t="s">
        <v>181</v>
      </c>
      <c r="D966" s="53">
        <v>151.30000000000001</v>
      </c>
      <c r="E966" s="53">
        <v>151.30000000000001</v>
      </c>
      <c r="F966" s="53">
        <v>103.5</v>
      </c>
      <c r="G966" s="53">
        <v>47.8</v>
      </c>
      <c r="H966" s="53">
        <v>47.8</v>
      </c>
      <c r="I966" s="54">
        <f t="shared" ref="I966:I967" si="108">SUM(F966/E966)</f>
        <v>0.68407138136153334</v>
      </c>
      <c r="J966" s="22"/>
      <c r="K966" s="24"/>
      <c r="L966" s="81"/>
      <c r="M966" s="82"/>
      <c r="N966" s="22"/>
      <c r="O966" s="25"/>
    </row>
    <row r="967" spans="1:16" ht="15.75" thickBot="1" x14ac:dyDescent="0.3">
      <c r="A967" s="287"/>
      <c r="B967" s="219"/>
      <c r="C967" s="26" t="s">
        <v>26</v>
      </c>
      <c r="D967" s="72">
        <v>5</v>
      </c>
      <c r="E967" s="72">
        <v>5</v>
      </c>
      <c r="F967" s="72">
        <v>0</v>
      </c>
      <c r="G967" s="72">
        <v>5</v>
      </c>
      <c r="H967" s="72">
        <v>5</v>
      </c>
      <c r="I967" s="68">
        <f t="shared" si="108"/>
        <v>0</v>
      </c>
      <c r="J967" s="26"/>
      <c r="K967" s="27"/>
      <c r="L967" s="97"/>
      <c r="M967" s="98"/>
      <c r="N967" s="26"/>
      <c r="O967" s="28"/>
    </row>
    <row r="968" spans="1:16" s="32" customFormat="1" x14ac:dyDescent="0.25">
      <c r="A968" s="29"/>
      <c r="B968" s="29"/>
      <c r="C968" s="30"/>
      <c r="D968" s="73"/>
      <c r="E968" s="73"/>
      <c r="F968" s="73"/>
      <c r="G968" s="73"/>
      <c r="H968" s="73"/>
      <c r="I968" s="74"/>
      <c r="J968" s="30"/>
      <c r="K968" s="31"/>
      <c r="L968" s="99"/>
      <c r="M968" s="100"/>
      <c r="N968" s="30"/>
      <c r="O968" s="30"/>
      <c r="P968" s="214"/>
    </row>
    <row r="969" spans="1:16" s="32" customFormat="1" x14ac:dyDescent="0.25">
      <c r="A969" s="29"/>
      <c r="B969" s="29"/>
      <c r="C969" s="30"/>
      <c r="D969" s="73"/>
      <c r="E969" s="73"/>
      <c r="F969" s="73"/>
      <c r="G969" s="73"/>
      <c r="H969" s="73"/>
      <c r="I969" s="74"/>
      <c r="J969" s="30"/>
      <c r="K969" s="31"/>
      <c r="L969" s="99"/>
      <c r="M969" s="100"/>
      <c r="N969" s="30"/>
      <c r="O969" s="30"/>
      <c r="P969" s="214"/>
    </row>
    <row r="970" spans="1:16" s="32" customFormat="1" x14ac:dyDescent="0.25">
      <c r="A970" s="29"/>
      <c r="B970" s="29"/>
      <c r="C970" s="30"/>
      <c r="D970" s="73"/>
      <c r="E970" s="73"/>
      <c r="F970" s="73"/>
      <c r="G970" s="73"/>
      <c r="H970" s="73"/>
      <c r="I970" s="74"/>
      <c r="J970" s="30"/>
      <c r="K970" s="31"/>
      <c r="L970" s="99"/>
      <c r="M970" s="100"/>
      <c r="N970" s="30"/>
      <c r="O970" s="30"/>
      <c r="P970" s="214"/>
    </row>
    <row r="971" spans="1:16" s="32" customFormat="1" x14ac:dyDescent="0.25">
      <c r="A971" s="29"/>
      <c r="B971" s="29"/>
      <c r="C971" s="30"/>
      <c r="D971" s="73"/>
      <c r="E971" s="73"/>
      <c r="F971" s="73"/>
      <c r="G971" s="73"/>
      <c r="H971" s="73"/>
      <c r="I971" s="74"/>
      <c r="J971" s="30"/>
      <c r="K971" s="31"/>
      <c r="L971" s="99"/>
      <c r="M971" s="100"/>
      <c r="N971" s="30"/>
      <c r="O971" s="30"/>
      <c r="P971" s="214"/>
    </row>
    <row r="972" spans="1:16" s="32" customFormat="1" x14ac:dyDescent="0.25">
      <c r="A972" s="29"/>
      <c r="B972" s="29"/>
      <c r="C972" s="30"/>
      <c r="D972" s="73"/>
      <c r="E972" s="73"/>
      <c r="F972" s="73"/>
      <c r="G972" s="73"/>
      <c r="H972" s="73"/>
      <c r="I972" s="74"/>
      <c r="J972" s="30"/>
      <c r="K972" s="31"/>
      <c r="L972" s="99"/>
      <c r="M972" s="100"/>
      <c r="N972" s="30"/>
      <c r="O972" s="30"/>
      <c r="P972" s="214"/>
    </row>
    <row r="973" spans="1:16" ht="55.5" customHeight="1" x14ac:dyDescent="0.25">
      <c r="A973" s="260" t="s">
        <v>0</v>
      </c>
      <c r="B973" s="260" t="s">
        <v>1</v>
      </c>
      <c r="C973" s="249" t="s">
        <v>3</v>
      </c>
      <c r="D973" s="261"/>
      <c r="E973" s="249" t="s">
        <v>4</v>
      </c>
      <c r="F973" s="260" t="s">
        <v>5</v>
      </c>
      <c r="G973" s="262"/>
    </row>
    <row r="974" spans="1:16" ht="24.75" x14ac:dyDescent="0.25">
      <c r="A974" s="260"/>
      <c r="B974" s="260"/>
      <c r="C974" s="3" t="s">
        <v>7</v>
      </c>
      <c r="D974" s="3" t="s">
        <v>8</v>
      </c>
      <c r="E974" s="249"/>
      <c r="F974" s="3" t="s">
        <v>7</v>
      </c>
      <c r="G974" s="3" t="s">
        <v>8</v>
      </c>
    </row>
    <row r="975" spans="1:16" ht="25.5" x14ac:dyDescent="0.25">
      <c r="A975" s="21" t="s">
        <v>1706</v>
      </c>
      <c r="B975" s="101" t="s">
        <v>1707</v>
      </c>
      <c r="C975" s="102">
        <f>SUM(C976:C987)</f>
        <v>256774.39999999997</v>
      </c>
      <c r="D975" s="103">
        <f>SUM(D976:D987)</f>
        <v>256774.39999999997</v>
      </c>
      <c r="E975" s="103">
        <f>SUM(E976:E987)-0.2</f>
        <v>235221.8</v>
      </c>
      <c r="F975" s="103">
        <f>SUM(F976:F987)</f>
        <v>21552.600000000006</v>
      </c>
      <c r="G975" s="103">
        <f>SUM(G976:G987)</f>
        <v>21552.600000000006</v>
      </c>
    </row>
    <row r="976" spans="1:16" x14ac:dyDescent="0.25">
      <c r="A976" s="21" t="s">
        <v>26</v>
      </c>
      <c r="B976" s="21" t="s">
        <v>1708</v>
      </c>
      <c r="C976" s="23">
        <v>106723.9</v>
      </c>
      <c r="D976" s="53">
        <v>106723.9</v>
      </c>
      <c r="E976" s="53">
        <v>96079.7</v>
      </c>
      <c r="F976" s="53">
        <v>10644.2</v>
      </c>
      <c r="G976" s="53">
        <v>10644.2</v>
      </c>
    </row>
    <row r="977" spans="1:7" x14ac:dyDescent="0.25">
      <c r="A977" s="21" t="s">
        <v>198</v>
      </c>
      <c r="B977" s="21" t="s">
        <v>1709</v>
      </c>
      <c r="C977" s="23">
        <v>11700.6</v>
      </c>
      <c r="D977" s="53">
        <v>11700.6</v>
      </c>
      <c r="E977" s="53">
        <v>9557.4</v>
      </c>
      <c r="F977" s="53">
        <v>2143.1999999999998</v>
      </c>
      <c r="G977" s="53">
        <v>2143.1999999999998</v>
      </c>
    </row>
    <row r="978" spans="1:7" x14ac:dyDescent="0.25">
      <c r="A978" s="21" t="s">
        <v>952</v>
      </c>
      <c r="B978" s="21" t="s">
        <v>1710</v>
      </c>
      <c r="C978" s="23">
        <v>50669.9</v>
      </c>
      <c r="D978" s="53">
        <v>50669.9</v>
      </c>
      <c r="E978" s="53">
        <v>50669.4</v>
      </c>
      <c r="F978" s="53">
        <v>0.5</v>
      </c>
      <c r="G978" s="53">
        <v>0.5</v>
      </c>
    </row>
    <row r="979" spans="1:7" ht="25.5" x14ac:dyDescent="0.25">
      <c r="A979" s="21" t="s">
        <v>755</v>
      </c>
      <c r="B979" s="21" t="s">
        <v>1711</v>
      </c>
      <c r="C979" s="23">
        <v>9188.1</v>
      </c>
      <c r="D979" s="53">
        <v>9188.1</v>
      </c>
      <c r="E979" s="53">
        <v>8769.7000000000007</v>
      </c>
      <c r="F979" s="53">
        <v>418.4</v>
      </c>
      <c r="G979" s="53">
        <v>418.4</v>
      </c>
    </row>
    <row r="980" spans="1:7" x14ac:dyDescent="0.25">
      <c r="A980" s="21" t="s">
        <v>181</v>
      </c>
      <c r="B980" s="21" t="s">
        <v>1712</v>
      </c>
      <c r="C980" s="23">
        <v>28156.9</v>
      </c>
      <c r="D980" s="53">
        <v>28156.9</v>
      </c>
      <c r="E980" s="53">
        <v>25739.200000000001</v>
      </c>
      <c r="F980" s="53">
        <v>2417.8000000000002</v>
      </c>
      <c r="G980" s="53">
        <v>2417.8000000000002</v>
      </c>
    </row>
    <row r="981" spans="1:7" ht="25.5" x14ac:dyDescent="0.25">
      <c r="A981" s="21" t="s">
        <v>468</v>
      </c>
      <c r="B981" s="21" t="s">
        <v>1713</v>
      </c>
      <c r="C981" s="23">
        <v>7259.3</v>
      </c>
      <c r="D981" s="53">
        <v>7259.3</v>
      </c>
      <c r="E981" s="53">
        <v>7259.3</v>
      </c>
      <c r="F981" s="53">
        <v>0</v>
      </c>
      <c r="G981" s="53">
        <v>0</v>
      </c>
    </row>
    <row r="982" spans="1:7" ht="25.5" x14ac:dyDescent="0.25">
      <c r="A982" s="21" t="s">
        <v>842</v>
      </c>
      <c r="B982" s="21" t="s">
        <v>1714</v>
      </c>
      <c r="C982" s="23">
        <v>613.6</v>
      </c>
      <c r="D982" s="53">
        <v>613.6</v>
      </c>
      <c r="E982" s="53">
        <v>613.6</v>
      </c>
      <c r="F982" s="53">
        <v>0</v>
      </c>
      <c r="G982" s="53">
        <v>0</v>
      </c>
    </row>
    <row r="983" spans="1:7" x14ac:dyDescent="0.25">
      <c r="A983" s="21" t="s">
        <v>191</v>
      </c>
      <c r="B983" s="21" t="s">
        <v>1715</v>
      </c>
      <c r="C983" s="23">
        <v>12313.3</v>
      </c>
      <c r="D983" s="53">
        <v>12313.3</v>
      </c>
      <c r="E983" s="53">
        <v>10282.6</v>
      </c>
      <c r="F983" s="53">
        <v>2030.7</v>
      </c>
      <c r="G983" s="53">
        <v>2030.7</v>
      </c>
    </row>
    <row r="984" spans="1:7" x14ac:dyDescent="0.25">
      <c r="A984" s="21" t="s">
        <v>171</v>
      </c>
      <c r="B984" s="21" t="s">
        <v>1716</v>
      </c>
      <c r="C984" s="23">
        <v>7064.8</v>
      </c>
      <c r="D984" s="53">
        <v>7064.8</v>
      </c>
      <c r="E984" s="53">
        <v>6049.4</v>
      </c>
      <c r="F984" s="53">
        <v>1015.4</v>
      </c>
      <c r="G984" s="53">
        <v>1015.4</v>
      </c>
    </row>
    <row r="985" spans="1:7" ht="25.5" x14ac:dyDescent="0.25">
      <c r="A985" s="21" t="s">
        <v>30</v>
      </c>
      <c r="B985" s="21" t="s">
        <v>1717</v>
      </c>
      <c r="C985" s="23">
        <v>22251.4</v>
      </c>
      <c r="D985" s="53">
        <v>22251.4</v>
      </c>
      <c r="E985" s="53">
        <v>19566.3</v>
      </c>
      <c r="F985" s="53">
        <v>2685.2</v>
      </c>
      <c r="G985" s="53">
        <v>2685.2</v>
      </c>
    </row>
    <row r="986" spans="1:7" ht="38.25" x14ac:dyDescent="0.25">
      <c r="A986" s="21" t="s">
        <v>269</v>
      </c>
      <c r="B986" s="21" t="s">
        <v>1718</v>
      </c>
      <c r="C986" s="23">
        <v>400</v>
      </c>
      <c r="D986" s="53">
        <v>400</v>
      </c>
      <c r="E986" s="53">
        <v>359.1</v>
      </c>
      <c r="F986" s="53">
        <v>40.9</v>
      </c>
      <c r="G986" s="53">
        <v>40.9</v>
      </c>
    </row>
    <row r="987" spans="1:7" ht="38.25" x14ac:dyDescent="0.25">
      <c r="A987" s="21" t="s">
        <v>300</v>
      </c>
      <c r="B987" s="21" t="s">
        <v>1719</v>
      </c>
      <c r="C987" s="23">
        <v>432.6</v>
      </c>
      <c r="D987" s="53">
        <v>432.6</v>
      </c>
      <c r="E987" s="53">
        <v>276.3</v>
      </c>
      <c r="F987" s="53">
        <v>156.30000000000001</v>
      </c>
      <c r="G987" s="53">
        <v>156.30000000000001</v>
      </c>
    </row>
    <row r="988" spans="1:7" x14ac:dyDescent="0.25">
      <c r="A988" s="21" t="s">
        <v>1720</v>
      </c>
      <c r="B988" s="101" t="s">
        <v>1721</v>
      </c>
      <c r="C988" s="102">
        <f>SUM(C989:C991)</f>
        <v>40820.400000000001</v>
      </c>
      <c r="D988" s="103">
        <f>SUM(D989:D991)</f>
        <v>40820.400000000001</v>
      </c>
      <c r="E988" s="103">
        <f>SUM(E989:E991)</f>
        <v>37278.800000000003</v>
      </c>
      <c r="F988" s="103">
        <f>SUM(F989:F991)-0.1</f>
        <v>3541.6</v>
      </c>
      <c r="G988" s="103">
        <f>SUM(G989:G991)-0.1</f>
        <v>3541.6</v>
      </c>
    </row>
    <row r="989" spans="1:7" x14ac:dyDescent="0.25">
      <c r="A989" s="21" t="s">
        <v>165</v>
      </c>
      <c r="B989" s="21" t="s">
        <v>1722</v>
      </c>
      <c r="C989" s="23">
        <v>35995.4</v>
      </c>
      <c r="D989" s="53">
        <v>35995.4</v>
      </c>
      <c r="E989" s="53">
        <v>34622.699999999997</v>
      </c>
      <c r="F989" s="53">
        <v>1372.7</v>
      </c>
      <c r="G989" s="53">
        <v>1372.7</v>
      </c>
    </row>
    <row r="990" spans="1:7" x14ac:dyDescent="0.25">
      <c r="A990" s="21" t="s">
        <v>178</v>
      </c>
      <c r="B990" s="21" t="s">
        <v>1723</v>
      </c>
      <c r="C990" s="23">
        <v>2897.2</v>
      </c>
      <c r="D990" s="53">
        <v>2897.2</v>
      </c>
      <c r="E990" s="53">
        <v>1710.3</v>
      </c>
      <c r="F990" s="53">
        <v>1187</v>
      </c>
      <c r="G990" s="53">
        <v>1187</v>
      </c>
    </row>
    <row r="991" spans="1:7" x14ac:dyDescent="0.25">
      <c r="A991" s="21" t="s">
        <v>168</v>
      </c>
      <c r="B991" s="21" t="s">
        <v>1724</v>
      </c>
      <c r="C991" s="23">
        <v>1927.8</v>
      </c>
      <c r="D991" s="53">
        <v>1927.8</v>
      </c>
      <c r="E991" s="53">
        <v>945.8</v>
      </c>
      <c r="F991" s="53">
        <v>982</v>
      </c>
      <c r="G991" s="53">
        <v>982</v>
      </c>
    </row>
    <row r="992" spans="1:7" ht="25.5" x14ac:dyDescent="0.25">
      <c r="A992" s="33"/>
      <c r="B992" s="104" t="s">
        <v>1725</v>
      </c>
      <c r="C992" s="105">
        <f>C975+C988</f>
        <v>297594.8</v>
      </c>
      <c r="D992" s="106">
        <f>D975+D988</f>
        <v>297594.8</v>
      </c>
      <c r="E992" s="106">
        <f>E975+E988</f>
        <v>272500.59999999998</v>
      </c>
      <c r="F992" s="106">
        <f>F975+F988</f>
        <v>25094.200000000004</v>
      </c>
      <c r="G992" s="106">
        <f>G975+G988</f>
        <v>25094.200000000004</v>
      </c>
    </row>
  </sheetData>
  <mergeCells count="565">
    <mergeCell ref="K945:K946"/>
    <mergeCell ref="L945:L946"/>
    <mergeCell ref="M945:M946"/>
    <mergeCell ref="N945:N946"/>
    <mergeCell ref="O945:O946"/>
    <mergeCell ref="A952:A954"/>
    <mergeCell ref="B952:B954"/>
    <mergeCell ref="A955:A967"/>
    <mergeCell ref="B955:B967"/>
    <mergeCell ref="A943:A944"/>
    <mergeCell ref="B943:B944"/>
    <mergeCell ref="A945:A946"/>
    <mergeCell ref="B945:B946"/>
    <mergeCell ref="A948:A950"/>
    <mergeCell ref="B948:B950"/>
    <mergeCell ref="A931:A932"/>
    <mergeCell ref="B931:B932"/>
    <mergeCell ref="J945:J946"/>
    <mergeCell ref="N931:O932"/>
    <mergeCell ref="A937:A939"/>
    <mergeCell ref="B937:B939"/>
    <mergeCell ref="A914:A915"/>
    <mergeCell ref="B914:B915"/>
    <mergeCell ref="A916:A918"/>
    <mergeCell ref="B916:B918"/>
    <mergeCell ref="A922:A923"/>
    <mergeCell ref="B922:B923"/>
    <mergeCell ref="J933:O933"/>
    <mergeCell ref="A929:A930"/>
    <mergeCell ref="B929:B930"/>
    <mergeCell ref="A901:A904"/>
    <mergeCell ref="B901:B904"/>
    <mergeCell ref="A905:A908"/>
    <mergeCell ref="B905:B908"/>
    <mergeCell ref="B909:B910"/>
    <mergeCell ref="A909:A910"/>
    <mergeCell ref="A886:A888"/>
    <mergeCell ref="B886:B888"/>
    <mergeCell ref="A889:A890"/>
    <mergeCell ref="B889:B890"/>
    <mergeCell ref="A896:A900"/>
    <mergeCell ref="B896:B900"/>
    <mergeCell ref="A860:A861"/>
    <mergeCell ref="B860:B861"/>
    <mergeCell ref="A862:A864"/>
    <mergeCell ref="B862:B864"/>
    <mergeCell ref="A865:A868"/>
    <mergeCell ref="B865:B868"/>
    <mergeCell ref="A847:A848"/>
    <mergeCell ref="B847:B848"/>
    <mergeCell ref="A849:A851"/>
    <mergeCell ref="B849:B851"/>
    <mergeCell ref="A856:A859"/>
    <mergeCell ref="B856:B859"/>
    <mergeCell ref="A833:A837"/>
    <mergeCell ref="B833:B837"/>
    <mergeCell ref="A841:A843"/>
    <mergeCell ref="B841:B843"/>
    <mergeCell ref="A844:A846"/>
    <mergeCell ref="B844:B846"/>
    <mergeCell ref="A810:A812"/>
    <mergeCell ref="B810:B812"/>
    <mergeCell ref="A813:A816"/>
    <mergeCell ref="B813:B816"/>
    <mergeCell ref="A818:A820"/>
    <mergeCell ref="B818:B820"/>
    <mergeCell ref="A798:A799"/>
    <mergeCell ref="B798:B799"/>
    <mergeCell ref="A803:A804"/>
    <mergeCell ref="B803:B804"/>
    <mergeCell ref="A806:A808"/>
    <mergeCell ref="B806:B808"/>
    <mergeCell ref="A779:A780"/>
    <mergeCell ref="B779:B780"/>
    <mergeCell ref="A782:A783"/>
    <mergeCell ref="B782:B783"/>
    <mergeCell ref="A794:A795"/>
    <mergeCell ref="B794:B795"/>
    <mergeCell ref="A770:A772"/>
    <mergeCell ref="B770:B772"/>
    <mergeCell ref="A775:A776"/>
    <mergeCell ref="B775:B776"/>
    <mergeCell ref="A777:A778"/>
    <mergeCell ref="B777:B778"/>
    <mergeCell ref="A762:A764"/>
    <mergeCell ref="B762:B764"/>
    <mergeCell ref="A765:A766"/>
    <mergeCell ref="B765:B766"/>
    <mergeCell ref="A767:A768"/>
    <mergeCell ref="B767:B768"/>
    <mergeCell ref="A754:A755"/>
    <mergeCell ref="B754:B755"/>
    <mergeCell ref="A756:A759"/>
    <mergeCell ref="B756:B759"/>
    <mergeCell ref="A760:A761"/>
    <mergeCell ref="B760:B761"/>
    <mergeCell ref="A740:A744"/>
    <mergeCell ref="B740:B744"/>
    <mergeCell ref="A746:A748"/>
    <mergeCell ref="B746:B748"/>
    <mergeCell ref="A750:A752"/>
    <mergeCell ref="B750:B752"/>
    <mergeCell ref="A726:A727"/>
    <mergeCell ref="B726:B727"/>
    <mergeCell ref="A729:A732"/>
    <mergeCell ref="B729:B732"/>
    <mergeCell ref="A735:A738"/>
    <mergeCell ref="B735:B738"/>
    <mergeCell ref="A717:A718"/>
    <mergeCell ref="B717:B718"/>
    <mergeCell ref="A719:A722"/>
    <mergeCell ref="B719:B722"/>
    <mergeCell ref="A723:A725"/>
    <mergeCell ref="B723:B725"/>
    <mergeCell ref="A708:A710"/>
    <mergeCell ref="B708:B710"/>
    <mergeCell ref="A711:A713"/>
    <mergeCell ref="B711:B713"/>
    <mergeCell ref="A714:A716"/>
    <mergeCell ref="B714:B716"/>
    <mergeCell ref="A690:A693"/>
    <mergeCell ref="B690:B693"/>
    <mergeCell ref="A694:A698"/>
    <mergeCell ref="B694:B698"/>
    <mergeCell ref="A699:A707"/>
    <mergeCell ref="B699:B707"/>
    <mergeCell ref="A680:A682"/>
    <mergeCell ref="B680:B682"/>
    <mergeCell ref="A684:A687"/>
    <mergeCell ref="B684:B687"/>
    <mergeCell ref="A688:A689"/>
    <mergeCell ref="B688:B689"/>
    <mergeCell ref="A668:A670"/>
    <mergeCell ref="B668:B670"/>
    <mergeCell ref="A672:A673"/>
    <mergeCell ref="B672:B673"/>
    <mergeCell ref="A675:A678"/>
    <mergeCell ref="B675:B678"/>
    <mergeCell ref="A657:A660"/>
    <mergeCell ref="B657:B660"/>
    <mergeCell ref="A661:A663"/>
    <mergeCell ref="B661:B663"/>
    <mergeCell ref="A664:A665"/>
    <mergeCell ref="B664:B665"/>
    <mergeCell ref="A642:A647"/>
    <mergeCell ref="B642:B647"/>
    <mergeCell ref="A648:A652"/>
    <mergeCell ref="B648:B652"/>
    <mergeCell ref="A653:A655"/>
    <mergeCell ref="B653:B655"/>
    <mergeCell ref="A630:A634"/>
    <mergeCell ref="B630:B634"/>
    <mergeCell ref="A635:A637"/>
    <mergeCell ref="B635:B637"/>
    <mergeCell ref="A638:A640"/>
    <mergeCell ref="B638:B640"/>
    <mergeCell ref="A618:A619"/>
    <mergeCell ref="B618:B619"/>
    <mergeCell ref="A620:A622"/>
    <mergeCell ref="B620:B622"/>
    <mergeCell ref="A623:A625"/>
    <mergeCell ref="B623:B625"/>
    <mergeCell ref="A605:A608"/>
    <mergeCell ref="B605:B608"/>
    <mergeCell ref="A609:A613"/>
    <mergeCell ref="B609:B613"/>
    <mergeCell ref="A616:A617"/>
    <mergeCell ref="B616:B617"/>
    <mergeCell ref="A594:A598"/>
    <mergeCell ref="B594:B598"/>
    <mergeCell ref="A599:A602"/>
    <mergeCell ref="B599:B602"/>
    <mergeCell ref="A603:A604"/>
    <mergeCell ref="B603:B604"/>
    <mergeCell ref="A581:A586"/>
    <mergeCell ref="B581:B586"/>
    <mergeCell ref="A587:A588"/>
    <mergeCell ref="B587:B588"/>
    <mergeCell ref="A589:A593"/>
    <mergeCell ref="B589:B593"/>
    <mergeCell ref="A572:A574"/>
    <mergeCell ref="B572:B574"/>
    <mergeCell ref="A575:A577"/>
    <mergeCell ref="B575:B577"/>
    <mergeCell ref="A579:A580"/>
    <mergeCell ref="B579:B580"/>
    <mergeCell ref="A561:A562"/>
    <mergeCell ref="B561:B562"/>
    <mergeCell ref="A564:A566"/>
    <mergeCell ref="B564:B566"/>
    <mergeCell ref="A569:A570"/>
    <mergeCell ref="B569:B570"/>
    <mergeCell ref="A538:A546"/>
    <mergeCell ref="B538:B546"/>
    <mergeCell ref="A552:A554"/>
    <mergeCell ref="B552:B554"/>
    <mergeCell ref="A555:A557"/>
    <mergeCell ref="B555:B557"/>
    <mergeCell ref="A523:A525"/>
    <mergeCell ref="B523:B525"/>
    <mergeCell ref="A526:A533"/>
    <mergeCell ref="B526:B533"/>
    <mergeCell ref="A534:A536"/>
    <mergeCell ref="B534:B536"/>
    <mergeCell ref="A516:A518"/>
    <mergeCell ref="B516:B518"/>
    <mergeCell ref="B519:B521"/>
    <mergeCell ref="A519:A521"/>
    <mergeCell ref="A499:A508"/>
    <mergeCell ref="B499:B508"/>
    <mergeCell ref="A509:A510"/>
    <mergeCell ref="B509:B510"/>
    <mergeCell ref="A514:A515"/>
    <mergeCell ref="B514:B515"/>
    <mergeCell ref="A477:A478"/>
    <mergeCell ref="B477:B478"/>
    <mergeCell ref="A479:A484"/>
    <mergeCell ref="B479:B484"/>
    <mergeCell ref="A485:A495"/>
    <mergeCell ref="B485:B495"/>
    <mergeCell ref="A467:A468"/>
    <mergeCell ref="B467:B468"/>
    <mergeCell ref="N467:O468"/>
    <mergeCell ref="A470:A476"/>
    <mergeCell ref="B470:B476"/>
    <mergeCell ref="A455:A457"/>
    <mergeCell ref="B455:B457"/>
    <mergeCell ref="A460:A461"/>
    <mergeCell ref="B460:B461"/>
    <mergeCell ref="A463:A464"/>
    <mergeCell ref="B463:B464"/>
    <mergeCell ref="A439:A440"/>
    <mergeCell ref="B439:B440"/>
    <mergeCell ref="A441:A447"/>
    <mergeCell ref="B441:B447"/>
    <mergeCell ref="A450:A452"/>
    <mergeCell ref="B450:B452"/>
    <mergeCell ref="A430:A432"/>
    <mergeCell ref="B430:B432"/>
    <mergeCell ref="A433:A436"/>
    <mergeCell ref="B433:B436"/>
    <mergeCell ref="A437:A438"/>
    <mergeCell ref="B437:B438"/>
    <mergeCell ref="A415:A422"/>
    <mergeCell ref="B415:B422"/>
    <mergeCell ref="A423:A427"/>
    <mergeCell ref="B423:B427"/>
    <mergeCell ref="A428:A429"/>
    <mergeCell ref="B428:B429"/>
    <mergeCell ref="A407:A409"/>
    <mergeCell ref="B407:B409"/>
    <mergeCell ref="A412:A413"/>
    <mergeCell ref="B412:B413"/>
    <mergeCell ref="N412:O413"/>
    <mergeCell ref="A391:A392"/>
    <mergeCell ref="B391:B392"/>
    <mergeCell ref="A395:A396"/>
    <mergeCell ref="B395:B396"/>
    <mergeCell ref="A402:A405"/>
    <mergeCell ref="B402:B405"/>
    <mergeCell ref="A372:A380"/>
    <mergeCell ref="B372:B380"/>
    <mergeCell ref="A381:A382"/>
    <mergeCell ref="B381:B382"/>
    <mergeCell ref="A386:A387"/>
    <mergeCell ref="B386:B387"/>
    <mergeCell ref="A362:A366"/>
    <mergeCell ref="B362:B366"/>
    <mergeCell ref="A367:A368"/>
    <mergeCell ref="B367:B368"/>
    <mergeCell ref="A369:A371"/>
    <mergeCell ref="B369:B371"/>
    <mergeCell ref="A347:A349"/>
    <mergeCell ref="B347:B349"/>
    <mergeCell ref="A350:A351"/>
    <mergeCell ref="B350:B351"/>
    <mergeCell ref="A353:A358"/>
    <mergeCell ref="B353:B358"/>
    <mergeCell ref="A338:A340"/>
    <mergeCell ref="B338:B340"/>
    <mergeCell ref="A341:A342"/>
    <mergeCell ref="B341:B342"/>
    <mergeCell ref="A344:A346"/>
    <mergeCell ref="B344:B346"/>
    <mergeCell ref="A328:A330"/>
    <mergeCell ref="B328:B330"/>
    <mergeCell ref="A332:A335"/>
    <mergeCell ref="B332:B335"/>
    <mergeCell ref="N332:O335"/>
    <mergeCell ref="A308:A310"/>
    <mergeCell ref="B308:B310"/>
    <mergeCell ref="A312:A315"/>
    <mergeCell ref="B312:B315"/>
    <mergeCell ref="A320:A327"/>
    <mergeCell ref="B320:B327"/>
    <mergeCell ref="A294:A296"/>
    <mergeCell ref="B294:B296"/>
    <mergeCell ref="A297:A302"/>
    <mergeCell ref="B297:B302"/>
    <mergeCell ref="A303:A306"/>
    <mergeCell ref="B303:B306"/>
    <mergeCell ref="A282:A284"/>
    <mergeCell ref="B282:B284"/>
    <mergeCell ref="A285:A288"/>
    <mergeCell ref="B285:B288"/>
    <mergeCell ref="A291:A293"/>
    <mergeCell ref="B291:B293"/>
    <mergeCell ref="A273:A276"/>
    <mergeCell ref="B273:B276"/>
    <mergeCell ref="A277:A281"/>
    <mergeCell ref="B277:B281"/>
    <mergeCell ref="A261:A264"/>
    <mergeCell ref="B261:B264"/>
    <mergeCell ref="A265:A268"/>
    <mergeCell ref="B265:B268"/>
    <mergeCell ref="A269:A272"/>
    <mergeCell ref="B269:B272"/>
    <mergeCell ref="A251:A253"/>
    <mergeCell ref="B251:B253"/>
    <mergeCell ref="A254:A255"/>
    <mergeCell ref="B254:B255"/>
    <mergeCell ref="A256:A258"/>
    <mergeCell ref="B256:B258"/>
    <mergeCell ref="A243:A245"/>
    <mergeCell ref="B243:B245"/>
    <mergeCell ref="A247:A249"/>
    <mergeCell ref="B247:B249"/>
    <mergeCell ref="A233:A234"/>
    <mergeCell ref="B233:B234"/>
    <mergeCell ref="A235:A238"/>
    <mergeCell ref="B235:B238"/>
    <mergeCell ref="A239:A241"/>
    <mergeCell ref="B239:B241"/>
    <mergeCell ref="A225:A227"/>
    <mergeCell ref="B225:B227"/>
    <mergeCell ref="A229:A230"/>
    <mergeCell ref="B229:B230"/>
    <mergeCell ref="A231:A232"/>
    <mergeCell ref="B231:B232"/>
    <mergeCell ref="A215:A217"/>
    <mergeCell ref="B215:B217"/>
    <mergeCell ref="A218:A220"/>
    <mergeCell ref="B218:B220"/>
    <mergeCell ref="A221:A222"/>
    <mergeCell ref="B221:B222"/>
    <mergeCell ref="A206:A209"/>
    <mergeCell ref="B206:B209"/>
    <mergeCell ref="A210:A213"/>
    <mergeCell ref="B210:B213"/>
    <mergeCell ref="A192:A195"/>
    <mergeCell ref="B192:B195"/>
    <mergeCell ref="A198:A201"/>
    <mergeCell ref="B198:B201"/>
    <mergeCell ref="A202:A204"/>
    <mergeCell ref="B202:B204"/>
    <mergeCell ref="A179:A181"/>
    <mergeCell ref="B179:B181"/>
    <mergeCell ref="A183:A184"/>
    <mergeCell ref="B183:B184"/>
    <mergeCell ref="A185:A188"/>
    <mergeCell ref="B185:B188"/>
    <mergeCell ref="A164:A167"/>
    <mergeCell ref="B164:B167"/>
    <mergeCell ref="A168:A171"/>
    <mergeCell ref="B168:B171"/>
    <mergeCell ref="A172:A174"/>
    <mergeCell ref="B172:B174"/>
    <mergeCell ref="A152:A153"/>
    <mergeCell ref="B152:B153"/>
    <mergeCell ref="A154:A158"/>
    <mergeCell ref="B154:B158"/>
    <mergeCell ref="A160:A163"/>
    <mergeCell ref="B160:B163"/>
    <mergeCell ref="A141:A144"/>
    <mergeCell ref="B141:B144"/>
    <mergeCell ref="A145:A147"/>
    <mergeCell ref="B145:B147"/>
    <mergeCell ref="A148:A150"/>
    <mergeCell ref="B148:B150"/>
    <mergeCell ref="A57:A59"/>
    <mergeCell ref="B57:B59"/>
    <mergeCell ref="A120:A123"/>
    <mergeCell ref="B120:B123"/>
    <mergeCell ref="A110:A113"/>
    <mergeCell ref="B110:B113"/>
    <mergeCell ref="A117:A118"/>
    <mergeCell ref="B117:B118"/>
    <mergeCell ref="N117:O118"/>
    <mergeCell ref="A98:A101"/>
    <mergeCell ref="B98:B101"/>
    <mergeCell ref="A102:A106"/>
    <mergeCell ref="B102:B106"/>
    <mergeCell ref="A107:A109"/>
    <mergeCell ref="B107:B109"/>
    <mergeCell ref="A86:A95"/>
    <mergeCell ref="B86:B95"/>
    <mergeCell ref="J96:J97"/>
    <mergeCell ref="N96:N97"/>
    <mergeCell ref="K96:K97"/>
    <mergeCell ref="L96:L97"/>
    <mergeCell ref="M96:M97"/>
    <mergeCell ref="O96:O97"/>
    <mergeCell ref="J98:J101"/>
    <mergeCell ref="A12:A13"/>
    <mergeCell ref="B12:B13"/>
    <mergeCell ref="A14:A22"/>
    <mergeCell ref="B14:B22"/>
    <mergeCell ref="A23:A24"/>
    <mergeCell ref="B23:B24"/>
    <mergeCell ref="A25:A27"/>
    <mergeCell ref="B25:B27"/>
    <mergeCell ref="A29:A34"/>
    <mergeCell ref="B29:B34"/>
    <mergeCell ref="N627:O627"/>
    <mergeCell ref="J628:O628"/>
    <mergeCell ref="J641:O641"/>
    <mergeCell ref="J656:O656"/>
    <mergeCell ref="J679:O679"/>
    <mergeCell ref="J469:O469"/>
    <mergeCell ref="J498:O498"/>
    <mergeCell ref="N567:O567"/>
    <mergeCell ref="J568:O568"/>
    <mergeCell ref="J626:O626"/>
    <mergeCell ref="J869:O869"/>
    <mergeCell ref="J893:O893"/>
    <mergeCell ref="J913:O913"/>
    <mergeCell ref="J926:O926"/>
    <mergeCell ref="J683:O683"/>
    <mergeCell ref="J733:O733"/>
    <mergeCell ref="J753:O753"/>
    <mergeCell ref="J817:O817"/>
    <mergeCell ref="J821:O821"/>
    <mergeCell ref="J336:O336"/>
    <mergeCell ref="J343:O343"/>
    <mergeCell ref="J383:O383"/>
    <mergeCell ref="N384:O384"/>
    <mergeCell ref="A36:A38"/>
    <mergeCell ref="B36:B38"/>
    <mergeCell ref="A39:A44"/>
    <mergeCell ref="B39:B44"/>
    <mergeCell ref="A48:A51"/>
    <mergeCell ref="A83:A84"/>
    <mergeCell ref="B83:B84"/>
    <mergeCell ref="A96:A97"/>
    <mergeCell ref="B96:B97"/>
    <mergeCell ref="B48:B51"/>
    <mergeCell ref="A64:A66"/>
    <mergeCell ref="B64:B66"/>
    <mergeCell ref="A67:A81"/>
    <mergeCell ref="B67:B81"/>
    <mergeCell ref="A124:A125"/>
    <mergeCell ref="B124:B125"/>
    <mergeCell ref="A126:A127"/>
    <mergeCell ref="B126:B127"/>
    <mergeCell ref="A137:A139"/>
    <mergeCell ref="B137:B139"/>
    <mergeCell ref="J9:O9"/>
    <mergeCell ref="J11:O11"/>
    <mergeCell ref="J28:O28"/>
    <mergeCell ref="J260:O260"/>
    <mergeCell ref="N289:O289"/>
    <mergeCell ref="J290:O290"/>
    <mergeCell ref="J319:O319"/>
    <mergeCell ref="J331:O331"/>
    <mergeCell ref="J177:O177"/>
    <mergeCell ref="J182:O182"/>
    <mergeCell ref="J189:O189"/>
    <mergeCell ref="J191:O191"/>
    <mergeCell ref="J250:O250"/>
    <mergeCell ref="N57:O59"/>
    <mergeCell ref="J14:J15"/>
    <mergeCell ref="K14:K15"/>
    <mergeCell ref="L14:L15"/>
    <mergeCell ref="M14:M15"/>
    <mergeCell ref="N14:N15"/>
    <mergeCell ref="O14:O15"/>
    <mergeCell ref="J25:J27"/>
    <mergeCell ref="K25:K27"/>
    <mergeCell ref="L25:L27"/>
    <mergeCell ref="M25:M27"/>
    <mergeCell ref="A973:A974"/>
    <mergeCell ref="B973:B974"/>
    <mergeCell ref="E973:E974"/>
    <mergeCell ref="C973:D973"/>
    <mergeCell ref="F973:G973"/>
    <mergeCell ref="J47:O47"/>
    <mergeCell ref="J53:O53"/>
    <mergeCell ref="J56:O56"/>
    <mergeCell ref="J60:O60"/>
    <mergeCell ref="J85:O85"/>
    <mergeCell ref="J119:O119"/>
    <mergeCell ref="J129:O129"/>
    <mergeCell ref="J132:O132"/>
    <mergeCell ref="J134:O134"/>
    <mergeCell ref="J151:O151"/>
    <mergeCell ref="J159:O159"/>
    <mergeCell ref="J414:O414"/>
    <mergeCell ref="J449:O449"/>
    <mergeCell ref="J462:O462"/>
    <mergeCell ref="J466:O466"/>
    <mergeCell ref="J385:O385"/>
    <mergeCell ref="J390:O390"/>
    <mergeCell ref="J399:O399"/>
    <mergeCell ref="J411:O411"/>
    <mergeCell ref="A4:O4"/>
    <mergeCell ref="A6:A8"/>
    <mergeCell ref="B6:B8"/>
    <mergeCell ref="C6:C8"/>
    <mergeCell ref="D7:D8"/>
    <mergeCell ref="E7:E8"/>
    <mergeCell ref="F6:F8"/>
    <mergeCell ref="G7:G8"/>
    <mergeCell ref="H7:H8"/>
    <mergeCell ref="J7:J8"/>
    <mergeCell ref="K7:K8"/>
    <mergeCell ref="N7:N8"/>
    <mergeCell ref="O7:O8"/>
    <mergeCell ref="D6:E6"/>
    <mergeCell ref="G6:H6"/>
    <mergeCell ref="J6:O6"/>
    <mergeCell ref="I6:I8"/>
    <mergeCell ref="L7:M7"/>
    <mergeCell ref="N25:N27"/>
    <mergeCell ref="O25:O27"/>
    <mergeCell ref="J29:J30"/>
    <mergeCell ref="K29:K30"/>
    <mergeCell ref="L29:L30"/>
    <mergeCell ref="M29:M30"/>
    <mergeCell ref="N29:N30"/>
    <mergeCell ref="O29:O30"/>
    <mergeCell ref="J48:J49"/>
    <mergeCell ref="K48:K49"/>
    <mergeCell ref="L48:L49"/>
    <mergeCell ref="M48:M49"/>
    <mergeCell ref="N48:N49"/>
    <mergeCell ref="O48:O49"/>
    <mergeCell ref="K98:K101"/>
    <mergeCell ref="L98:L101"/>
    <mergeCell ref="M98:M101"/>
    <mergeCell ref="N98:N101"/>
    <mergeCell ref="O98:O101"/>
    <mergeCell ref="J102:J106"/>
    <mergeCell ref="K102:K106"/>
    <mergeCell ref="L102:L106"/>
    <mergeCell ref="M102:M106"/>
    <mergeCell ref="N102:N106"/>
    <mergeCell ref="O102:O106"/>
    <mergeCell ref="J120:J123"/>
    <mergeCell ref="K120:K123"/>
    <mergeCell ref="L120:L123"/>
    <mergeCell ref="M120:M123"/>
    <mergeCell ref="N120:N123"/>
    <mergeCell ref="O120:O123"/>
    <mergeCell ref="J107:J109"/>
    <mergeCell ref="K107:K109"/>
    <mergeCell ref="L107:L109"/>
    <mergeCell ref="M107:M109"/>
    <mergeCell ref="N107:N109"/>
    <mergeCell ref="O107:O109"/>
    <mergeCell ref="J110:J113"/>
    <mergeCell ref="K110:K113"/>
    <mergeCell ref="L110:L113"/>
    <mergeCell ref="M110:M113"/>
    <mergeCell ref="N110:N113"/>
    <mergeCell ref="O110:O113"/>
  </mergeCells>
  <pageMargins left="0.4" right="0.4" top="0.4" bottom="0.4" header="0.4" footer="0.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Planas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Kečedži</dc:creator>
  <cp:lastModifiedBy>Rasa Macienė</cp:lastModifiedBy>
  <cp:lastPrinted>2024-02-05T14:26:49Z</cp:lastPrinted>
  <dcterms:created xsi:type="dcterms:W3CDTF">2024-02-05T07:42:27Z</dcterms:created>
  <dcterms:modified xsi:type="dcterms:W3CDTF">2024-04-16T11:46:15Z</dcterms:modified>
</cp:coreProperties>
</file>