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6.xml" ContentType="application/vnd.openxmlformats-officedocument.themeOverrid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7.xml" ContentType="application/vnd.openxmlformats-officedocument.themeOverrid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8.xml" ContentType="application/vnd.openxmlformats-officedocument.themeOverrid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9.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kristina.kecedzi\Desktop\Rasos vadavimas\į svetainę\"/>
    </mc:Choice>
  </mc:AlternateContent>
  <xr:revisionPtr revIDLastSave="0" documentId="8_{9964FF9F-C72A-464E-B97A-9BCA286331CD}" xr6:coauthVersionLast="47" xr6:coauthVersionMax="47" xr10:uidLastSave="{00000000-0000-0000-0000-000000000000}"/>
  <bookViews>
    <workbookView xWindow="-120" yWindow="-120" windowWidth="29040" windowHeight="17520" xr2:uid="{00000000-000D-0000-FFFF-FFFF00000000}"/>
  </bookViews>
  <sheets>
    <sheet name="Priedas Nr."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934" i="2" l="1"/>
  <c r="S736" i="2"/>
  <c r="S669" i="2"/>
  <c r="S550" i="2"/>
  <c r="S469" i="2"/>
  <c r="S274" i="2"/>
  <c r="S224" i="2"/>
  <c r="S175" i="2"/>
  <c r="S15" i="2"/>
  <c r="I983" i="2" l="1"/>
  <c r="I984" i="2"/>
  <c r="I986" i="2"/>
  <c r="I987" i="2"/>
  <c r="I976" i="2"/>
  <c r="I978" i="2"/>
  <c r="I979" i="2"/>
  <c r="I980" i="2"/>
  <c r="I981" i="2"/>
  <c r="I975" i="2"/>
  <c r="I972" i="2"/>
  <c r="I973" i="2"/>
  <c r="I968" i="2"/>
  <c r="I969" i="2"/>
  <c r="I970" i="2"/>
  <c r="I957" i="2"/>
  <c r="I958" i="2"/>
  <c r="I959" i="2"/>
  <c r="I961" i="2"/>
  <c r="I962" i="2"/>
  <c r="I952" i="2"/>
  <c r="I951" i="2"/>
  <c r="I933" i="2"/>
  <c r="I934" i="2"/>
  <c r="I935" i="2"/>
  <c r="I936" i="2"/>
  <c r="I937" i="2"/>
  <c r="I938" i="2"/>
  <c r="I940" i="2"/>
  <c r="I941" i="2"/>
  <c r="I923" i="2"/>
  <c r="I924" i="2"/>
  <c r="I926" i="2"/>
  <c r="I927" i="2"/>
  <c r="I906" i="2"/>
  <c r="I907" i="2"/>
  <c r="I908" i="2"/>
  <c r="I909" i="2"/>
  <c r="I910" i="2"/>
  <c r="I911" i="2"/>
  <c r="I912" i="2"/>
  <c r="I913" i="2"/>
  <c r="I915" i="2"/>
  <c r="I916" i="2"/>
  <c r="I917" i="2"/>
  <c r="I918" i="2"/>
  <c r="I919" i="2"/>
  <c r="I896" i="2"/>
  <c r="I897" i="2"/>
  <c r="I898" i="2"/>
  <c r="I902" i="2"/>
  <c r="I904" i="2"/>
  <c r="I905" i="2"/>
  <c r="I881" i="2"/>
  <c r="I882" i="2"/>
  <c r="I884" i="2"/>
  <c r="I885" i="2"/>
  <c r="I886" i="2"/>
  <c r="I888" i="2"/>
  <c r="I889" i="2"/>
  <c r="I891" i="2"/>
  <c r="I892" i="2"/>
  <c r="I893" i="2"/>
  <c r="I894" i="2"/>
  <c r="I895" i="2"/>
  <c r="I867" i="2"/>
  <c r="I868" i="2"/>
  <c r="I869" i="2"/>
  <c r="I870" i="2"/>
  <c r="I871" i="2"/>
  <c r="I872" i="2"/>
  <c r="I873" i="2"/>
  <c r="I874" i="2"/>
  <c r="I876" i="2"/>
  <c r="I878" i="2"/>
  <c r="I856" i="2"/>
  <c r="I857" i="2"/>
  <c r="I858" i="2"/>
  <c r="I859" i="2"/>
  <c r="I855" i="2"/>
  <c r="I846" i="2"/>
  <c r="I847" i="2"/>
  <c r="I848" i="2"/>
  <c r="I849" i="2"/>
  <c r="I838" i="2"/>
  <c r="I840" i="2"/>
  <c r="I841" i="2"/>
  <c r="I843" i="2"/>
  <c r="I844" i="2"/>
  <c r="I829" i="2"/>
  <c r="I830" i="2"/>
  <c r="I833" i="2"/>
  <c r="I834" i="2"/>
  <c r="I835" i="2"/>
  <c r="I837" i="2"/>
  <c r="I824" i="2"/>
  <c r="I825" i="2"/>
  <c r="I827" i="2"/>
  <c r="I828" i="2"/>
  <c r="I820" i="2"/>
  <c r="I821" i="2"/>
  <c r="I822" i="2"/>
  <c r="I818" i="2"/>
  <c r="I804" i="2"/>
  <c r="I806" i="2"/>
  <c r="I807" i="2"/>
  <c r="I809" i="2"/>
  <c r="I810" i="2"/>
  <c r="I812" i="2"/>
  <c r="I813" i="2"/>
  <c r="I815" i="2"/>
  <c r="I816" i="2"/>
  <c r="I817" i="2"/>
  <c r="I801" i="2"/>
  <c r="I803" i="2"/>
  <c r="I798" i="2"/>
  <c r="I799" i="2"/>
  <c r="I795" i="2"/>
  <c r="I796" i="2"/>
  <c r="I788" i="2"/>
  <c r="I789" i="2"/>
  <c r="I773" i="2"/>
  <c r="I774" i="2"/>
  <c r="I775" i="2"/>
  <c r="I777" i="2"/>
  <c r="I778" i="2"/>
  <c r="I779" i="2"/>
  <c r="I780" i="2"/>
  <c r="I771" i="2"/>
  <c r="I770" i="2"/>
  <c r="I769" i="2"/>
  <c r="I741" i="2"/>
  <c r="I735" i="2"/>
  <c r="I736" i="2"/>
  <c r="I720" i="2"/>
  <c r="I724" i="2"/>
  <c r="I725" i="2"/>
  <c r="I727" i="2"/>
  <c r="I728" i="2"/>
  <c r="I729" i="2"/>
  <c r="I712" i="2"/>
  <c r="I713" i="2"/>
  <c r="I714" i="2"/>
  <c r="I715" i="2"/>
  <c r="I716" i="2"/>
  <c r="I707" i="2"/>
  <c r="I689" i="2"/>
  <c r="I690" i="2"/>
  <c r="I697" i="2"/>
  <c r="I698" i="2"/>
  <c r="I700" i="2"/>
  <c r="I701" i="2"/>
  <c r="I706" i="2"/>
  <c r="I680" i="2"/>
  <c r="I681" i="2"/>
  <c r="I667" i="2"/>
  <c r="I668" i="2"/>
  <c r="I669" i="2"/>
  <c r="I670" i="2"/>
  <c r="I671" i="2"/>
  <c r="I674" i="2"/>
  <c r="I675" i="2"/>
  <c r="I677" i="2"/>
  <c r="I678" i="2"/>
  <c r="I662" i="2"/>
  <c r="I645" i="2"/>
  <c r="I646" i="2"/>
  <c r="I647" i="2"/>
  <c r="I648" i="2"/>
  <c r="I649" i="2"/>
  <c r="I650" i="2"/>
  <c r="I651" i="2"/>
  <c r="I653" i="2"/>
  <c r="I654" i="2"/>
  <c r="I655" i="2"/>
  <c r="I656" i="2"/>
  <c r="I659" i="2"/>
  <c r="I660" i="2"/>
  <c r="I661" i="2"/>
  <c r="I637" i="2"/>
  <c r="I639" i="2"/>
  <c r="I640" i="2"/>
  <c r="I641" i="2"/>
  <c r="I642" i="2"/>
  <c r="I643" i="2"/>
  <c r="I644" i="2"/>
  <c r="I635" i="2"/>
  <c r="I620" i="2"/>
  <c r="I621" i="2"/>
  <c r="I623" i="2"/>
  <c r="I625" i="2"/>
  <c r="I627" i="2"/>
  <c r="I629" i="2"/>
  <c r="I631" i="2"/>
  <c r="I632" i="2"/>
  <c r="I634" i="2"/>
  <c r="I611" i="2"/>
  <c r="I612" i="2"/>
  <c r="I613" i="2"/>
  <c r="I614" i="2"/>
  <c r="I615" i="2"/>
  <c r="I606" i="2"/>
  <c r="I607" i="2"/>
  <c r="I599" i="2"/>
  <c r="I600" i="2"/>
  <c r="I601" i="2"/>
  <c r="I596" i="2"/>
  <c r="I597" i="2"/>
  <c r="I594" i="2"/>
  <c r="I585" i="2"/>
  <c r="I576" i="2"/>
  <c r="I575" i="2"/>
  <c r="I574" i="2"/>
  <c r="I573" i="2"/>
  <c r="I570" i="2"/>
  <c r="I571" i="2"/>
  <c r="I567" i="2"/>
  <c r="I566" i="2"/>
  <c r="I562" i="2"/>
  <c r="I561" i="2"/>
  <c r="I560" i="2"/>
  <c r="I557" i="2"/>
  <c r="I558" i="2"/>
  <c r="I556" i="2"/>
  <c r="I554" i="2"/>
  <c r="I550" i="2"/>
  <c r="I551" i="2"/>
  <c r="I552" i="2"/>
  <c r="I553" i="2"/>
  <c r="I548" i="2" l="1"/>
  <c r="I549" i="2"/>
  <c r="I547" i="2"/>
  <c r="I539" i="2"/>
  <c r="I533" i="2"/>
  <c r="I534" i="2"/>
  <c r="I531" i="2"/>
  <c r="I532" i="2"/>
  <c r="I512" i="2"/>
  <c r="I513" i="2"/>
  <c r="I514" i="2"/>
  <c r="I515" i="2"/>
  <c r="I517" i="2"/>
  <c r="I518" i="2"/>
  <c r="I519" i="2"/>
  <c r="I511" i="2"/>
  <c r="I507" i="2"/>
  <c r="I488" i="2"/>
  <c r="I489" i="2"/>
  <c r="I479" i="2"/>
  <c r="I481" i="2"/>
  <c r="I482" i="2"/>
  <c r="I484" i="2"/>
  <c r="I486" i="2"/>
  <c r="I476" i="2"/>
  <c r="I477" i="2"/>
  <c r="I468" i="2"/>
  <c r="I469" i="2"/>
  <c r="I475" i="2"/>
  <c r="I461" i="2" l="1"/>
  <c r="I462" i="2"/>
  <c r="I454" i="2"/>
  <c r="I455" i="2"/>
  <c r="I456" i="2"/>
  <c r="I458" i="2"/>
  <c r="I459" i="2"/>
  <c r="I450" i="2"/>
  <c r="I448" i="2"/>
  <c r="I451" i="2"/>
  <c r="I452" i="2"/>
  <c r="I442" i="2"/>
  <c r="I444" i="2"/>
  <c r="I445" i="2"/>
  <c r="I446" i="2"/>
  <c r="I447" i="2"/>
  <c r="I429" i="2"/>
  <c r="I431" i="2"/>
  <c r="I433" i="2"/>
  <c r="I434" i="2"/>
  <c r="I436" i="2"/>
  <c r="I437" i="2"/>
  <c r="I422" i="2"/>
  <c r="I423" i="2"/>
  <c r="I425" i="2"/>
  <c r="I426" i="2"/>
  <c r="I427" i="2"/>
  <c r="I428" i="2"/>
  <c r="I412" i="2"/>
  <c r="I414" i="2"/>
  <c r="I415" i="2"/>
  <c r="I417" i="2"/>
  <c r="I419" i="2"/>
  <c r="I420" i="2"/>
  <c r="I411" i="2"/>
  <c r="I406" i="2"/>
  <c r="I405" i="2"/>
  <c r="I391" i="2"/>
  <c r="I392" i="2"/>
  <c r="I396" i="2"/>
  <c r="I398" i="2"/>
  <c r="I399" i="2"/>
  <c r="I403" i="2"/>
  <c r="I382" i="2"/>
  <c r="I383" i="2"/>
  <c r="I385" i="2"/>
  <c r="I386" i="2"/>
  <c r="I388" i="2"/>
  <c r="I389" i="2"/>
  <c r="I390" i="2"/>
  <c r="I366" i="2"/>
  <c r="I367" i="2"/>
  <c r="I368" i="2"/>
  <c r="I370" i="2"/>
  <c r="I371" i="2"/>
  <c r="I372" i="2"/>
  <c r="I375" i="2"/>
  <c r="I376" i="2"/>
  <c r="I378" i="2"/>
  <c r="I379" i="2"/>
  <c r="I355" i="2"/>
  <c r="I357" i="2"/>
  <c r="I358" i="2"/>
  <c r="I359" i="2"/>
  <c r="I361" i="2"/>
  <c r="I362" i="2"/>
  <c r="I363" i="2"/>
  <c r="I346" i="2"/>
  <c r="I347" i="2"/>
  <c r="I349" i="2"/>
  <c r="I351" i="2"/>
  <c r="I352" i="2"/>
  <c r="I353" i="2"/>
  <c r="I354" i="2"/>
  <c r="I337" i="2"/>
  <c r="I338" i="2"/>
  <c r="I340" i="2"/>
  <c r="I341" i="2"/>
  <c r="I343" i="2"/>
  <c r="I344" i="2"/>
  <c r="I322" i="2"/>
  <c r="I323" i="2"/>
  <c r="I324" i="2"/>
  <c r="I325" i="2"/>
  <c r="I326" i="2"/>
  <c r="I318" i="2"/>
  <c r="I319" i="2"/>
  <c r="I312" i="2"/>
  <c r="I313" i="2"/>
  <c r="I315" i="2"/>
  <c r="I316" i="2"/>
  <c r="I304" i="2"/>
  <c r="I305" i="2"/>
  <c r="I300" i="2"/>
  <c r="I301" i="2"/>
  <c r="I302" i="2"/>
  <c r="I271" i="2"/>
  <c r="I272" i="2"/>
  <c r="I261" i="2"/>
  <c r="I262" i="2"/>
  <c r="I264" i="2"/>
  <c r="I265" i="2"/>
  <c r="I250" i="2"/>
  <c r="I252" i="2"/>
  <c r="I253" i="2"/>
  <c r="I255" i="2"/>
  <c r="I256" i="2"/>
  <c r="I257" i="2"/>
  <c r="I242" i="2"/>
  <c r="I233" i="2"/>
  <c r="I234" i="2"/>
  <c r="I236" i="2"/>
  <c r="I237" i="2"/>
  <c r="I239" i="2"/>
  <c r="I240" i="2"/>
  <c r="I224" i="2"/>
  <c r="I225" i="2"/>
  <c r="I226" i="2"/>
  <c r="I216" i="2"/>
  <c r="I217" i="2"/>
  <c r="I214" i="2"/>
  <c r="I208" i="2"/>
  <c r="I209" i="2"/>
  <c r="I211" i="2"/>
  <c r="I212" i="2"/>
  <c r="I201" i="2"/>
  <c r="I202" i="2"/>
  <c r="I204" i="2"/>
  <c r="I205" i="2"/>
  <c r="I206" i="2"/>
  <c r="I195" i="2"/>
  <c r="I196" i="2"/>
  <c r="I197" i="2"/>
  <c r="I198" i="2"/>
  <c r="I193" i="2"/>
  <c r="I194" i="2"/>
  <c r="I186" i="2"/>
  <c r="I187" i="2"/>
  <c r="I178" i="2"/>
  <c r="I179" i="2"/>
  <c r="I180" i="2"/>
  <c r="I181" i="2"/>
  <c r="I182" i="2"/>
  <c r="I183" i="2"/>
  <c r="I165" i="2"/>
  <c r="I167" i="2"/>
  <c r="I168" i="2"/>
  <c r="I162" i="2"/>
  <c r="I159" i="2"/>
  <c r="I160" i="2"/>
  <c r="I161" i="2"/>
  <c r="I153" i="2"/>
  <c r="I154" i="2"/>
  <c r="I156" i="2"/>
  <c r="I157" i="2"/>
  <c r="I151" i="2"/>
  <c r="I143" i="2"/>
  <c r="I144" i="2"/>
  <c r="I145" i="2"/>
  <c r="I146" i="2"/>
  <c r="I147" i="2"/>
  <c r="I148" i="2"/>
  <c r="I150" i="2"/>
  <c r="I138" i="2"/>
  <c r="I140" i="2"/>
  <c r="I141" i="2"/>
  <c r="I142" i="2"/>
  <c r="I132" i="2"/>
  <c r="I133" i="2"/>
  <c r="I134" i="2"/>
  <c r="I135" i="2"/>
  <c r="I122" i="2"/>
  <c r="I123" i="2"/>
  <c r="I125" i="2"/>
  <c r="I126" i="2"/>
  <c r="I128" i="2"/>
  <c r="I129" i="2"/>
  <c r="I107" i="2"/>
  <c r="I108" i="2"/>
  <c r="I110" i="2"/>
  <c r="I111" i="2"/>
  <c r="I112" i="2"/>
  <c r="I113" i="2"/>
  <c r="I114" i="2"/>
  <c r="I115" i="2"/>
  <c r="I116" i="2"/>
  <c r="I117" i="2"/>
  <c r="I118" i="2"/>
  <c r="I119" i="2"/>
  <c r="I120" i="2"/>
  <c r="I121" i="2"/>
  <c r="I102" i="2"/>
  <c r="I103" i="2"/>
  <c r="I104" i="2"/>
  <c r="I96" i="2"/>
  <c r="I97" i="2"/>
  <c r="I98" i="2"/>
  <c r="I93" i="2"/>
  <c r="I88" i="2"/>
  <c r="I89" i="2"/>
  <c r="I90" i="2"/>
  <c r="I91" i="2"/>
  <c r="I92" i="2"/>
  <c r="I72" i="2"/>
  <c r="I73" i="2"/>
  <c r="I74" i="2"/>
  <c r="I75" i="2"/>
  <c r="I76" i="2"/>
  <c r="I77" i="2"/>
  <c r="I79" i="2"/>
  <c r="I80" i="2"/>
  <c r="I81" i="2"/>
  <c r="I82" i="2"/>
  <c r="I61" i="2"/>
  <c r="I60" i="2"/>
  <c r="I56" i="2"/>
  <c r="I57" i="2"/>
  <c r="I58" i="2"/>
  <c r="I49" i="2"/>
  <c r="I50" i="2"/>
  <c r="I51" i="2"/>
  <c r="I44" i="2"/>
  <c r="I46" i="2"/>
  <c r="I47" i="2"/>
  <c r="I29" i="2"/>
  <c r="I28" i="2"/>
  <c r="I41" i="2"/>
  <c r="I40" i="2"/>
  <c r="I22" i="2"/>
  <c r="I23" i="2"/>
  <c r="I21" i="2"/>
  <c r="I14" i="2"/>
  <c r="I12" i="2"/>
  <c r="I13" i="2"/>
  <c r="D11" i="2" l="1"/>
  <c r="E11" i="2"/>
  <c r="F11" i="2"/>
  <c r="G11" i="2"/>
  <c r="H11" i="2"/>
  <c r="D20" i="2"/>
  <c r="E20" i="2"/>
  <c r="F20" i="2"/>
  <c r="G20" i="2"/>
  <c r="H20" i="2"/>
  <c r="D24" i="2"/>
  <c r="E24" i="2"/>
  <c r="F24" i="2"/>
  <c r="G24" i="2"/>
  <c r="H24" i="2"/>
  <c r="D27" i="2"/>
  <c r="E27" i="2"/>
  <c r="F27" i="2"/>
  <c r="I27" i="2" s="1"/>
  <c r="G27" i="2"/>
  <c r="H27" i="2"/>
  <c r="D30" i="2"/>
  <c r="E30" i="2"/>
  <c r="F30" i="2"/>
  <c r="D38" i="2"/>
  <c r="E38" i="2"/>
  <c r="I38" i="2" s="1"/>
  <c r="G38" i="2"/>
  <c r="H38" i="2"/>
  <c r="D45" i="2"/>
  <c r="D43" i="2" s="1"/>
  <c r="E45" i="2"/>
  <c r="E43" i="2" s="1"/>
  <c r="F45" i="2"/>
  <c r="G45" i="2"/>
  <c r="G43" i="2" s="1"/>
  <c r="H45" i="2"/>
  <c r="H43" i="2" s="1"/>
  <c r="D48" i="2"/>
  <c r="E48" i="2"/>
  <c r="F48" i="2"/>
  <c r="D55" i="2"/>
  <c r="D52" i="2" s="1"/>
  <c r="E55" i="2"/>
  <c r="E52" i="2" s="1"/>
  <c r="F55" i="2"/>
  <c r="G55" i="2"/>
  <c r="G52" i="2" s="1"/>
  <c r="H55" i="2"/>
  <c r="H52" i="2" s="1"/>
  <c r="D59" i="2"/>
  <c r="E59" i="2"/>
  <c r="F59" i="2"/>
  <c r="D62" i="2"/>
  <c r="E62" i="2"/>
  <c r="I62" i="2" s="1"/>
  <c r="G62" i="2"/>
  <c r="H62" i="2"/>
  <c r="D71" i="2"/>
  <c r="E71" i="2"/>
  <c r="F71" i="2"/>
  <c r="G71" i="2"/>
  <c r="H71" i="2"/>
  <c r="D78" i="2"/>
  <c r="E78" i="2"/>
  <c r="F78" i="2"/>
  <c r="G78" i="2"/>
  <c r="H78" i="2"/>
  <c r="D83" i="2"/>
  <c r="E83" i="2"/>
  <c r="F83" i="2"/>
  <c r="G83" i="2"/>
  <c r="H83" i="2"/>
  <c r="D87" i="2"/>
  <c r="E87" i="2"/>
  <c r="F87" i="2"/>
  <c r="G87" i="2"/>
  <c r="H87" i="2"/>
  <c r="D94" i="2"/>
  <c r="E94" i="2"/>
  <c r="F94" i="2"/>
  <c r="G94" i="2"/>
  <c r="H94" i="2"/>
  <c r="D99" i="2"/>
  <c r="E99" i="2"/>
  <c r="F99" i="2"/>
  <c r="G99" i="2"/>
  <c r="H99" i="2"/>
  <c r="D101" i="2"/>
  <c r="E101" i="2"/>
  <c r="F101" i="2"/>
  <c r="G101" i="2"/>
  <c r="H101" i="2"/>
  <c r="D124" i="2"/>
  <c r="E124" i="2"/>
  <c r="F124" i="2"/>
  <c r="G124" i="2"/>
  <c r="H124" i="2"/>
  <c r="D127" i="2"/>
  <c r="E127" i="2"/>
  <c r="F127" i="2"/>
  <c r="G127" i="2"/>
  <c r="H127" i="2"/>
  <c r="D130" i="2"/>
  <c r="E130" i="2"/>
  <c r="F130" i="2"/>
  <c r="D137" i="2"/>
  <c r="E137" i="2"/>
  <c r="F137" i="2"/>
  <c r="G137" i="2"/>
  <c r="H137" i="2"/>
  <c r="D139" i="2"/>
  <c r="E139" i="2"/>
  <c r="F139" i="2"/>
  <c r="G139" i="2"/>
  <c r="H139" i="2"/>
  <c r="D149" i="2"/>
  <c r="E149" i="2"/>
  <c r="F149" i="2"/>
  <c r="G149" i="2"/>
  <c r="H149" i="2"/>
  <c r="D155" i="2"/>
  <c r="E155" i="2"/>
  <c r="F155" i="2"/>
  <c r="G155" i="2"/>
  <c r="H155" i="2"/>
  <c r="D158" i="2"/>
  <c r="E158" i="2"/>
  <c r="F158" i="2"/>
  <c r="G158" i="2"/>
  <c r="H158" i="2"/>
  <c r="D163" i="2"/>
  <c r="E163" i="2"/>
  <c r="F163" i="2"/>
  <c r="I163" i="2" s="1"/>
  <c r="G163" i="2"/>
  <c r="H163" i="2"/>
  <c r="D166" i="2"/>
  <c r="E166" i="2"/>
  <c r="F166" i="2"/>
  <c r="G166" i="2"/>
  <c r="H166" i="2"/>
  <c r="D177" i="2"/>
  <c r="E177" i="2"/>
  <c r="F177" i="2"/>
  <c r="G177" i="2"/>
  <c r="H177" i="2"/>
  <c r="D188" i="2"/>
  <c r="E188" i="2"/>
  <c r="F188" i="2"/>
  <c r="D192" i="2"/>
  <c r="E192" i="2"/>
  <c r="F192" i="2"/>
  <c r="I192" i="2" s="1"/>
  <c r="G192" i="2"/>
  <c r="H192" i="2"/>
  <c r="D200" i="2"/>
  <c r="E200" i="2"/>
  <c r="F200" i="2"/>
  <c r="G200" i="2"/>
  <c r="H200" i="2"/>
  <c r="D203" i="2"/>
  <c r="E203" i="2"/>
  <c r="F203" i="2"/>
  <c r="G203" i="2"/>
  <c r="H203" i="2"/>
  <c r="D207" i="2"/>
  <c r="E207" i="2"/>
  <c r="F207" i="2"/>
  <c r="D213" i="2"/>
  <c r="D210" i="2" s="1"/>
  <c r="E213" i="2"/>
  <c r="E210" i="2" s="1"/>
  <c r="F213" i="2"/>
  <c r="G213" i="2"/>
  <c r="G210" i="2" s="1"/>
  <c r="H213" i="2"/>
  <c r="H210" i="2" s="1"/>
  <c r="D215" i="2"/>
  <c r="E215" i="2"/>
  <c r="F215" i="2"/>
  <c r="G215" i="2"/>
  <c r="H215" i="2"/>
  <c r="D223" i="2"/>
  <c r="E223" i="2"/>
  <c r="F223" i="2"/>
  <c r="D227" i="2"/>
  <c r="E227" i="2"/>
  <c r="F227" i="2"/>
  <c r="G227" i="2"/>
  <c r="H227" i="2"/>
  <c r="D232" i="2"/>
  <c r="E232" i="2"/>
  <c r="F232" i="2"/>
  <c r="G232" i="2"/>
  <c r="H232" i="2"/>
  <c r="D235" i="2"/>
  <c r="E235" i="2"/>
  <c r="F235" i="2"/>
  <c r="G235" i="2"/>
  <c r="H235" i="2"/>
  <c r="D238" i="2"/>
  <c r="E238" i="2"/>
  <c r="F238" i="2"/>
  <c r="G238" i="2"/>
  <c r="H238" i="2"/>
  <c r="D243" i="2"/>
  <c r="E243" i="2"/>
  <c r="F243" i="2"/>
  <c r="G243" i="2"/>
  <c r="H243" i="2"/>
  <c r="D245" i="2"/>
  <c r="E245" i="2"/>
  <c r="F245" i="2"/>
  <c r="I245" i="2" s="1"/>
  <c r="G245" i="2"/>
  <c r="H245" i="2"/>
  <c r="D249" i="2"/>
  <c r="E249" i="2"/>
  <c r="F249" i="2"/>
  <c r="G249" i="2"/>
  <c r="H249" i="2"/>
  <c r="D251" i="2"/>
  <c r="E251" i="2"/>
  <c r="F251" i="2"/>
  <c r="G251" i="2"/>
  <c r="H251" i="2"/>
  <c r="D254" i="2"/>
  <c r="E254" i="2"/>
  <c r="F254" i="2"/>
  <c r="D263" i="2"/>
  <c r="D260" i="2" s="1"/>
  <c r="D258" i="2" s="1"/>
  <c r="E263" i="2"/>
  <c r="F263" i="2"/>
  <c r="G263" i="2"/>
  <c r="H263" i="2"/>
  <c r="D266" i="2"/>
  <c r="E266" i="2"/>
  <c r="F266" i="2"/>
  <c r="G266" i="2"/>
  <c r="H266" i="2"/>
  <c r="D270" i="2"/>
  <c r="E270" i="2"/>
  <c r="I270" i="2" s="1"/>
  <c r="G270" i="2"/>
  <c r="H270" i="2"/>
  <c r="D273" i="2"/>
  <c r="E273" i="2"/>
  <c r="F273" i="2"/>
  <c r="G273" i="2"/>
  <c r="H273" i="2"/>
  <c r="D299" i="2"/>
  <c r="E299" i="2"/>
  <c r="F299" i="2"/>
  <c r="G299" i="2"/>
  <c r="H299" i="2"/>
  <c r="D303" i="2"/>
  <c r="E303" i="2"/>
  <c r="I303" i="2" s="1"/>
  <c r="G303" i="2"/>
  <c r="H303" i="2"/>
  <c r="D311" i="2"/>
  <c r="E311" i="2"/>
  <c r="F311" i="2"/>
  <c r="I311" i="2" s="1"/>
  <c r="G311" i="2"/>
  <c r="H311" i="2"/>
  <c r="D314" i="2"/>
  <c r="E314" i="2"/>
  <c r="F314" i="2"/>
  <c r="G314" i="2"/>
  <c r="H314" i="2"/>
  <c r="D317" i="2"/>
  <c r="E317" i="2"/>
  <c r="F317" i="2"/>
  <c r="G317" i="2"/>
  <c r="H317" i="2"/>
  <c r="D320" i="2"/>
  <c r="E320" i="2"/>
  <c r="I320" i="2" s="1"/>
  <c r="G320" i="2"/>
  <c r="H320" i="2"/>
  <c r="D336" i="2"/>
  <c r="E336" i="2"/>
  <c r="F336" i="2"/>
  <c r="G336" i="2"/>
  <c r="H336" i="2"/>
  <c r="D339" i="2"/>
  <c r="E339" i="2"/>
  <c r="F339" i="2"/>
  <c r="I339" i="2" s="1"/>
  <c r="G339" i="2"/>
  <c r="H339" i="2"/>
  <c r="D342" i="2"/>
  <c r="E342" i="2"/>
  <c r="F342" i="2"/>
  <c r="G342" i="2"/>
  <c r="H342" i="2"/>
  <c r="D345" i="2"/>
  <c r="E345" i="2"/>
  <c r="F345" i="2"/>
  <c r="G345" i="2"/>
  <c r="H345" i="2"/>
  <c r="D350" i="2"/>
  <c r="E350" i="2"/>
  <c r="F350" i="2"/>
  <c r="G350" i="2"/>
  <c r="G348" i="2" s="1"/>
  <c r="H350" i="2"/>
  <c r="D356" i="2"/>
  <c r="E356" i="2"/>
  <c r="F356" i="2"/>
  <c r="D360" i="2"/>
  <c r="E360" i="2"/>
  <c r="F360" i="2"/>
  <c r="G360" i="2"/>
  <c r="H360" i="2"/>
  <c r="D365" i="2"/>
  <c r="E365" i="2"/>
  <c r="F365" i="2"/>
  <c r="G365" i="2"/>
  <c r="H365" i="2"/>
  <c r="D369" i="2"/>
  <c r="E369" i="2"/>
  <c r="F369" i="2"/>
  <c r="G369" i="2"/>
  <c r="H369" i="2"/>
  <c r="D374" i="2"/>
  <c r="D373" i="2" s="1"/>
  <c r="E374" i="2"/>
  <c r="F374" i="2"/>
  <c r="G374" i="2"/>
  <c r="H374" i="2"/>
  <c r="D377" i="2"/>
  <c r="E377" i="2"/>
  <c r="F377" i="2"/>
  <c r="G377" i="2"/>
  <c r="H377" i="2"/>
  <c r="D381" i="2"/>
  <c r="E381" i="2"/>
  <c r="F381" i="2"/>
  <c r="G381" i="2"/>
  <c r="H381" i="2"/>
  <c r="D384" i="2"/>
  <c r="E384" i="2"/>
  <c r="F384" i="2"/>
  <c r="G384" i="2"/>
  <c r="H384" i="2"/>
  <c r="D387" i="2"/>
  <c r="E387" i="2"/>
  <c r="F387" i="2"/>
  <c r="G387" i="2"/>
  <c r="H387" i="2"/>
  <c r="D394" i="2"/>
  <c r="E394" i="2"/>
  <c r="F394" i="2"/>
  <c r="G394" i="2"/>
  <c r="H394" i="2"/>
  <c r="D397" i="2"/>
  <c r="E397" i="2"/>
  <c r="F397" i="2"/>
  <c r="G397" i="2"/>
  <c r="H397" i="2"/>
  <c r="D402" i="2"/>
  <c r="E402" i="2"/>
  <c r="F402" i="2"/>
  <c r="G402" i="2"/>
  <c r="H402" i="2"/>
  <c r="D404" i="2"/>
  <c r="E404" i="2"/>
  <c r="F404" i="2"/>
  <c r="G404" i="2"/>
  <c r="H404" i="2"/>
  <c r="D413" i="2"/>
  <c r="E413" i="2"/>
  <c r="F413" i="2"/>
  <c r="G413" i="2"/>
  <c r="H413" i="2"/>
  <c r="D416" i="2"/>
  <c r="E416" i="2"/>
  <c r="F416" i="2"/>
  <c r="G416" i="2"/>
  <c r="H416" i="2"/>
  <c r="D418" i="2"/>
  <c r="E418" i="2"/>
  <c r="F418" i="2"/>
  <c r="G418" i="2"/>
  <c r="H418" i="2"/>
  <c r="D421" i="2"/>
  <c r="E421" i="2"/>
  <c r="F421" i="2"/>
  <c r="G421" i="2"/>
  <c r="H421" i="2"/>
  <c r="D424" i="2"/>
  <c r="E424" i="2"/>
  <c r="F424" i="2"/>
  <c r="G424" i="2"/>
  <c r="H424" i="2"/>
  <c r="D430" i="2"/>
  <c r="E430" i="2"/>
  <c r="F430" i="2"/>
  <c r="G430" i="2"/>
  <c r="H430" i="2"/>
  <c r="D432" i="2"/>
  <c r="E432" i="2"/>
  <c r="F432" i="2"/>
  <c r="G432" i="2"/>
  <c r="H432" i="2"/>
  <c r="D435" i="2"/>
  <c r="E435" i="2"/>
  <c r="F435" i="2"/>
  <c r="G435" i="2"/>
  <c r="H435" i="2"/>
  <c r="D438" i="2"/>
  <c r="E438" i="2"/>
  <c r="F438" i="2"/>
  <c r="G438" i="2"/>
  <c r="H438" i="2"/>
  <c r="D443" i="2"/>
  <c r="E443" i="2"/>
  <c r="F443" i="2"/>
  <c r="G443" i="2"/>
  <c r="H443" i="2"/>
  <c r="D449" i="2"/>
  <c r="E449" i="2"/>
  <c r="F449" i="2"/>
  <c r="G449" i="2"/>
  <c r="H449" i="2"/>
  <c r="D453" i="2"/>
  <c r="E453" i="2"/>
  <c r="F453" i="2"/>
  <c r="G453" i="2"/>
  <c r="H453" i="2"/>
  <c r="D457" i="2"/>
  <c r="E457" i="2"/>
  <c r="F457" i="2"/>
  <c r="G457" i="2"/>
  <c r="H457" i="2"/>
  <c r="D460" i="2"/>
  <c r="E460" i="2"/>
  <c r="I460" i="2" s="1"/>
  <c r="G460" i="2"/>
  <c r="H460" i="2"/>
  <c r="D467" i="2"/>
  <c r="E467" i="2"/>
  <c r="F467" i="2"/>
  <c r="I467" i="2" s="1"/>
  <c r="G467" i="2"/>
  <c r="H467" i="2"/>
  <c r="D470" i="2"/>
  <c r="E470" i="2"/>
  <c r="F470" i="2"/>
  <c r="D473" i="2"/>
  <c r="E473" i="2"/>
  <c r="F473" i="2"/>
  <c r="D480" i="2"/>
  <c r="E480" i="2"/>
  <c r="I480" i="2" s="1"/>
  <c r="G480" i="2"/>
  <c r="H480" i="2"/>
  <c r="D483" i="2"/>
  <c r="E483" i="2"/>
  <c r="F483" i="2"/>
  <c r="G483" i="2"/>
  <c r="H483" i="2"/>
  <c r="D485" i="2"/>
  <c r="E485" i="2"/>
  <c r="I485" i="2" s="1"/>
  <c r="G485" i="2"/>
  <c r="H485" i="2"/>
  <c r="D487" i="2"/>
  <c r="E487" i="2"/>
  <c r="F487" i="2"/>
  <c r="I487" i="2" s="1"/>
  <c r="G487" i="2"/>
  <c r="H487" i="2"/>
  <c r="D490" i="2"/>
  <c r="E490" i="2"/>
  <c r="F490" i="2"/>
  <c r="D493" i="2"/>
  <c r="E493" i="2"/>
  <c r="F493" i="2"/>
  <c r="D503" i="2"/>
  <c r="E503" i="2"/>
  <c r="F503" i="2"/>
  <c r="G503" i="2"/>
  <c r="H503" i="2"/>
  <c r="D510" i="2"/>
  <c r="E510" i="2"/>
  <c r="F510" i="2"/>
  <c r="I510" i="2" s="1"/>
  <c r="G510" i="2"/>
  <c r="H510" i="2"/>
  <c r="D516" i="2"/>
  <c r="E516" i="2"/>
  <c r="F516" i="2"/>
  <c r="D520" i="2"/>
  <c r="E520" i="2"/>
  <c r="F520" i="2"/>
  <c r="I520" i="2" s="1"/>
  <c r="D529" i="2"/>
  <c r="E529" i="2"/>
  <c r="F529" i="2"/>
  <c r="G529" i="2"/>
  <c r="H529" i="2"/>
  <c r="D540" i="2"/>
  <c r="D535" i="2" s="1"/>
  <c r="E540" i="2"/>
  <c r="E535" i="2" s="1"/>
  <c r="F540" i="2"/>
  <c r="G540" i="2"/>
  <c r="G535" i="2" s="1"/>
  <c r="H540" i="2"/>
  <c r="H535" i="2" s="1"/>
  <c r="D546" i="2"/>
  <c r="E546" i="2"/>
  <c r="F546" i="2"/>
  <c r="G546" i="2"/>
  <c r="H546" i="2"/>
  <c r="D555" i="2"/>
  <c r="E555" i="2"/>
  <c r="F555" i="2"/>
  <c r="G555" i="2"/>
  <c r="H555" i="2"/>
  <c r="D559" i="2"/>
  <c r="E559" i="2"/>
  <c r="F559" i="2"/>
  <c r="G559" i="2"/>
  <c r="H559" i="2"/>
  <c r="D565" i="2"/>
  <c r="E565" i="2"/>
  <c r="F565" i="2"/>
  <c r="G565" i="2"/>
  <c r="H565" i="2"/>
  <c r="D569" i="2"/>
  <c r="E569" i="2"/>
  <c r="F569" i="2"/>
  <c r="G569" i="2"/>
  <c r="H569" i="2"/>
  <c r="D572" i="2"/>
  <c r="E572" i="2"/>
  <c r="F572" i="2"/>
  <c r="G572" i="2"/>
  <c r="H572" i="2"/>
  <c r="D584" i="2"/>
  <c r="E584" i="2"/>
  <c r="F584" i="2"/>
  <c r="G584" i="2"/>
  <c r="H584" i="2"/>
  <c r="D590" i="2"/>
  <c r="E590" i="2"/>
  <c r="F590" i="2"/>
  <c r="G590" i="2"/>
  <c r="H590" i="2"/>
  <c r="D592" i="2"/>
  <c r="E592" i="2"/>
  <c r="F592" i="2"/>
  <c r="D595" i="2"/>
  <c r="E595" i="2"/>
  <c r="F595" i="2"/>
  <c r="G595" i="2"/>
  <c r="H595" i="2"/>
  <c r="D598" i="2"/>
  <c r="E598" i="2"/>
  <c r="F598" i="2"/>
  <c r="G598" i="2"/>
  <c r="H598" i="2"/>
  <c r="D605" i="2"/>
  <c r="E605" i="2"/>
  <c r="F605" i="2"/>
  <c r="G605" i="2"/>
  <c r="H605" i="2"/>
  <c r="D608" i="2"/>
  <c r="E608" i="2"/>
  <c r="F608" i="2"/>
  <c r="G608" i="2"/>
  <c r="H608" i="2"/>
  <c r="D610" i="2"/>
  <c r="E610" i="2"/>
  <c r="F610" i="2"/>
  <c r="G610" i="2"/>
  <c r="H610" i="2"/>
  <c r="D619" i="2"/>
  <c r="E619" i="2"/>
  <c r="F619" i="2"/>
  <c r="G619" i="2"/>
  <c r="H619" i="2"/>
  <c r="D622" i="2"/>
  <c r="E622" i="2"/>
  <c r="F622" i="2"/>
  <c r="G622" i="2"/>
  <c r="H622" i="2"/>
  <c r="D624" i="2"/>
  <c r="E624" i="2"/>
  <c r="F624" i="2"/>
  <c r="G624" i="2"/>
  <c r="H624" i="2"/>
  <c r="D626" i="2"/>
  <c r="E626" i="2"/>
  <c r="F626" i="2"/>
  <c r="I626" i="2" s="1"/>
  <c r="G626" i="2"/>
  <c r="H626" i="2"/>
  <c r="D628" i="2"/>
  <c r="E628" i="2"/>
  <c r="F628" i="2"/>
  <c r="D630" i="2"/>
  <c r="E630" i="2"/>
  <c r="F630" i="2"/>
  <c r="G630" i="2"/>
  <c r="H630" i="2"/>
  <c r="D633" i="2"/>
  <c r="E633" i="2"/>
  <c r="F633" i="2"/>
  <c r="G633" i="2"/>
  <c r="H633" i="2"/>
  <c r="D638" i="2"/>
  <c r="E638" i="2"/>
  <c r="F638" i="2"/>
  <c r="I638" i="2" s="1"/>
  <c r="G638" i="2"/>
  <c r="H638" i="2"/>
  <c r="D652" i="2"/>
  <c r="E652" i="2"/>
  <c r="F652" i="2"/>
  <c r="G652" i="2"/>
  <c r="H652" i="2"/>
  <c r="D658" i="2"/>
  <c r="D657" i="2" s="1"/>
  <c r="E658" i="2"/>
  <c r="E657" i="2" s="1"/>
  <c r="F658" i="2"/>
  <c r="G658" i="2"/>
  <c r="G657" i="2" s="1"/>
  <c r="H658" i="2"/>
  <c r="H657" i="2" s="1"/>
  <c r="D666" i="2"/>
  <c r="E666" i="2"/>
  <c r="F666" i="2"/>
  <c r="G666" i="2"/>
  <c r="H666" i="2"/>
  <c r="D673" i="2"/>
  <c r="E673" i="2"/>
  <c r="F673" i="2"/>
  <c r="D676" i="2"/>
  <c r="E676" i="2"/>
  <c r="F676" i="2"/>
  <c r="G676" i="2"/>
  <c r="G672" i="2" s="1"/>
  <c r="H676" i="2"/>
  <c r="D679" i="2"/>
  <c r="E679" i="2"/>
  <c r="F679" i="2"/>
  <c r="G679" i="2"/>
  <c r="H679" i="2"/>
  <c r="D688" i="2"/>
  <c r="E688" i="2"/>
  <c r="F688" i="2"/>
  <c r="D694" i="2"/>
  <c r="E694" i="2"/>
  <c r="F694" i="2"/>
  <c r="D696" i="2"/>
  <c r="E696" i="2"/>
  <c r="F696" i="2"/>
  <c r="D699" i="2"/>
  <c r="E699" i="2"/>
  <c r="F699" i="2"/>
  <c r="G699" i="2"/>
  <c r="H699" i="2"/>
  <c r="D702" i="2"/>
  <c r="E702" i="2"/>
  <c r="F702" i="2"/>
  <c r="D705" i="2"/>
  <c r="E705" i="2"/>
  <c r="F705" i="2"/>
  <c r="D711" i="2"/>
  <c r="E711" i="2"/>
  <c r="F711" i="2"/>
  <c r="G711" i="2"/>
  <c r="H711" i="2"/>
  <c r="D719" i="2"/>
  <c r="E719" i="2"/>
  <c r="I719" i="2" s="1"/>
  <c r="G719" i="2"/>
  <c r="H719" i="2"/>
  <c r="D723" i="2"/>
  <c r="E723" i="2"/>
  <c r="F723" i="2"/>
  <c r="G723" i="2"/>
  <c r="H723" i="2"/>
  <c r="D726" i="2"/>
  <c r="E726" i="2"/>
  <c r="I726" i="2" s="1"/>
  <c r="G726" i="2"/>
  <c r="H726" i="2"/>
  <c r="D734" i="2"/>
  <c r="E734" i="2"/>
  <c r="F734" i="2"/>
  <c r="G734" i="2"/>
  <c r="H734" i="2"/>
  <c r="D742" i="2"/>
  <c r="E742" i="2"/>
  <c r="F742" i="2"/>
  <c r="D746" i="2"/>
  <c r="E746" i="2"/>
  <c r="F746" i="2"/>
  <c r="G746" i="2"/>
  <c r="H746" i="2"/>
  <c r="D753" i="2"/>
  <c r="E753" i="2"/>
  <c r="F753" i="2"/>
  <c r="G753" i="2"/>
  <c r="H753" i="2"/>
  <c r="D761" i="2"/>
  <c r="E761" i="2"/>
  <c r="F761" i="2"/>
  <c r="D763" i="2"/>
  <c r="E763" i="2"/>
  <c r="F763" i="2"/>
  <c r="G763" i="2"/>
  <c r="H763" i="2"/>
  <c r="D768" i="2"/>
  <c r="E768" i="2"/>
  <c r="F768" i="2"/>
  <c r="G768" i="2"/>
  <c r="H768" i="2"/>
  <c r="D772" i="2"/>
  <c r="E772" i="2"/>
  <c r="F772" i="2"/>
  <c r="I772" i="2" s="1"/>
  <c r="G772" i="2"/>
  <c r="H772" i="2"/>
  <c r="D776" i="2"/>
  <c r="E776" i="2"/>
  <c r="F776" i="2"/>
  <c r="G776" i="2"/>
  <c r="H776" i="2"/>
  <c r="D787" i="2"/>
  <c r="E787" i="2"/>
  <c r="F787" i="2"/>
  <c r="I787" i="2" s="1"/>
  <c r="G787" i="2"/>
  <c r="H787" i="2"/>
  <c r="D794" i="2"/>
  <c r="E794" i="2"/>
  <c r="F794" i="2"/>
  <c r="G794" i="2"/>
  <c r="H794" i="2"/>
  <c r="D797" i="2"/>
  <c r="E797" i="2"/>
  <c r="F797" i="2"/>
  <c r="G797" i="2"/>
  <c r="H797" i="2"/>
  <c r="D800" i="2"/>
  <c r="E800" i="2"/>
  <c r="F800" i="2"/>
  <c r="G800" i="2"/>
  <c r="H800" i="2"/>
  <c r="D805" i="2"/>
  <c r="E805" i="2"/>
  <c r="F805" i="2"/>
  <c r="G805" i="2"/>
  <c r="H805" i="2"/>
  <c r="D808" i="2"/>
  <c r="E808" i="2"/>
  <c r="F808" i="2"/>
  <c r="G808" i="2"/>
  <c r="H808" i="2"/>
  <c r="D811" i="2"/>
  <c r="E811" i="2"/>
  <c r="F811" i="2"/>
  <c r="I811" i="2" s="1"/>
  <c r="G811" i="2"/>
  <c r="H811" i="2"/>
  <c r="D814" i="2"/>
  <c r="E814" i="2"/>
  <c r="F814" i="2"/>
  <c r="G814" i="2"/>
  <c r="H814" i="2"/>
  <c r="D819" i="2"/>
  <c r="E819" i="2"/>
  <c r="F819" i="2"/>
  <c r="G819" i="2"/>
  <c r="H819" i="2"/>
  <c r="D823" i="2"/>
  <c r="E823" i="2"/>
  <c r="I823" i="2" s="1"/>
  <c r="G823" i="2"/>
  <c r="H823" i="2"/>
  <c r="D826" i="2"/>
  <c r="E826" i="2"/>
  <c r="F826" i="2"/>
  <c r="G826" i="2"/>
  <c r="H826" i="2"/>
  <c r="D832" i="2"/>
  <c r="E832" i="2"/>
  <c r="F832" i="2"/>
  <c r="I832" i="2" s="1"/>
  <c r="G832" i="2"/>
  <c r="H832" i="2"/>
  <c r="D836" i="2"/>
  <c r="E836" i="2"/>
  <c r="F836" i="2"/>
  <c r="G836" i="2"/>
  <c r="H836" i="2"/>
  <c r="D839" i="2"/>
  <c r="E839" i="2"/>
  <c r="F839" i="2"/>
  <c r="G839" i="2"/>
  <c r="H839" i="2"/>
  <c r="D842" i="2"/>
  <c r="E842" i="2"/>
  <c r="F842" i="2"/>
  <c r="G842" i="2"/>
  <c r="H842" i="2"/>
  <c r="D845" i="2"/>
  <c r="E845" i="2"/>
  <c r="F845" i="2"/>
  <c r="G845" i="2"/>
  <c r="H845" i="2"/>
  <c r="D860" i="2"/>
  <c r="E860" i="2"/>
  <c r="F860" i="2"/>
  <c r="G860" i="2"/>
  <c r="H860" i="2"/>
  <c r="D866" i="2"/>
  <c r="E866" i="2"/>
  <c r="F866" i="2"/>
  <c r="G866" i="2"/>
  <c r="H866" i="2"/>
  <c r="D875" i="2"/>
  <c r="E875" i="2"/>
  <c r="F875" i="2"/>
  <c r="D880" i="2"/>
  <c r="E880" i="2"/>
  <c r="F880" i="2"/>
  <c r="D883" i="2"/>
  <c r="E883" i="2"/>
  <c r="F883" i="2"/>
  <c r="D887" i="2"/>
  <c r="E887" i="2"/>
  <c r="F887" i="2"/>
  <c r="D890" i="2"/>
  <c r="E890" i="2"/>
  <c r="F890" i="2"/>
  <c r="G890" i="2"/>
  <c r="H890" i="2"/>
  <c r="D899" i="2"/>
  <c r="E899" i="2"/>
  <c r="F899" i="2"/>
  <c r="G899" i="2"/>
  <c r="H899" i="2"/>
  <c r="D903" i="2"/>
  <c r="E903" i="2"/>
  <c r="F903" i="2"/>
  <c r="G903" i="2"/>
  <c r="H903" i="2"/>
  <c r="D914" i="2"/>
  <c r="E914" i="2"/>
  <c r="F914" i="2"/>
  <c r="G914" i="2"/>
  <c r="H914" i="2"/>
  <c r="D920" i="2"/>
  <c r="E920" i="2"/>
  <c r="F920" i="2"/>
  <c r="D922" i="2"/>
  <c r="E922" i="2"/>
  <c r="F922" i="2"/>
  <c r="D925" i="2"/>
  <c r="E925" i="2"/>
  <c r="F925" i="2"/>
  <c r="G925" i="2"/>
  <c r="H925" i="2"/>
  <c r="D932" i="2"/>
  <c r="E932" i="2"/>
  <c r="F932" i="2"/>
  <c r="G932" i="2"/>
  <c r="H932" i="2"/>
  <c r="D939" i="2"/>
  <c r="E939" i="2"/>
  <c r="F939" i="2"/>
  <c r="G939" i="2"/>
  <c r="H939" i="2"/>
  <c r="D945" i="2"/>
  <c r="E945" i="2"/>
  <c r="F945" i="2"/>
  <c r="D953" i="2"/>
  <c r="E953" i="2"/>
  <c r="F953" i="2"/>
  <c r="G953" i="2"/>
  <c r="H953" i="2"/>
  <c r="D956" i="2"/>
  <c r="D955" i="2" s="1"/>
  <c r="E956" i="2"/>
  <c r="E955" i="2" s="1"/>
  <c r="F956" i="2"/>
  <c r="G956" i="2"/>
  <c r="G955" i="2" s="1"/>
  <c r="H956" i="2"/>
  <c r="H955" i="2" s="1"/>
  <c r="D963" i="2"/>
  <c r="E963" i="2"/>
  <c r="F963" i="2"/>
  <c r="G963" i="2"/>
  <c r="H963" i="2"/>
  <c r="D967" i="2"/>
  <c r="E967" i="2"/>
  <c r="F967" i="2"/>
  <c r="G967" i="2"/>
  <c r="H967" i="2"/>
  <c r="D971" i="2"/>
  <c r="E971" i="2"/>
  <c r="F971" i="2"/>
  <c r="G971" i="2"/>
  <c r="H971" i="2"/>
  <c r="D974" i="2"/>
  <c r="E974" i="2"/>
  <c r="F974" i="2"/>
  <c r="I974" i="2" s="1"/>
  <c r="G974" i="2"/>
  <c r="H974" i="2"/>
  <c r="D977" i="2"/>
  <c r="E977" i="2"/>
  <c r="F977" i="2"/>
  <c r="G977" i="2"/>
  <c r="H977" i="2"/>
  <c r="D982" i="2"/>
  <c r="E982" i="2"/>
  <c r="F982" i="2"/>
  <c r="G982" i="2"/>
  <c r="H982" i="2"/>
  <c r="D985" i="2"/>
  <c r="E985" i="2"/>
  <c r="I985" i="2" s="1"/>
  <c r="G985" i="2"/>
  <c r="H985" i="2"/>
  <c r="C994" i="2"/>
  <c r="D994" i="2"/>
  <c r="E994" i="2"/>
  <c r="F994" i="2"/>
  <c r="G994" i="2"/>
  <c r="C1006" i="2"/>
  <c r="D1006" i="2"/>
  <c r="E1006" i="2"/>
  <c r="F1006" i="2"/>
  <c r="G1006" i="2"/>
  <c r="I887" i="2" l="1"/>
  <c r="I845" i="2"/>
  <c r="I699" i="2"/>
  <c r="I610" i="2"/>
  <c r="I356" i="2"/>
  <c r="I251" i="2"/>
  <c r="I605" i="2"/>
  <c r="I982" i="2"/>
  <c r="I914" i="2"/>
  <c r="I866" i="2"/>
  <c r="I805" i="2"/>
  <c r="I742" i="2"/>
  <c r="I694" i="2"/>
  <c r="I679" i="2"/>
  <c r="I232" i="2"/>
  <c r="I977" i="2"/>
  <c r="I932" i="2"/>
  <c r="I880" i="2"/>
  <c r="I753" i="2"/>
  <c r="I590" i="2"/>
  <c r="I565" i="2"/>
  <c r="I555" i="2"/>
  <c r="I453" i="2"/>
  <c r="I443" i="2"/>
  <c r="I430" i="2"/>
  <c r="I421" i="2"/>
  <c r="I404" i="2"/>
  <c r="I397" i="2"/>
  <c r="I381" i="2"/>
  <c r="I374" i="2"/>
  <c r="I263" i="2"/>
  <c r="I99" i="2"/>
  <c r="D1010" i="2"/>
  <c r="I953" i="2"/>
  <c r="I925" i="2"/>
  <c r="I920" i="2"/>
  <c r="F852" i="2"/>
  <c r="I860" i="2"/>
  <c r="I826" i="2"/>
  <c r="I808" i="2"/>
  <c r="I776" i="2"/>
  <c r="I761" i="2"/>
  <c r="I734" i="2"/>
  <c r="I711" i="2"/>
  <c r="I702" i="2"/>
  <c r="I676" i="2"/>
  <c r="I652" i="2"/>
  <c r="I628" i="2"/>
  <c r="I608" i="2"/>
  <c r="I592" i="2"/>
  <c r="F955" i="2"/>
  <c r="I955" i="2" s="1"/>
  <c r="I956" i="2"/>
  <c r="F657" i="2"/>
  <c r="I657" i="2" s="1"/>
  <c r="I658" i="2"/>
  <c r="I963" i="2"/>
  <c r="I939" i="2"/>
  <c r="I890" i="2"/>
  <c r="I883" i="2"/>
  <c r="I875" i="2"/>
  <c r="I836" i="2"/>
  <c r="I814" i="2"/>
  <c r="I794" i="2"/>
  <c r="I696" i="2"/>
  <c r="I688" i="2"/>
  <c r="I666" i="2"/>
  <c r="I619" i="2"/>
  <c r="I967" i="2"/>
  <c r="I945" i="2"/>
  <c r="I922" i="2"/>
  <c r="I899" i="2"/>
  <c r="I839" i="2"/>
  <c r="I819" i="2"/>
  <c r="I797" i="2"/>
  <c r="I763" i="2"/>
  <c r="I723" i="2"/>
  <c r="I705" i="2"/>
  <c r="I673" i="2"/>
  <c r="I630" i="2"/>
  <c r="I622" i="2"/>
  <c r="I595" i="2"/>
  <c r="I572" i="2"/>
  <c r="I493" i="2"/>
  <c r="I473" i="2"/>
  <c r="I435" i="2"/>
  <c r="I416" i="2"/>
  <c r="I387" i="2"/>
  <c r="I365" i="2"/>
  <c r="I345" i="2"/>
  <c r="I317" i="2"/>
  <c r="I273" i="2"/>
  <c r="I238" i="2"/>
  <c r="I223" i="2"/>
  <c r="I203" i="2"/>
  <c r="I177" i="2"/>
  <c r="I20" i="2"/>
  <c r="I971" i="2"/>
  <c r="I903" i="2"/>
  <c r="I842" i="2"/>
  <c r="I800" i="2"/>
  <c r="I768" i="2"/>
  <c r="I746" i="2"/>
  <c r="I633" i="2"/>
  <c r="I624" i="2"/>
  <c r="I598" i="2"/>
  <c r="I584" i="2"/>
  <c r="I559" i="2"/>
  <c r="I503" i="2"/>
  <c r="I490" i="2"/>
  <c r="I470" i="2"/>
  <c r="G721" i="2"/>
  <c r="G708" i="2" s="1"/>
  <c r="I569" i="2"/>
  <c r="I529" i="2"/>
  <c r="I516" i="2"/>
  <c r="I483" i="2"/>
  <c r="I457" i="2"/>
  <c r="H721" i="2"/>
  <c r="F535" i="2"/>
  <c r="I535" i="2" s="1"/>
  <c r="I540" i="2"/>
  <c r="I546" i="2"/>
  <c r="E602" i="2"/>
  <c r="I449" i="2"/>
  <c r="I424" i="2"/>
  <c r="I402" i="2"/>
  <c r="G380" i="2"/>
  <c r="I377" i="2"/>
  <c r="E373" i="2"/>
  <c r="D348" i="2"/>
  <c r="I336" i="2"/>
  <c r="H310" i="2"/>
  <c r="H269" i="2" s="1"/>
  <c r="I266" i="2"/>
  <c r="I249" i="2"/>
  <c r="I227" i="2"/>
  <c r="I158" i="2"/>
  <c r="I94" i="2"/>
  <c r="I48" i="2"/>
  <c r="I30" i="2"/>
  <c r="F210" i="2"/>
  <c r="I210" i="2" s="1"/>
  <c r="I213" i="2"/>
  <c r="E1010" i="2"/>
  <c r="I432" i="2"/>
  <c r="I413" i="2"/>
  <c r="I384" i="2"/>
  <c r="I360" i="2"/>
  <c r="I342" i="2"/>
  <c r="I314" i="2"/>
  <c r="I254" i="2"/>
  <c r="I235" i="2"/>
  <c r="I215" i="2"/>
  <c r="I200" i="2"/>
  <c r="I438" i="2"/>
  <c r="I418" i="2"/>
  <c r="I394" i="2"/>
  <c r="I369" i="2"/>
  <c r="E364" i="2"/>
  <c r="I350" i="2"/>
  <c r="I299" i="2"/>
  <c r="I243" i="2"/>
  <c r="I207" i="2"/>
  <c r="I188" i="2"/>
  <c r="I149" i="2"/>
  <c r="I127" i="2"/>
  <c r="I83" i="2"/>
  <c r="F43" i="2"/>
  <c r="I43" i="2" s="1"/>
  <c r="I45" i="2"/>
  <c r="C1010" i="2"/>
  <c r="E380" i="2"/>
  <c r="G364" i="2"/>
  <c r="G310" i="2"/>
  <c r="G269" i="2" s="1"/>
  <c r="E310" i="2"/>
  <c r="E269" i="2" s="1"/>
  <c r="G170" i="2"/>
  <c r="I166" i="2"/>
  <c r="I137" i="2"/>
  <c r="I101" i="2"/>
  <c r="I71" i="2"/>
  <c r="F52" i="2"/>
  <c r="I52" i="2" s="1"/>
  <c r="I55" i="2"/>
  <c r="E879" i="2"/>
  <c r="E863" i="2" s="1"/>
  <c r="D335" i="2"/>
  <c r="D310" i="2"/>
  <c r="I139" i="2"/>
  <c r="I124" i="2"/>
  <c r="I78" i="2"/>
  <c r="I59" i="2"/>
  <c r="I11" i="2"/>
  <c r="E672" i="2"/>
  <c r="E664" i="2" s="1"/>
  <c r="E348" i="2"/>
  <c r="F260" i="2"/>
  <c r="I155" i="2"/>
  <c r="I130" i="2"/>
  <c r="I87" i="2"/>
  <c r="I24" i="2"/>
  <c r="F18" i="2"/>
  <c r="F10" i="2" s="1"/>
  <c r="F731" i="2"/>
  <c r="F380" i="2"/>
  <c r="E260" i="2"/>
  <c r="E258" i="2" s="1"/>
  <c r="G136" i="2"/>
  <c r="E109" i="2"/>
  <c r="D672" i="2"/>
  <c r="D664" i="2" s="1"/>
  <c r="D852" i="2"/>
  <c r="F721" i="2"/>
  <c r="H672" i="2"/>
  <c r="H664" i="2" s="1"/>
  <c r="F508" i="2"/>
  <c r="E508" i="2"/>
  <c r="G478" i="2"/>
  <c r="G464" i="2" s="1"/>
  <c r="G393" i="2"/>
  <c r="H373" i="2"/>
  <c r="F364" i="2"/>
  <c r="F335" i="2"/>
  <c r="E170" i="2"/>
  <c r="F136" i="2"/>
  <c r="E18" i="2"/>
  <c r="E10" i="2" s="1"/>
  <c r="D508" i="2"/>
  <c r="F393" i="2"/>
  <c r="G109" i="2"/>
  <c r="D721" i="2"/>
  <c r="D708" i="2" s="1"/>
  <c r="F672" i="2"/>
  <c r="H478" i="2"/>
  <c r="H464" i="2" s="1"/>
  <c r="E393" i="2"/>
  <c r="G373" i="2"/>
  <c r="F373" i="2"/>
  <c r="G260" i="2"/>
  <c r="G258" i="2" s="1"/>
  <c r="G152" i="2"/>
  <c r="H136" i="2"/>
  <c r="F109" i="2"/>
  <c r="H18" i="2"/>
  <c r="H10" i="2" s="1"/>
  <c r="D170" i="2"/>
  <c r="D199" i="2"/>
  <c r="F348" i="2"/>
  <c r="D879" i="2"/>
  <c r="D863" i="2" s="1"/>
  <c r="D602" i="2"/>
  <c r="E410" i="2"/>
  <c r="E408" i="2" s="1"/>
  <c r="E199" i="2"/>
  <c r="F170" i="2"/>
  <c r="E69" i="2"/>
  <c r="E67" i="2" s="1"/>
  <c r="D42" i="2"/>
  <c r="G42" i="2"/>
  <c r="G18" i="2"/>
  <c r="G10" i="2" s="1"/>
  <c r="D731" i="2"/>
  <c r="F545" i="2"/>
  <c r="G929" i="2"/>
  <c r="F965" i="2"/>
  <c r="E965" i="2"/>
  <c r="D965" i="2"/>
  <c r="E852" i="2"/>
  <c r="D617" i="2"/>
  <c r="D616" i="2" s="1"/>
  <c r="H617" i="2"/>
  <c r="H616" i="2" s="1"/>
  <c r="E617" i="2"/>
  <c r="E616" i="2" s="1"/>
  <c r="D545" i="2"/>
  <c r="H508" i="2"/>
  <c r="D380" i="2"/>
  <c r="D364" i="2"/>
  <c r="H348" i="2"/>
  <c r="H335" i="2"/>
  <c r="G335" i="2"/>
  <c r="E335" i="2"/>
  <c r="G199" i="2"/>
  <c r="E152" i="2"/>
  <c r="D152" i="2"/>
  <c r="H152" i="2"/>
  <c r="D109" i="2"/>
  <c r="G69" i="2"/>
  <c r="G67" i="2" s="1"/>
  <c r="F69" i="2"/>
  <c r="D69" i="2"/>
  <c r="D67" i="2" s="1"/>
  <c r="H42" i="2"/>
  <c r="G545" i="2"/>
  <c r="F410" i="2"/>
  <c r="E545" i="2"/>
  <c r="G508" i="2"/>
  <c r="D929" i="2"/>
  <c r="H852" i="2"/>
  <c r="E731" i="2"/>
  <c r="G664" i="2"/>
  <c r="G617" i="2"/>
  <c r="G616" i="2" s="1"/>
  <c r="D410" i="2"/>
  <c r="D408" i="2" s="1"/>
  <c r="G1010" i="2"/>
  <c r="G965" i="2"/>
  <c r="H965" i="2"/>
  <c r="H863" i="2"/>
  <c r="G863" i="2"/>
  <c r="D781" i="2"/>
  <c r="H781" i="2"/>
  <c r="G781" i="2"/>
  <c r="H708" i="2"/>
  <c r="H602" i="2"/>
  <c r="G602" i="2"/>
  <c r="F478" i="2"/>
  <c r="D393" i="2"/>
  <c r="H380" i="2"/>
  <c r="H364" i="2"/>
  <c r="H199" i="2"/>
  <c r="F199" i="2"/>
  <c r="E136" i="2"/>
  <c r="G731" i="2"/>
  <c r="H545" i="2"/>
  <c r="E721" i="2"/>
  <c r="E708" i="2" s="1"/>
  <c r="D478" i="2"/>
  <c r="D464" i="2" s="1"/>
  <c r="H393" i="2"/>
  <c r="F219" i="2"/>
  <c r="H109" i="2"/>
  <c r="H929" i="2"/>
  <c r="G852" i="2"/>
  <c r="F617" i="2"/>
  <c r="E478" i="2"/>
  <c r="E464" i="2" s="1"/>
  <c r="F1010" i="2"/>
  <c r="E929" i="2"/>
  <c r="F879" i="2"/>
  <c r="E781" i="2"/>
  <c r="F781" i="2"/>
  <c r="H731" i="2"/>
  <c r="F602" i="2"/>
  <c r="H410" i="2"/>
  <c r="H408" i="2" s="1"/>
  <c r="G410" i="2"/>
  <c r="G408" i="2" s="1"/>
  <c r="F310" i="2"/>
  <c r="D269" i="2"/>
  <c r="H260" i="2"/>
  <c r="H258" i="2" s="1"/>
  <c r="G219" i="2"/>
  <c r="E219" i="2"/>
  <c r="D219" i="2"/>
  <c r="D218" i="2" s="1"/>
  <c r="H219" i="2"/>
  <c r="H170" i="2"/>
  <c r="F152" i="2"/>
  <c r="D136" i="2"/>
  <c r="H69" i="2"/>
  <c r="H67" i="2" s="1"/>
  <c r="D18" i="2"/>
  <c r="D10" i="2" s="1"/>
  <c r="E42" i="2"/>
  <c r="F42" i="2"/>
  <c r="I373" i="2" l="1"/>
  <c r="I602" i="2"/>
  <c r="I42" i="2"/>
  <c r="I170" i="2"/>
  <c r="F929" i="2"/>
  <c r="I929" i="2" s="1"/>
  <c r="I348" i="2"/>
  <c r="I364" i="2"/>
  <c r="I731" i="2"/>
  <c r="I852" i="2"/>
  <c r="F708" i="2"/>
  <c r="I708" i="2" s="1"/>
  <c r="I721" i="2"/>
  <c r="F863" i="2"/>
  <c r="I863" i="2" s="1"/>
  <c r="I879" i="2"/>
  <c r="I965" i="2"/>
  <c r="F664" i="2"/>
  <c r="I664" i="2" s="1"/>
  <c r="I672" i="2"/>
  <c r="I781" i="2"/>
  <c r="F616" i="2"/>
  <c r="I616" i="2" s="1"/>
  <c r="I617" i="2"/>
  <c r="I380" i="2"/>
  <c r="I152" i="2"/>
  <c r="I199" i="2"/>
  <c r="I545" i="2"/>
  <c r="E169" i="2"/>
  <c r="I10" i="2"/>
  <c r="F464" i="2"/>
  <c r="I478" i="2"/>
  <c r="I335" i="2"/>
  <c r="I393" i="2"/>
  <c r="I508" i="2"/>
  <c r="I109" i="2"/>
  <c r="E327" i="2"/>
  <c r="E268" i="2" s="1"/>
  <c r="E544" i="2"/>
  <c r="I219" i="2"/>
  <c r="F258" i="2"/>
  <c r="I258" i="2" s="1"/>
  <c r="I260" i="2"/>
  <c r="F269" i="2"/>
  <c r="I269" i="2" s="1"/>
  <c r="I310" i="2"/>
  <c r="F408" i="2"/>
  <c r="I408" i="2" s="1"/>
  <c r="I410" i="2"/>
  <c r="I136" i="2"/>
  <c r="G169" i="2"/>
  <c r="I18" i="2"/>
  <c r="E218" i="2"/>
  <c r="F67" i="2"/>
  <c r="I67" i="2" s="1"/>
  <c r="I69" i="2"/>
  <c r="D663" i="2"/>
  <c r="E663" i="2"/>
  <c r="H544" i="2"/>
  <c r="G544" i="2"/>
  <c r="H463" i="2"/>
  <c r="D463" i="2"/>
  <c r="G463" i="2"/>
  <c r="D327" i="2"/>
  <c r="D268" i="2" s="1"/>
  <c r="G327" i="2"/>
  <c r="G268" i="2" s="1"/>
  <c r="F327" i="2"/>
  <c r="H218" i="2"/>
  <c r="G218" i="2"/>
  <c r="D169" i="2"/>
  <c r="F169" i="2"/>
  <c r="H169" i="2"/>
  <c r="D9" i="2"/>
  <c r="G663" i="2"/>
  <c r="D544" i="2"/>
  <c r="G730" i="2"/>
  <c r="H327" i="2"/>
  <c r="H268" i="2" s="1"/>
  <c r="E730" i="2"/>
  <c r="H730" i="2"/>
  <c r="E463" i="2"/>
  <c r="D730" i="2"/>
  <c r="H663" i="2"/>
  <c r="G928" i="2"/>
  <c r="D928" i="2"/>
  <c r="E928" i="2"/>
  <c r="H928" i="2"/>
  <c r="G9" i="2"/>
  <c r="E9" i="2"/>
  <c r="H9" i="2"/>
  <c r="F928" i="2" l="1"/>
  <c r="I928" i="2"/>
  <c r="F730" i="2"/>
  <c r="I730" i="2" s="1"/>
  <c r="F663" i="2"/>
  <c r="I663" i="2" s="1"/>
  <c r="F544" i="2"/>
  <c r="I544" i="2" s="1"/>
  <c r="I169" i="2"/>
  <c r="F218" i="2"/>
  <c r="I218" i="2" s="1"/>
  <c r="F463" i="2"/>
  <c r="I463" i="2" s="1"/>
  <c r="I464" i="2"/>
  <c r="F268" i="2"/>
  <c r="I268" i="2" s="1"/>
  <c r="I327" i="2"/>
  <c r="F9" i="2"/>
  <c r="I9" i="2" s="1"/>
</calcChain>
</file>

<file path=xl/sharedStrings.xml><?xml version="1.0" encoding="utf-8"?>
<sst xmlns="http://schemas.openxmlformats.org/spreadsheetml/2006/main" count="3558" uniqueCount="2116">
  <si>
    <t>Kodas</t>
  </si>
  <si>
    <t>Pavadinimas</t>
  </si>
  <si>
    <t>SP lėšos</t>
  </si>
  <si>
    <t>2025 metų patikslinti asignavimai</t>
  </si>
  <si>
    <t>2025 metų kasinės išlaidos (I-IV ketvirtis)</t>
  </si>
  <si>
    <t>Asignavimų likutis nuo 2025 metų patikslintų asignavimų</t>
  </si>
  <si>
    <t>Poveikio /Rezultato /Produkto /Indėlio</t>
  </si>
  <si>
    <t>metų</t>
  </si>
  <si>
    <t>I-IV ketvirtis</t>
  </si>
  <si>
    <t>Rodiklis</t>
  </si>
  <si>
    <t>Mato vnt.</t>
  </si>
  <si>
    <t>Aprašymas</t>
  </si>
  <si>
    <t>Pastaba</t>
  </si>
  <si>
    <t>Planas</t>
  </si>
  <si>
    <t>Faktas</t>
  </si>
  <si>
    <t>01</t>
  </si>
  <si>
    <t>Savivaldybės valdymo programa</t>
  </si>
  <si>
    <t>01-01</t>
  </si>
  <si>
    <t>Gerinti veiklos valdymą ir efektyviai išnaudoti pažangius skaitmeninius sprendimus teikiant paslaugas</t>
  </si>
  <si>
    <t>Savivaldybės biudžetas, tenkantis vienai patvirtintai pareigybei savivaldybės administracijoje</t>
  </si>
  <si>
    <t>01-01-01</t>
  </si>
  <si>
    <t>Taikyti gerąsias valdymo praktikas Savivaldybėje ir jos valdomosiose įmonėse ir įstaigose</t>
  </si>
  <si>
    <t>Savivaldybės biudžetinių įstaigų, organizuojančių anoniminę darbuotojų apklausą tolerancijos korupcijai indeksui nustatyti, dalis</t>
  </si>
  <si>
    <t>proc.</t>
  </si>
  <si>
    <t>1.10.</t>
  </si>
  <si>
    <t>Savivaldybės administracijos žaliųjų pirkimų vertės dalis, nuo visų pirkimų</t>
  </si>
  <si>
    <t>Visuose pirkimuose, išskyrus mažos vertės pirkimus, kurių rezultatas - žodinė sutartis, taikomi aplinkos apsaugos kriterijai.</t>
  </si>
  <si>
    <t>1.05.</t>
  </si>
  <si>
    <t>Pirkimų dalis, kuriuose pirkimų procese nustatomi socialiniai kriterijai</t>
  </si>
  <si>
    <t>1.08.</t>
  </si>
  <si>
    <t>Savivaldybės administracijos inovatyvių pirkimų dalis, nuo visų pirkimų</t>
  </si>
  <si>
    <t>Savivaldybės administracijos pirkimų, kuomet taikoma kokybės kriterijus, vertės dalis nuo visų pirkimų</t>
  </si>
  <si>
    <t>Darbų ir paslaugų pirkimuose, išskyrus mažos vertės pirkimus, taikomi ekonominio naudingumo vertinimo kriterijai: ne tik kainos kriterijus, bet taikomi ir kokybės kriterijai.</t>
  </si>
  <si>
    <t>Pavaldžių Savivaldybės biudžetinių įstaigų ir valdomų įmonių dalis, pasitvirtinusi „Dovanų politiką"</t>
  </si>
  <si>
    <t>Sudaryta turto valdymo sistemos diegimo sutartis</t>
  </si>
  <si>
    <t>vnt.</t>
  </si>
  <si>
    <t>01-01-02</t>
  </si>
  <si>
    <t>Kurti ir palaikyti Savivaldybės ir jos įstaigų viešosios informacijos sistemas</t>
  </si>
  <si>
    <t>Atliktas „siauliai.lt” ir susijusių platformų pritaikymas skirtingas negalias turintiems asmenims</t>
  </si>
  <si>
    <t>Naujai atvertų duomenų rinkinių, teikiančių informaciją realiu laiku, skaičius</t>
  </si>
  <si>
    <t>01-01-02-01</t>
  </si>
  <si>
    <t>Įgyvendinti projektą „Inovacijų plėtra viešojo sektoriaus institucijose"</t>
  </si>
  <si>
    <t>Įgyvendintos kibernetinio saugumo iniciatyvos</t>
  </si>
  <si>
    <t>1.01.</t>
  </si>
  <si>
    <t>01-01-02-02</t>
  </si>
  <si>
    <t>Palaikyti ir plėtoti skaitmenines paslaugas teikiamas gyventojams ir verslui</t>
  </si>
  <si>
    <t>Užtikrintas interneto svetainės siauliai.lt palaikymas ir plėtra</t>
  </si>
  <si>
    <t>Užtikrinta interneto svetainės karjerasiauliuose.lt priežiūra</t>
  </si>
  <si>
    <t>Užtikrinta MKS IS priežiūra ir plėtra</t>
  </si>
  <si>
    <t>01-01-03.</t>
  </si>
  <si>
    <t>Pasirengti efektyviam ekstremaliųjų situacijų valdymui Šiaulių miesto savivaldybėje</t>
  </si>
  <si>
    <t>Užtikrintas aprūpinimas priemonėmis, skirtomis ekstremaliųjų situacijų valdymui</t>
  </si>
  <si>
    <t>Slėptuvės, Šiaulių miesto savivaldybės ekstremaliųjų situacijų operacijų centro veiklai, įrengimo darbų dalis</t>
  </si>
  <si>
    <t>01-01-04</t>
  </si>
  <si>
    <t>Įgyvendinti lyčių lygybės, lygių galimybių ir korupcijos prevencijos principus</t>
  </si>
  <si>
    <t>Atnaujinta nuotolinio darbo savivaldybės administracijoje tvarka</t>
  </si>
  <si>
    <t>Darbuotojų, pasinaudojusių nuotolinio darbo galimybe, dalis nuo visų darbuotojų</t>
  </si>
  <si>
    <t>Pateiktų pasiūlymų, dėl lygių galimybių kriterijų/krypčių numatymo Savivaldybės vykdomose programose, skaičius</t>
  </si>
  <si>
    <t>Parengtų straipsnių lygių galimybių klausimais skaičius</t>
  </si>
  <si>
    <t>Įsteigta koordinatoriaus, lygių galimybių, lyčių lygybės ir apsaugos nuo smurto artimoje aplinkoje, pareigybė</t>
  </si>
  <si>
    <t>Suorganizuotų anoniminių apklausų savivaldybės administracijos darbuotojų psichologinio mikroklimato temomis skaičius</t>
  </si>
  <si>
    <t>Suorganizuotų anoniminių apklausų savivaldybės administracijos darbuotojų tolerancijos korupcijai indeksui nustatyti skaičius</t>
  </si>
  <si>
    <t>01-01-05</t>
  </si>
  <si>
    <t>Įgyvendinti administracinės naštos mažinimo planą ir organizuoti plano įgyvendinimo stebėseną</t>
  </si>
  <si>
    <t>Įgyvendintų plano priemonių skaičius</t>
  </si>
  <si>
    <t>01-01-07</t>
  </si>
  <si>
    <t>Įgyvendinti priemones, užtikrinančias ekstremalių situacijų prevenciją</t>
  </si>
  <si>
    <t>Įsigyta sulankstomų lovų komplektų</t>
  </si>
  <si>
    <t>Įrengta priedangų</t>
  </si>
  <si>
    <t>01-01-07-01</t>
  </si>
  <si>
    <t>Įgyvendinti projektą „Prevencijos, parengties ir apsirūpinimo būtinų priemonių atsargomis stiprinimas, gerinant pasirengimą valdyti krizes ir ekstremaliąsias situacijas, šalinti jų padarinius Šiaulių mieste“)</t>
  </si>
  <si>
    <t>III ketv. Nupirkta 2000 vnt. sulankstomų lovų ir 500 vnt. miegmaišių, laukiama prekių. Dar 3231 vnt. sulankstomų lovų ir 4731 vnt. miegmaišių pirkimams paskelbtas konkursas.
IV ketv. nupirkta 3231 vnt. sulankstomų lovų ir 4731 vnt. miegmaišių, pateiktas prašymas agentūrai dėl sutatupytų lėšų naudojimo papildomam kiekiui sulankstomų lovų ir miegmaišių įsigyti.</t>
  </si>
  <si>
    <t>01-01-07-02</t>
  </si>
  <si>
    <t>Įgyvendinti projektą „Priedangų infrastruktūros plėtra Šiaulių mieste“</t>
  </si>
  <si>
    <t>01-02</t>
  </si>
  <si>
    <t>Skatinti įtraukų bendradarbiavimą su visuomene ir suinteresuotomis šalimis</t>
  </si>
  <si>
    <t>01-02-01</t>
  </si>
  <si>
    <t>Stiprinti bendruomeninę veiklą savivaldybėje</t>
  </si>
  <si>
    <t>Patalpų, skirtų bendruomenių, NVO susirinkimų,  veiklos vykdymo poreikiams tenkinti mikrorajonuose, skaičius</t>
  </si>
  <si>
    <t>01-02-01-01</t>
  </si>
  <si>
    <t>Organizuoti bendruomeninės veiklos projektų finansavimą</t>
  </si>
  <si>
    <t>Pateiktų prašymų skaičius</t>
  </si>
  <si>
    <t>01-02-01-02</t>
  </si>
  <si>
    <t>Įgyvendinti tradicinių religinių bendruomenių ir bendrijų rėmimo programą</t>
  </si>
  <si>
    <t>Finansuotų projektų skaičius</t>
  </si>
  <si>
    <t>01-02-02</t>
  </si>
  <si>
    <t>Skatinti nevyriausybinių organizacijų veiklą ir užtikrinti jų plėtrą</t>
  </si>
  <si>
    <t>Suorganizuotų mokymų skaičius</t>
  </si>
  <si>
    <t>Įgyvendintų iniciatyvų skaičius, bendradarbiaujant su Savivaldybės tarybos patvirtintomis jaunimo, nevyriausybinių ir bendruomeninių organizacijų tarybomis</t>
  </si>
  <si>
    <t>01-02-03</t>
  </si>
  <si>
    <t>Dalyvauti rengiant ir įgyvendinant Šiaulių vietos veiklos grupės strategiją</t>
  </si>
  <si>
    <t>Išmokėta prisidėjimo dalis prie Šiaulių miesto vietos veiklos grupės 2022–2029 metų vietos plėtros strategijos įgyvendinimo</t>
  </si>
  <si>
    <t>01-02-04</t>
  </si>
  <si>
    <t>Vystyti dalyvaujamojo biudžeto modelį</t>
  </si>
  <si>
    <t>Įgyvendintų bendruomenės iniciatyvų skaičius</t>
  </si>
  <si>
    <t>Įgyvendintų mokinių iniciatyvų skaičius</t>
  </si>
  <si>
    <t>Balsavusiųjų dalyvaujamojo biudžeto projektų atrankose dalis nuo visų gyventojų</t>
  </si>
  <si>
    <t>01-02-04-01</t>
  </si>
  <si>
    <t>Įgyvendinti bendruomenės iniciatyvas, skirtas gyvenamajai aplinkai gerinti</t>
  </si>
  <si>
    <t>Įgyvendinta bendruomenės iniciatyvų</t>
  </si>
  <si>
    <t>01-02-04-02</t>
  </si>
  <si>
    <t>Įgyvendinti mokinių iniciatyvas</t>
  </si>
  <si>
    <t>01-02-05</t>
  </si>
  <si>
    <t>Įgyvendinti prevencines programas</t>
  </si>
  <si>
    <t>Įgyvendintų  nusikaltimų ir gaisrų prevencinių priemonių skaičius</t>
  </si>
  <si>
    <t>01-02-05-01</t>
  </si>
  <si>
    <t>Įgyvendinti Šiaulių miesto savivaldybės nusikaltimų prevencijos programą</t>
  </si>
  <si>
    <t>Įgyvendintų prevencinių priemonių skaičius</t>
  </si>
  <si>
    <t>sk.</t>
  </si>
  <si>
    <t>01-02-05-02</t>
  </si>
  <si>
    <t>Įgyvendinti Šiaulių miesto savivaldybės gaisrų prevencijos programą</t>
  </si>
  <si>
    <t>01-02-06</t>
  </si>
  <si>
    <t>Užtikrinti sklandžią imigrantų integraciją Šiauliuose</t>
  </si>
  <si>
    <t>Įrengtas taktilinis infoterminalas</t>
  </si>
  <si>
    <t>Integracijos paslaugų teikimo plane numatytų priemonių įgyvendinimas</t>
  </si>
  <si>
    <t>Įstaigų (savivaldybės biudžetinių įstaigų, nevyriausybinių organizacijų ir kt), teikiančių informaciją interneto svetainėse, skaičius</t>
  </si>
  <si>
    <t>Užsienio šalių piliečių, gavusių paslaugas pagal integracijos teikimo plano priemones,  dalis nuo visų norinčiųjų</t>
  </si>
  <si>
    <t>Užsienio šalių piliečių, dalyvavusių lietuvių kalbos kursuose, skaičius ir dalis nuo visų norinčiųjų</t>
  </si>
  <si>
    <t>asm.</t>
  </si>
  <si>
    <t>01-03</t>
  </si>
  <si>
    <t>Organizuoti  Savivaldybės veiklos funkcijų įgyvendinimą</t>
  </si>
  <si>
    <t>Patvirtintų pareigybių savivaldybės administracijoje skaičius metų pabaigoje</t>
  </si>
  <si>
    <t>Vidutiniškai vieno darbuotojo dalyvavimas mokymuose (kartais)</t>
  </si>
  <si>
    <t>I ketv. vidutiniškai vieno darbuotojo dalyvavimas mokymuose (kartais) - 0,8 karto.
II ketv. vidutiniškai vieno darbuotojo dalyvavimas mokymuose (kartais) - 2,6 karto.
III ketv. vidutiniškai vieno darbuotojo dalyvavimas mokymuose (kartais) - 0,63 karto.
IV ketv. vidutiniškai vieno darbuotojo dalyvavimas mokymuose (kartais) - 3,33 karto.</t>
  </si>
  <si>
    <t>01-03-01</t>
  </si>
  <si>
    <t>Užtikrinti Savivaldybės administracijos finansinį, ūkinį ir materialinį aptarnavimą</t>
  </si>
  <si>
    <t>Eksploatuojamų kompiuterių skaičius</t>
  </si>
  <si>
    <t>Eksploatuojamų nuosavų transporto priemonių skaičius</t>
  </si>
  <si>
    <t>01-03-01-01</t>
  </si>
  <si>
    <t>Organizuoti Savivaldybės administracijos darbą</t>
  </si>
  <si>
    <t>Valstybės karjeros tarnautojų (pareigybių)</t>
  </si>
  <si>
    <t>Darbuotojų, dirbančių pagal darbo sutartis (pareigybių)</t>
  </si>
  <si>
    <t>1.09.</t>
  </si>
  <si>
    <t>Užtikrintas savivaldybės administracijos kompiuterinės įrangos darbas</t>
  </si>
  <si>
    <t>01-03-01-02</t>
  </si>
  <si>
    <t>Organizuoti Civilinės būklės aktų registravimą</t>
  </si>
  <si>
    <t>Užtikrintas funkcijos įgyvendinimas</t>
  </si>
  <si>
    <t>01-03-01-03</t>
  </si>
  <si>
    <t>Organizuoti socialinių paslaugų suteikimą bei socialinių išmokų ir kompensacijų mokėjimą</t>
  </si>
  <si>
    <t>01-03-01-04</t>
  </si>
  <si>
    <t>Apmokėti Savivaldybės administracijos teisines išlaidas</t>
  </si>
  <si>
    <t>01-03-01-05</t>
  </si>
  <si>
    <t>Organizuoti Savivaldybės administracijos pastato, patalpų remontą ir turto įsigijimą</t>
  </si>
  <si>
    <t>Įvykdytų planuotų administracijos remonto darbų</t>
  </si>
  <si>
    <t>01-03-01-06</t>
  </si>
  <si>
    <t>Organizuoti Savivaldybės administracijos kompiuterinės ir programinės įrangos įsigijimą ir aptarnavimą</t>
  </si>
  <si>
    <t>Įsigytos kompiuterinės technikos skaičius</t>
  </si>
  <si>
    <t>Įsigytos organizacinės technikos skaičius</t>
  </si>
  <si>
    <t>Įsigytų duomenų saugyklų skaičius</t>
  </si>
  <si>
    <t>Įsigytų programinės įrangos licencijų skaičius</t>
  </si>
  <si>
    <t>I ketv. įsigyta 10 vnt.
II ketv. įsigyta 5 vnt.
III ketv.: įsigyta 18 vnt.
IV ketv.: įsigyta 450 vnt.</t>
  </si>
  <si>
    <t>01-03-01-07</t>
  </si>
  <si>
    <t>Įgyvendinti projektą „Sporto skyriaus darbuotojų mobilumo mokymosi tikslais skatinimas, siekiant užtikrinti gebėjimų stiprinimą ir plėtrą</t>
  </si>
  <si>
    <t>Kvalifikaciją užsienyje tobulinusių darbuotojų</t>
  </si>
  <si>
    <t>01-03-01-08</t>
  </si>
  <si>
    <t>Organizuoti Savivaldybės administracijos Tarptautinių ryšių koordinatoriaus reprezentacinių ir kitų išlaidų apmokėjimą</t>
  </si>
  <si>
    <t>Vykdoma pagal poreikį.</t>
  </si>
  <si>
    <t>01-03-01-09</t>
  </si>
  <si>
    <t>Organizuoti Savivaldybės administracijos Asmenų aptarnavimo skyriaus išlaidų apmokėjimą</t>
  </si>
  <si>
    <t>Įvykdyti sutartiniai įsipareigojimai</t>
  </si>
  <si>
    <t>I-IV ketvirtis: Lėšos naudojamos pagal faktines išlaidas.</t>
  </si>
  <si>
    <t>01-03-02</t>
  </si>
  <si>
    <t>Didinti Savivaldybės administracijos darbuotojų kompetencijas ir suteikti naujus įgūdžius</t>
  </si>
  <si>
    <t>Mokymų dalyvių skaičius</t>
  </si>
  <si>
    <t>01-03-03</t>
  </si>
  <si>
    <t>Užtikrinti Savivaldybės tarybos, Savivaldybės mero ir jo politinio (asmeninio) pasitikėjimo valstybės tarnautojų finansinį, ūkinį ir materialinį aptarnavimą</t>
  </si>
  <si>
    <t>Įvykusių skelbtų Tarybos, Komitetų, Komisijų posėdžių dalis</t>
  </si>
  <si>
    <t>Laiku paskelbtų ir įvykdytų Tarybos priimtų sprendimų dalis</t>
  </si>
  <si>
    <t>01-03-03-01</t>
  </si>
  <si>
    <t>Organizuoti Savivaldybės tarybos darbą</t>
  </si>
  <si>
    <t>Užtikrintas tarybos narių darbas</t>
  </si>
  <si>
    <t>01-03-03-02</t>
  </si>
  <si>
    <t>Apmokėti Mero fondo išlaidas</t>
  </si>
  <si>
    <t>Apmokėtos išlaidos</t>
  </si>
  <si>
    <t>01-03-03-03</t>
  </si>
  <si>
    <t>Organizuoti Savivaldybės mero ir jo politinio (asmeninio) pasitikėjimo valstybės tarnautojų darbą</t>
  </si>
  <si>
    <t>Mero ir Mero politinio (asmeninio) pasitikėjimo valstybės tarnautojų (pareigybių)</t>
  </si>
  <si>
    <t>01-03-04</t>
  </si>
  <si>
    <t>Užtikrinti Kontrolės ir audito tarnybos finansinį, ūkinį bei materialinį aptarnavimą</t>
  </si>
  <si>
    <t>Atliktų auditų skaičius</t>
  </si>
  <si>
    <t>Kontrolės ir audito tarnybos darbuotojų skaičius</t>
  </si>
  <si>
    <t>01-03-05</t>
  </si>
  <si>
    <t>Užtikrinti Šiaulių apskaitos centro veiklą</t>
  </si>
  <si>
    <t>Užtikrintas centralizuotos apskaitos ir viešųjų pirkimų vykdymas</t>
  </si>
  <si>
    <t>Savivaldybės BĮ/VŠĮ žaliųjų pirkimų vertės dalis, nuo visų pirkimų (proc.)</t>
  </si>
  <si>
    <t>2.03.</t>
  </si>
  <si>
    <t>Supaprastintų rezervuotų pirkimų vertės dalis nuo visų pirkimų (proc.)</t>
  </si>
  <si>
    <t>Pirkimų dalis, kuriuose pirkimų procese nustatomi socialiniai kriterijai (proc.)</t>
  </si>
  <si>
    <t>Savivaldybės BĮ/VŠĮ pirkimų, kuomet taikoma kokybės kriterijus, vertės dalis nuo visų pirkimų</t>
  </si>
  <si>
    <t>01-03-06</t>
  </si>
  <si>
    <t>Užtikrinti projektų vykdymo priežiūros ir kitas inžinerines paslaugas</t>
  </si>
  <si>
    <t>Patenkinto poreikio dėl projektų vykdymo priežiūros ir kitų inžinerinių paslaugų įgyvendinimo, dalis</t>
  </si>
  <si>
    <t>01-03-07</t>
  </si>
  <si>
    <t>Likviduoti įvykių, ekstremalių įvykių ir situacijų pasekmes (mero rezervas)</t>
  </si>
  <si>
    <t>Likviduotos įvykusių ekstremalių įvykių/situacijų pasekmės</t>
  </si>
  <si>
    <t>01-04</t>
  </si>
  <si>
    <t>Tinkamai įgyvendinti valstybines (perduotas savivaldybei) funkcijas</t>
  </si>
  <si>
    <t>Valstybės deleguotų funkcijų skaičius</t>
  </si>
  <si>
    <t>01-04-01</t>
  </si>
  <si>
    <t>Deklaruoti gyvenamąją vietą</t>
  </si>
  <si>
    <t>1.04.</t>
  </si>
  <si>
    <t>01-04-02</t>
  </si>
  <si>
    <t>Teikti duomenis Valstybės registrui</t>
  </si>
  <si>
    <t>01-04-03</t>
  </si>
  <si>
    <t>Teikti pirminę teisinę pagalbą</t>
  </si>
  <si>
    <t>01-04-04</t>
  </si>
  <si>
    <t>Registruoti civilinės būklės aktus</t>
  </si>
  <si>
    <t>01-04-05</t>
  </si>
  <si>
    <t>Tvarkyti Gyventojų registrą</t>
  </si>
  <si>
    <t>01-04-06</t>
  </si>
  <si>
    <t>Vykdyti valstybinės kalbos vartojimo kontrolę</t>
  </si>
  <si>
    <t>01-04-07</t>
  </si>
  <si>
    <t>Įgyvendinti jaunimo politiką</t>
  </si>
  <si>
    <t>01-04-08</t>
  </si>
  <si>
    <t>Tvarkyti archyvinius dokumentus</t>
  </si>
  <si>
    <t>01-04-09</t>
  </si>
  <si>
    <t>Administruoti mobilizaciją</t>
  </si>
  <si>
    <t>01-04-10</t>
  </si>
  <si>
    <t>Organizuoti civilinę saugą</t>
  </si>
  <si>
    <t>01-04-11</t>
  </si>
  <si>
    <t>Vykdyti žemės ūkio funkcijas</t>
  </si>
  <si>
    <t>01-04-12</t>
  </si>
  <si>
    <t>Administruoti Užimtumo didinimo programą</t>
  </si>
  <si>
    <t>01-04-13</t>
  </si>
  <si>
    <t>Administruoti socialines pašalpas</t>
  </si>
  <si>
    <t>01-04-14</t>
  </si>
  <si>
    <t>Administruoti socialinę paramą mokiniams</t>
  </si>
  <si>
    <t>01-04-15</t>
  </si>
  <si>
    <t>Administruoti socialinę globą</t>
  </si>
  <si>
    <t>01-04-16</t>
  </si>
  <si>
    <t>Administruoti būsto nuomos ar išperkamosios būsto nuomos mokesčių dalies kompensacijas</t>
  </si>
  <si>
    <t>01-04-17</t>
  </si>
  <si>
    <t>Užtikrinti informacijos apie neveiksnių asmenų būklę persvarstymą</t>
  </si>
  <si>
    <t>Komisijos priimtų sprendimų kreiptis į teismą skaičius</t>
  </si>
  <si>
    <t>Priimtas 1 sprendimas kreiptis į teismą.</t>
  </si>
  <si>
    <t>Komisijos inicijuotų asmens būklės peržiūrėjimų skaičius</t>
  </si>
  <si>
    <t>Komisijos inicijuotų asmens būklės peržiūrėjimų skaičius: I ketv. - 71, II ketv. - 89, III ketv. - 79, IV ketv. - 104. Viso peržiūrėjimų - 343.</t>
  </si>
  <si>
    <t>01-04-18</t>
  </si>
  <si>
    <t>Organizuoti tarpinstitucinio bendradarbiavimo koordinatoriaus darbą</t>
  </si>
  <si>
    <t>01-04-19</t>
  </si>
  <si>
    <t>Atlikti erdvinių duomenų rinkinio tvarkymo funkciją</t>
  </si>
  <si>
    <t>Atlikta tvarkymo funkcija</t>
  </si>
  <si>
    <t>01-04-20</t>
  </si>
  <si>
    <t>Vykdyti valstybinės žemės, perduotos Vyriausybės nutarimu, patikėtinio funkciją</t>
  </si>
  <si>
    <t>01-04-21</t>
  </si>
  <si>
    <t>Asmenų su negalia reikalų koordinatoriaus pareigybės išlaikymas</t>
  </si>
  <si>
    <t>01-05</t>
  </si>
  <si>
    <t>Užtikrinti finansinių įsipareigojimų vykdymą</t>
  </si>
  <si>
    <t>Savivaldybės skola (proc. nuo pajamų be dotacijų)</t>
  </si>
  <si>
    <t>01-05-01</t>
  </si>
  <si>
    <t>Vykdyti paskolų grąžinimą, palūkanų už paskolas mokėjimą ir kitus finansinius  įsipareigojimus</t>
  </si>
  <si>
    <t>Pasirašytų paskolų sutarčių</t>
  </si>
  <si>
    <t>Įvykdyti skoliniai įsipareigojimai</t>
  </si>
  <si>
    <t>01-05-02</t>
  </si>
  <si>
    <t>Vykdyti išmokėtos dotacijų dalies savivaldybei grąžinimą</t>
  </si>
  <si>
    <t>01-05-02-01</t>
  </si>
  <si>
    <t>Vykdyti projekto „Sąlygų sukūrimas verslo plėtrai ir investicijų pritraukimui, įrengiant viešąją susisiekimo infrastruktūrą Šiaulių mieste“ išmokėtos dotacijos dalies grąžinimą“</t>
  </si>
  <si>
    <t>01-05-02-02</t>
  </si>
  <si>
    <t>Vykdyti projekto „Lopšelio darželio "Kregždutė" modernizavimas“ išmokėtos dotacijos dalies grąžinimą</t>
  </si>
  <si>
    <t>01-05-02-03</t>
  </si>
  <si>
    <t>Vykdyti projekto „P. Višinskio gatvės viešųjų erdvių pritaikymas jaunimo poreikiams“ išmokėtos dotacijos dalies grąžinimą</t>
  </si>
  <si>
    <t>01-05-02-04</t>
  </si>
  <si>
    <t>Vykdyti projekto „Viešųjų erdvių ir gyvenamosios aplinkos gerinimas teritorijoje, besiribojančioje su Draugystės prospektu, Vytauto gatve, P. Višinskio gatve ir Dubijos gatve“ išmokėtos dotacijos dalies grąžinimą</t>
  </si>
  <si>
    <t>01-05-02-05</t>
  </si>
  <si>
    <t>Vykdyti projekto „Socialinio būsto fondo plėtra Šiaulių miesto savivaldybėje“ išmokėtos dotacijos dalies grąžinimą</t>
  </si>
  <si>
    <t>01-05-02-06</t>
  </si>
  <si>
    <t>Vykdyti projekto „Darnaus judumo priemonių diegimas Šiaulių mieste“ išmokėtos dotacijos dalies grąžinimą</t>
  </si>
  <si>
    <t>01-05-02-07</t>
  </si>
  <si>
    <t>Vykdyti projekto „Šiaulių miesto Centrinio ir Didždvario parkų bei jų prieigų sutvarkymas“ išmokėtos dotacijos dalies grąžinimą</t>
  </si>
  <si>
    <t>01-05-02-08</t>
  </si>
  <si>
    <t>Vykdyti projekto „Talkšos ežero pakrantės plėtra“ išmokėtos dotacijos dalies grąžinimą</t>
  </si>
  <si>
    <t>01-05-02-09</t>
  </si>
  <si>
    <t>Vykdyti projekto „Vilniaus gatvės pėsčiųjų bulvaro ir amfiteatro rekonstrukcija“ išmokėtos dotacijos dalies grąžinimą</t>
  </si>
  <si>
    <t>01-05-03</t>
  </si>
  <si>
    <t>Užtikrinti Biudžetinių įstaigų finansinį, ūkinį aptarnavimą</t>
  </si>
  <si>
    <t>01-05-03-01</t>
  </si>
  <si>
    <t>Apmokėti civilinės atsakomybės draudimo paslaugas Savivaldybei pavaldžioms švietimo, sporto ir socialinių paslaugų įstaigoms</t>
  </si>
  <si>
    <t>Apdraustų biudžetinių įstaigų civilinės atsakomybės draudimu skaičius</t>
  </si>
  <si>
    <t>01-05-03-02</t>
  </si>
  <si>
    <t>Užtikrinti statinių inžinerinių avarijų šalinimą Šiaulių miesto savivaldybės įstaigose</t>
  </si>
  <si>
    <t>Įvykdyti švietimo įstaigų statinių inžinerinių sistemų avarijų ir jų padarinių šalinimo darbai</t>
  </si>
  <si>
    <t>01-06</t>
  </si>
  <si>
    <t>Užtikrinti Savivaldybei nuosavybės teise priklausančio turto tinkamą įregistravimą,  eksploatavimą, renovavimą, remontą ir  saugojimą</t>
  </si>
  <si>
    <t>Teisiškai sutvarkytų ir  įregistruotų  nekilnojamojo turto sk.  nuo viso turimo turto, proc.</t>
  </si>
  <si>
    <t>01-06-01</t>
  </si>
  <si>
    <t>Apmokėti pastatų, patalpų ir inžinerinių statinių vertinimo, kadastrinių matavimų atlikimo, teisines registracijos išlaidas</t>
  </si>
  <si>
    <t>Nekilnojamojo turto registre teisiškai įregistruoto turto skaičius</t>
  </si>
  <si>
    <t>01-06-02</t>
  </si>
  <si>
    <t>Padengti Privatizavimo programos vykdymo išlaidas</t>
  </si>
  <si>
    <t>Padengtos išlaidos</t>
  </si>
  <si>
    <t>01-06-03</t>
  </si>
  <si>
    <t>Apmokėti turto, kuris neturi savininko (ar savininkas nežinomas) laikinosios priežiūros ir laikinųjų apsaugos priemonių įrengimo arba griovimo išlaidas</t>
  </si>
  <si>
    <t>Prižiūrimų ir nugriautų objektų skaičius</t>
  </si>
  <si>
    <t>01-06-04</t>
  </si>
  <si>
    <t>Apmokėti Savivaldybei nuosavybės teise priklausančių pastatų, patalpų ir inžinerinių statinių  draudimo, apsaugos, remonto, komunalines ir kitas išlaidas</t>
  </si>
  <si>
    <t>Apmokėtos eksploatavimo išlaidos</t>
  </si>
  <si>
    <t>01-06-05</t>
  </si>
  <si>
    <t>Apmokėti Savivaldybei nuosavybės teise priklausančio nekilnojamojo turto renovacijos išlaidas</t>
  </si>
  <si>
    <t>Apmokėtos renovacijos išlaidos</t>
  </si>
  <si>
    <t>01-06-06</t>
  </si>
  <si>
    <t>Užtikrinti skolų išieškojimą ir skolininkų iškeldinimą iš Savivaldybei nuosavybės teise priklausančių būstų</t>
  </si>
  <si>
    <t>Įvykdytų teismų sprendimų</t>
  </si>
  <si>
    <t>01-06-07</t>
  </si>
  <si>
    <t>Apmokėti Savivaldybei nuosavybės teise priklausančių būstų eksploatavimo, administravimo, kaupimo, nuomos mokesčio surinkimo, komunalinių mokesčių, remonto išlaidas</t>
  </si>
  <si>
    <t>Suremontuotų būstų skaičius</t>
  </si>
  <si>
    <t>Būstų, kuriems apmokamos eksploatavimo išlaidos skaičius</t>
  </si>
  <si>
    <t>01-06-08</t>
  </si>
  <si>
    <t>Kompensuoti daugiabučių namų savininkų bendrijų steigimo išlaidas</t>
  </si>
  <si>
    <t>Bendrijų, kurioms padengtos steigimo išlaidos, skaičius</t>
  </si>
  <si>
    <t>01-06-09</t>
  </si>
  <si>
    <t>Kompensuoti būsto nuomos ar išperkamosios būsto nuomos mokesčių dalį</t>
  </si>
  <si>
    <t>Asmenų ir šeimų, gaunančių būsto nuomos mokesčio dalies kompensaciją, skaičius</t>
  </si>
  <si>
    <t>I ketvirtis: buvo apmokėtas 21 prašymas dėl būsto nuomos mokesčio dalies kompensacijos.
II ketvirtis: buvo apmokėti 27 prašymai dėl būsto nuomos mokesčio dalies kompensacijos.
III ketvirtis: buvo apmokėti 28 prašymai dėl būsto nuomos mokesčio dalies kompensacijos.
IV ketvirtis: buvo apmokėti 29 prašymai dėl būsto nuomos mokesčio dalies kompensacijos.</t>
  </si>
  <si>
    <t>Rinkoje nuomojamų būstų, kuriems kompensuojamas nuomos mokestis, skaičius</t>
  </si>
  <si>
    <t>02</t>
  </si>
  <si>
    <t>Kultūros programa</t>
  </si>
  <si>
    <t>02-01</t>
  </si>
  <si>
    <t>Stiprinti miesto kultūrinio gyvenimo aktyvumą</t>
  </si>
  <si>
    <t>Bibliotekų lankytojų skaičius</t>
  </si>
  <si>
    <t>Muziejų lankytojų skaičius</t>
  </si>
  <si>
    <t>Galerijų lankytojų skaičius</t>
  </si>
  <si>
    <t>Teatrų lankytojų skaičius</t>
  </si>
  <si>
    <t>Koncertų salių lankytojų skaičius</t>
  </si>
  <si>
    <t>Kultūros centrų lankytojų skaičius</t>
  </si>
  <si>
    <t>Šiaulių kultūros centro lankytojų skaičius - 251307.</t>
  </si>
  <si>
    <t>02-01-01</t>
  </si>
  <si>
    <t>Užtikrinti kultūros įstaigų veiklą</t>
  </si>
  <si>
    <t>Surengtų parodų skaičius</t>
  </si>
  <si>
    <t>Surengtų renginių skaičius</t>
  </si>
  <si>
    <t>Suorganizuoti 2 357 renginiai, iš jų suorganizavo: 904 - Šiaulių kultūros centras, 402 - Šiaulių dailės galerija, 208 - Šiaulių miesto koncertinė įstaiga „Saulė“, 843 - Šiaulių miesto savivaldybės viešoji biblioteka.</t>
  </si>
  <si>
    <t>Įgyvendintų projektų skaičius</t>
  </si>
  <si>
    <t>Įvykdyti 23 projektai, iš jų įvykdė: 6 - Šiaulių kultūros centras, 4 - Šiaulių miesto savivaldybės viešoji biblioteka, 2 - Šiaulių miesto koncertinė įstaiga „Saulė“, 11 - Šiaulių dailės galerija.</t>
  </si>
  <si>
    <t>Surengtų edukacijų skaičius</t>
  </si>
  <si>
    <t>Surengtos 1 065 edukacijos, iš jų surengė: 421 - Šiaulių kultūros centras, 254 - Šiaulių dailės galerija, 2 - Šiaulių miesto koncertinė įstaiga „Saulė“, 388 - Šiaulių miesto savivaldybės viešoji biblioteka.</t>
  </si>
  <si>
    <t>2.01.</t>
  </si>
  <si>
    <t>Surengtų ekskursijų skaičius</t>
  </si>
  <si>
    <t>Šiaulių dailės galerija surengė 6 ekskursijas.</t>
  </si>
  <si>
    <t>Lankytojų (renginių, parodų, projektų ir kt. lankytojų, žiūrovų, klausytojų, skaitytojų, paslaugų vartotojų ir pan.) skaičius</t>
  </si>
  <si>
    <t>Sulaukta 564 623 renginių lankytojų, iš jų sulaukė: 251307 - Šiaulių kultūros centras, 64226 - Šiaulių dailės galerija, 105648 - Šiaulių miesto koncertinė įstaiga „Saulė“, 143442 - Šiaulių miesto savivaldybės viešoji biblioteka.</t>
  </si>
  <si>
    <t>Dalyvių (renginyje / parodoje / koncerte / projekte / festivalyje ir pan. dalyvavusių kūrėjų, atlikėjų, organizatorių, savanorių ir kt.) skaičius</t>
  </si>
  <si>
    <t>Sulaukta 29 144 renginių dalyvių, iš jų sulaukė: 19668 - Šiaulių kultūros centras, 1035 - Šiaulių dailės galerija, 8216 - Šiaulių miesto koncertinė įstaiga „Saulė“, 225 - Šiaulių miesto savivaldybės viešoji biblioteka.</t>
  </si>
  <si>
    <t>Edukacijų dalyvių skaičius</t>
  </si>
  <si>
    <t>Sulaukta 18 672 edukacijų dalyvių, iš jų sulaukė: 5515 - Šiaulių kultūros centras, 5948 - Šiaulių dailės galerija, 457 - Šiaulių miesto koncertinė įstaiga „Saulė“, 6752 - Šiaulių miesto savivaldybės viešoji biblioteka.</t>
  </si>
  <si>
    <t>Ekskursijų dalyvių skaičius</t>
  </si>
  <si>
    <t>Šiaulių dailės galerija sulaukė 331 ekskursijų dalyvio.</t>
  </si>
  <si>
    <t>02-01-02</t>
  </si>
  <si>
    <t>Skatinti Šiaulių miesto kultūros ir meno įvairovę, sklaidą, prieinamumą</t>
  </si>
  <si>
    <t>Finansuotų kultūros projektų skaičius</t>
  </si>
  <si>
    <t>02-01-03</t>
  </si>
  <si>
    <t>Skatinti meno kūrėjus</t>
  </si>
  <si>
    <t>Įteiktų premijų ir stipendijų skaičius</t>
  </si>
  <si>
    <t>02-01-04</t>
  </si>
  <si>
    <t>Užtikrinti reprezentacinių Šiaulių miesto festivalių tęstinumą, jų ilgalaikiškumą, dalinį finansavimą, skatinti naujų idėjų, raiškos formų atsiradimą ir raidą</t>
  </si>
  <si>
    <t>Finansuotų festivalių skaičius</t>
  </si>
  <si>
    <t>Kultūros įstaigų suorganizuotų renginių kartu su jaunaisiais meno kūrėjais skaičius</t>
  </si>
  <si>
    <t>Kultūros įstaigos suorganizavo 37 renginius kartu su jaunaisiais meno kūrėjais. Iš jų suorganizavo: 7 - Šiaulių kultūros centras, 17 - Šiaulių dailės galerija, 9 - Šiaulių miesto koncertinė įstaiga „Saulė“, 4 - Šiaulių miesto savivaldybės viešoji biblioteka.</t>
  </si>
  <si>
    <t>Atnaujintų ir / ar naujų kultūros paslaugų skaičius tautinėms mažumoms pavaldžiose kultūros įstaigose</t>
  </si>
  <si>
    <t>Įgyvendintų kultūros įstaigų projektų, skirtų socialinę ir kultūrinę atskirtį patiriantiems gyventojams, skaičius</t>
  </si>
  <si>
    <t>Kultūros įstaigos įgyvendino 21 projektą, skirtą socialinę ir kultūrinę atskirtį patiriantiems gyventojams. Iš jų: 7 - Šiaulių kultūros centras, 10 - Šiaulių dailės galerija, 3 - Šiaulių miesto koncertinė įstaiga „Saulė“, 1 - Šiaulių miesto savivaldybės viešoji biblioteka.</t>
  </si>
  <si>
    <t>02-01-05</t>
  </si>
  <si>
    <t>Koordinuoti valstybinių švenčių, atmintinų dienų paminėjimą, svarbių renginių, plenerų organizavimą, puoselėti tautines tradicijas</t>
  </si>
  <si>
    <t>02-01-05-01</t>
  </si>
  <si>
    <t>Koordinuoti valstybinių švenčių, atmintinų dienų paminėjimą, svarbių renginių organizavimą</t>
  </si>
  <si>
    <t>Surengtų miesto, valstybinių, kalendorinių švenčių ir atmintinų dienų minėjimų skaičius</t>
  </si>
  <si>
    <t>2025 m. surengta: Laisvės gynėjų dienos minėjimas, Vasario 16-osios renginiai (koncertai, 2 parodos, akcija „Nepriklausomybės maršrutai“, iškilminga Lietuvos valstybės vėliavos pakėlimo ceremonija); Užgavėnės (paroda „Baisiai graži Morė“ ir šventinis koncertas); Kovo 11-osios renginiai (koncertas, 3 parodos bei poezijos skaitymai, Trispalvės žygis, iškilminga Lietuvos valstybės vėliavos pakėlimo ceremonija, renginys „Laisvės kodas - 35“); Lietuvos žydų gelbėtojų dienos renginys; Pasaulinė meno diena KĮ „Saulė“; šventė „Aš- mažasis šiaulietis“; Gedulo ir vilties dienos minėjimas geležinkelio rampoje ir koncertas Šv. apaštalų Petro ir Pauliaus katedroje; Liepos 6-osios renginiai:  Lietuvos valstybės vėliavos pakėlimo ceremonija  ir šventiniai koncertai (L. V. Beethoveno 7-oji simfonija ir kt.); miesto šventė „Šiaulių dienos“; Baltijos kelio renginių ciklas; Tarptautinės pagyvenusių žmonių dienos renginiai KĮ „Saulė“ ir Šiaulių kultūros centre; Kultūros ir meno premijų įteikimo renginys KĮ „Saulė“; kalėdinių ir naujamečių renginių ciklas Prisikėlimo a. ir KĮ „Saulė“.</t>
  </si>
  <si>
    <t>02-01-05-02</t>
  </si>
  <si>
    <t>Įgyvendinti Tolygios kultūrinės raidos programos projektus, papildomas kultūros priemones</t>
  </si>
  <si>
    <t>Įgyvendintų Tolygios kultūrinės raidos programos projektų, papildomų kultūros priemonių skaičius</t>
  </si>
  <si>
    <t>02-01-05-03</t>
  </si>
  <si>
    <t>Organizuoti reprezentacinių prekių ir kultūros paslaugų įsigijimą</t>
  </si>
  <si>
    <t>Įsigytų atminimo ženklų sukūrimo ir gamybos paslaugų skaičius</t>
  </si>
  <si>
    <t>02-01-05-04</t>
  </si>
  <si>
    <t>Suorganizuotų Europos paveldo dienų renginių ciklų skaičius</t>
  </si>
  <si>
    <t>Rugsėjį įvyko Europos paveldo dienų renginių ciklas tema „Architektūrinis paveldas: langas į praeitį, durys į ateitį“. Suorganizuota per 40 priemonės renginių kartu su partneriais Šiaulių „Aušros“ muziejumi, UAB „MV Group Production“ Gubernija, „Valerijono“ vaistine, Šiaulių apygardos teismo Teismų istorijos muziejumi, Šiaulių m. savivaldybės viešąja biblioteka, Lietuvos architektų sąjungos Šiaulių skyriumi (specialios ekskursijos, pasivaikščiojimai su miesto architektais ir muziejininkais, edukacijos bei teminės viktorinos).</t>
  </si>
  <si>
    <t>02-01-07</t>
  </si>
  <si>
    <t>Įgyvendinti kultūros priemones miesto įvaizdžiui gerinti</t>
  </si>
  <si>
    <t>Įgyvendintų kultūros priemonių miesto įvaizdžiui gerinti skaičius</t>
  </si>
  <si>
    <t>02-01-08</t>
  </si>
  <si>
    <t>Plėtoti kultūros paveldo apskaitą</t>
  </si>
  <si>
    <t>Įgyvendintų kultūros paveldo apskaitos priemonių skaičius</t>
  </si>
  <si>
    <t>02-02</t>
  </si>
  <si>
    <t>Išvystyti gyventojų poreikius atitinkančią kultūros įstaigų infrastruktūrą</t>
  </si>
  <si>
    <t>Kultūros įstaigų pastatų, kurie yra geros būklės, skaičius nuo visų kultūros įstaigų pastatų</t>
  </si>
  <si>
    <t>02-02-01</t>
  </si>
  <si>
    <t>Atnaujinti (modernizuoti) Šiaulių miesto koncertinę įstaigą „Saulė" (Tilžės g. 140), rekonstruoti pastatą</t>
  </si>
  <si>
    <t>Parengta techninė dokumentacija</t>
  </si>
  <si>
    <t>Atlikta senosios pastato dalies administracinių ir techninių patalpų remonto darbų dalis</t>
  </si>
  <si>
    <t>Atliktas senosios pastato dalies paprastasis administracinių patalpų remontas: pakeistos grindys, durys, langai, sumontuotos gipsinės pertvaros ir lubos, nuglaistytos ir nudažytos sienos.</t>
  </si>
  <si>
    <t>Atlikta pastato fasado (nuo Tilžės g.) ir laiptų remonto dalis</t>
  </si>
  <si>
    <t>02-02-03</t>
  </si>
  <si>
    <t>Didinti Šiaulių miesto kultūros centro „Laiptų galerija“ pastato (Žemaitės g. 83) funkcionalumą“</t>
  </si>
  <si>
    <t>Atlikta planuotų darbų dalis</t>
  </si>
  <si>
    <t>02-02-04</t>
  </si>
  <si>
    <t>Atnaujinti (modernizuoti) Šiaulių dailės galerijos pastatą / patalpas (Vilniaus g. 245)</t>
  </si>
  <si>
    <t>02-02-05</t>
  </si>
  <si>
    <t>Didinti Šiaulių kultūros centro Rėkyvos kultūros namų funkcionalumą</t>
  </si>
  <si>
    <t>Atlikta teritorijos sutvarkymo darbų dalis</t>
  </si>
  <si>
    <t>Atlikti kompleksiniai Rėkyvos kultūros namų (Energetikų g. 7) teritorijos tvarkymo darbai: demontuotos senos trinkelės ir asfaltuoti takai, įrengtos naujos trinkelių dangos, suformuotos pėsčiųjų judėjimo zonos; pašalintas senas krepšinio aikštelės pagrindas ir atkurta želdinta veja; demontuoti senieji betoniniai elementai ir fontanas; atnaujinti mažosios architektūros elementai – įrengti nauji suoliukai, informacinis stendas, suformuota eglės statymo vieta, įrengtas teritorijos apšvietimas ir vienas tvoros segmentas.</t>
  </si>
  <si>
    <t>Atlikta daugiafunkcės erdvės įkūrimo darbų dalis</t>
  </si>
  <si>
    <t>Įsigyta ir įdiegta apšvietimo, įgarsinimo įranga, įsigyti baldai personalo darbo vietoms sukurti, poilsio zonai, kameriniams renginiams. Įrengtos oro kondicionavimo sistema Koncertų salėje ir rūbų kabinimo sistema.</t>
  </si>
  <si>
    <t>Atlikta energinio efektyvumo didinimo rangos darbų dalis</t>
  </si>
  <si>
    <t>Įrengta nuogrinda, apšiltintas pastato cokolis, fasadai ir stogas, įrengtas žmonių su negalia liftas, laiptinis keltuvas ir du keltuvai patekimui ant scenos, atliktas vidaus patalpų apdailos remontas, įrengta gaisrinė ir apsaugos signalizacija, pakeisti langai ir durys, pertvarkytos šildymo ir vėdinimo sistemos, pakeistos vandentiekio ir nuotekų šalinimo sistemos, pažymėta žmonių su negalia automobilių stovėjimo vieta.</t>
  </si>
  <si>
    <t>02-02-06</t>
  </si>
  <si>
    <t>Modernizuoti kultūros įstaigų pastatus / statinius / patalpas</t>
  </si>
  <si>
    <t>02-02-06-01</t>
  </si>
  <si>
    <t>Vykdyti kultūros įstaigų infrastruktūros pagerinimo darbus</t>
  </si>
  <si>
    <t>Įrengtas neįgaliųjų pandusas Šiaulių miesto savivaldybės viešosios bibliotekos Lieporių filiale (Tilžės g. 36 Šiauliai)</t>
  </si>
  <si>
    <t>Praplatinti pravažiavimo angokraščiai, įrengtas pandusas, pakeistos  lauko ir vidaus durys pritaikant neįgaliesiems, WC patalpos pritaikytos neįgaliesiems.</t>
  </si>
  <si>
    <t>02-02-06-02</t>
  </si>
  <si>
    <t>Didinti Šiaulių kultūros centro funkcionalumą – stiprinti lauko įrangos bazę</t>
  </si>
  <si>
    <t>Įsigytas lauko įgarsinimo ir apšvietimo įrangos komplektas</t>
  </si>
  <si>
    <t>02-02-06-03</t>
  </si>
  <si>
    <t>Įgyvendinti projektą „Sienų sujungimas: socialinę įtrauktį skatinančios bibliotekos Latvijoje ir Lietuvoje“</t>
  </si>
  <si>
    <t>Įkurta išmanioji erdvė Šiaulių miesto savivaldybės viešosios bibliotekos Lieporių filiale (Tilžės g. 36 Šiauliai)</t>
  </si>
  <si>
    <t>Įsigyta įranga ir programos STEAM veikloms, skirtoms įvairią negalią turintiems asmenims.  Taip pat įkurtas poilsio kampelis senjorams su 4 sėdimomis vietomis, staliukais, šviestuvais. Projektas bus tęsiamas 2026 m.</t>
  </si>
  <si>
    <t>02-02-07</t>
  </si>
  <si>
    <t xml:space="preserve">Sudaryti sąlygas saugoti, įveiklinti miesto nekilnojamąjį kultūros paveldą </t>
  </si>
  <si>
    <t>Suprojektuotų, pagamintų ir sumontuotų informacinių stovų (stendų), prie Šiaulių m. memorialinių objektų – neveikiančių kapinių, skaičius</t>
  </si>
  <si>
    <t>kompl.</t>
  </si>
  <si>
    <t>Įvykdyti Antrojo pasaulinio karo Sovietų Sąjungos karių palaikų perkėlimo darbus</t>
  </si>
  <si>
    <t>03</t>
  </si>
  <si>
    <t>Aplinkos apsaugos programa</t>
  </si>
  <si>
    <t>03-01</t>
  </si>
  <si>
    <t>Mažinti aplinkos taršą ir kurti miesto ekosistemą, siekiant didinti atsparumą klimato kaitos padariniams</t>
  </si>
  <si>
    <t>Atsinaujinančių išteklių dalis pagal savivaldybės energijos balansą</t>
  </si>
  <si>
    <t>Gyventojų dalis, kurių būstai veikiami padidinto triukšmo lygio, nuo visų gyventojų skaičiaus</t>
  </si>
  <si>
    <t>Kietųjų dalelių dydis 1m3</t>
  </si>
  <si>
    <t>mg</t>
  </si>
  <si>
    <t>Bendras viešųjų atskirųjų želdynų plotas, tenkantis vienam miesto gyventojui</t>
  </si>
  <si>
    <t>kv.m.</t>
  </si>
  <si>
    <t>03-01-01</t>
  </si>
  <si>
    <t>Užtikrinti Šiaulių municipalinės aplinkos tyrimų laboratorijos veiklą</t>
  </si>
  <si>
    <t>Atlikta aplinkos stebėsena ir parengta ataskaita</t>
  </si>
  <si>
    <t>Patobulinta aplinkos monitoringo sistema</t>
  </si>
  <si>
    <t>03-01-02</t>
  </si>
  <si>
    <t>Išsaugoti biologinę įvairovę</t>
  </si>
  <si>
    <t>1.11.</t>
  </si>
  <si>
    <t>Įrengtų želdinių juostų šalia gatvių, pėsčiųjų ir dviračių takų ilgis</t>
  </si>
  <si>
    <t>m</t>
  </si>
  <si>
    <t>Įregistruotų atskirųjų želdynų sklypų plotas</t>
  </si>
  <si>
    <t>ha</t>
  </si>
  <si>
    <t>Prižiūrėtas plotas, kuriame naikinamas Sosnovskio barštis</t>
  </si>
  <si>
    <t>m2</t>
  </si>
  <si>
    <t>Pasodintų želdinių skaičius</t>
  </si>
  <si>
    <t>Dėl paukščių saugumo įrengtos apsaugos ant elektros stulpų atramų</t>
  </si>
  <si>
    <t>03-01-03</t>
  </si>
  <si>
    <t>Vykdyti želdinių ir miškų priežiūrą</t>
  </si>
  <si>
    <t>Užtikrinta želdinių priežiūra (genėjimas, atžalų šalinimas, kelmų sutvarkymas, laistymas, tręšimas, kaštonų lapų surinkimas), pagal skirtą finansavimą</t>
  </si>
  <si>
    <t>03-01-04</t>
  </si>
  <si>
    <t>Vykdyti paviršinių vandens telkinių ir lietaus nuotekų sistemos priežiūrą</t>
  </si>
  <si>
    <t>Sutvarkytų lietaus sistemos griovių skaičius</t>
  </si>
  <si>
    <t>Inventorizuotų griovių, kadastrinių matavimų įregistravimų NTR dalis nuo visų griovių</t>
  </si>
  <si>
    <t>Išvalytų vandens telkinių pakrančių plotas nuo perteklinių vandens augalų</t>
  </si>
  <si>
    <t>03-01-05</t>
  </si>
  <si>
    <t>Įgyvendinti aplinkos oro kokybės valdymo programos priemones, vykdyti aplinkos kokybės stebėseną</t>
  </si>
  <si>
    <t>Išvalyta gatvių nuo pavasarinio purvo dėl pakeltosios taršos</t>
  </si>
  <si>
    <t>km</t>
  </si>
  <si>
    <t>1.12.</t>
  </si>
  <si>
    <t>Įdiegta mažos taršos zonos dalis nuo visos zonos</t>
  </si>
  <si>
    <t>Žvyruotų gatvių ilgis, kurios apdorojamos dulkėtumą mažinančiomis medžiagomis</t>
  </si>
  <si>
    <t>Parengta aplinkos stebėsenos ataskaita</t>
  </si>
  <si>
    <t>03-01-06</t>
  </si>
  <si>
    <t>Likviduoti pavojingus radinius ir ekologinių avarijų padarinius</t>
  </si>
  <si>
    <t>Likviduotų radinių ir avarijų dalis nuo visų reikiamų likviduoti</t>
  </si>
  <si>
    <t>03-01-07</t>
  </si>
  <si>
    <t>Įgyvendinti gyvūnų gerovės priemones</t>
  </si>
  <si>
    <t>Suremontuotų ir prižiūrėtų šunų vedžiojimo ir kačių šėrimo aikštelių skaičius</t>
  </si>
  <si>
    <t>Kompensuotų veterinarinių paslaugų skaičius</t>
  </si>
  <si>
    <t>03-01-08</t>
  </si>
  <si>
    <t>Didinti gyventojų ir organizacijų supratimą apie žiedinę ekonomiką ir skatinti sąmoningumą, siekiant gyventi tvariau</t>
  </si>
  <si>
    <t>Paremtų NVO projektų skaičius</t>
  </si>
  <si>
    <t>Įsigytų leidinių skaičius</t>
  </si>
  <si>
    <t>4 ketv. Įsigytos 9 prenumeratos laikraščio „Žaliasis pasaulis“ Šiaulių miesto viešosioms bibliotekoms. Gamintojų ir importuotojų asociacija „Gamtos ateitis“ Šiaulių miesto savivaldybei nemokamai skyrė 165 vnt. metodinės–edukacinės medžiagos rinkinių „Rinkis atsakingai. Rūšiuok“. Taip pat pakuočių atliekų tvarkymo organizacija „Žaliasis taškas“ savivaldybei skyrė nemokamai 1000 vnt. ikimokyklinio amžiaus vaikams rūšiavimo užduočių rinkinių (Šiaulių miesto savivaldybė išdalino švietimo ir ugdymo įstaigoms).</t>
  </si>
  <si>
    <t>Suorganizuotų renginių (Žemės diena, Europos judumo savaitė) skaičius</t>
  </si>
  <si>
    <t>Įgyvendintų visuomenės švietimo ir informavimo priemonių skaičius</t>
  </si>
  <si>
    <t>03-01-09</t>
  </si>
  <si>
    <t>Įgyvendinti projektą „Apsauga nuo invazinių augalų rūšių, siekiant išsaugoti biologinę įvairovę"</t>
  </si>
  <si>
    <t>Atlikta invazinių rūšių naikinimo paslauga</t>
  </si>
  <si>
    <t>03-01-10</t>
  </si>
  <si>
    <t>Įgyvendinti projektą „Atsparios ir ekologiškos aplinkos kūrimas Šiauliuose ir Liepojoje"</t>
  </si>
  <si>
    <t>Parengta žalinimo plano</t>
  </si>
  <si>
    <t>II ketv. Vyko įvadiniai susitikimai virtualiu būdu.
III ketv. vyko parengiamieji darbai žalinimo plano pirkimui, parengta bendra techninė specifikacija
IV ketv. įvyko žalinimo plano parengimo paslaugos pirkimas, tačiau 2025 m. nesudaryta paslaugų teikimo sutartis, kadangi ilgai užtruko pateiktų dokumentų vertinimas.</t>
  </si>
  <si>
    <t>03-01-11</t>
  </si>
  <si>
    <t>Įgyvendinti projektą  „Šiaulių miesto savivaldybės miškų išvalymo nuo buitinių, statybinių ir kitų atliekų, taip pat menkavertės, invazinės augalijos“</t>
  </si>
  <si>
    <t>Surinkta ir išvežta atliekų</t>
  </si>
  <si>
    <t>t</t>
  </si>
  <si>
    <t>03-01-12</t>
  </si>
  <si>
    <t>Vykdyti vandentiekio ir nuotekų inžinerinės infrastruktūros plėtrą</t>
  </si>
  <si>
    <t>Įrengta nuotekų tinklų nuo Bačiūnų g. iki Bačiūnų g. 58 F.</t>
  </si>
  <si>
    <t>03-02</t>
  </si>
  <si>
    <t>Taikyti žiedinės ekonomikos principus komunalinių atliekų tvarkyme</t>
  </si>
  <si>
    <t>Sąvartynuose šalinamų komunalinių atliekų dalis nuo visų susidariusių komunalinių atliekų</t>
  </si>
  <si>
    <t>Atliekų, tenkančių vienam gyventojui, kiekis</t>
  </si>
  <si>
    <t>kg</t>
  </si>
  <si>
    <t>03-02-01</t>
  </si>
  <si>
    <t>Skatinti komunalinių atliekų rūšiuojamąjį surinkimą</t>
  </si>
  <si>
    <t>03-02-01-01</t>
  </si>
  <si>
    <t>Administruoti vietinę rinkliavą už atliekų tvarkymą (ŠRATC)</t>
  </si>
  <si>
    <t>Išrūšiuotų (atskirai surinktų), atliekų dalis nuo visų komunalinių atliekų</t>
  </si>
  <si>
    <t>03-02-01-02</t>
  </si>
  <si>
    <t>Surinkti komunalines atliekas iš atliekų turėtojų</t>
  </si>
  <si>
    <t>Surinkta komunalinių atliekų</t>
  </si>
  <si>
    <t>03-02-01-03</t>
  </si>
  <si>
    <t>Šalinti (apdoroti) komunalines atliekas</t>
  </si>
  <si>
    <t>Sutvarkyta komunalinių atliekų (pašalinta/apdorota)</t>
  </si>
  <si>
    <t>03-02-01-04</t>
  </si>
  <si>
    <t>Kompensuoti fiziniams asmenims asbesto turinčių gaminių atliekų šalinimą</t>
  </si>
  <si>
    <t>Kompensuota už asbesto gaminių šalinimą</t>
  </si>
  <si>
    <t>Surinkto asbesto kiekis</t>
  </si>
  <si>
    <t>04</t>
  </si>
  <si>
    <t>Urbanistinės plėtros ir infrastruktūros programa</t>
  </si>
  <si>
    <t>04-01</t>
  </si>
  <si>
    <t>Kompleksiškai planuoti gyvybingą ir nuoseklią miesto struktūrą</t>
  </si>
  <si>
    <t>Kompleksiniais teritorijų planavimo dokumentais naujai suplanuotų teritorijų bendras plotas, palyginti su bendru miesto urbanizuotų teritorijų plotu</t>
  </si>
  <si>
    <t>04-01-01</t>
  </si>
  <si>
    <t>Koreguoti Šiaulių miesto savivaldybės teritorijos bendrąjį planą</t>
  </si>
  <si>
    <t>Atliktas Bendrojo plano pakeitimas</t>
  </si>
  <si>
    <t>04-01-02</t>
  </si>
  <si>
    <t>Organizuoti detaliųjų ir specialiųjų planų parengimą</t>
  </si>
  <si>
    <t>Parengtų detaliųjų ir specialiųjų planų skaičius</t>
  </si>
  <si>
    <t>Parengtas teritorijos tarp Aušros al., Žemaitės, Dobilo ir Vaisių g. (Centrinio parko) Šiaulių mieste detaliojo plano keitimas</t>
  </si>
  <si>
    <t>Parengtas Prisikėlimo aikštės su prieigomis detaliojo plano keitimas</t>
  </si>
  <si>
    <t>Atliktas supaprastinta tvarka parengto detaliojo plano sklypo Marijampolės g.22 keitimas</t>
  </si>
  <si>
    <t>Atliktas žemės sklypo J. Žemaičio g. 3, Šiauliuose detaliojo plano keitimas</t>
  </si>
  <si>
    <t>Atliktas supaprastinta tvarka parengto žemės sklypo Pramonės g. 15, Šiauliuose detaliojo plano koregavimas</t>
  </si>
  <si>
    <t>Atliktas supaprastinta tvarka parengto detalaus plano teritorijos Architektų g.1, Šiauliuose  koregavimas</t>
  </si>
  <si>
    <t>Parengtas kvartalo, esančio tarp Perkūno, Sprudeikos g. ir Aukštabalio g. tęsinio, detalusis planas</t>
  </si>
  <si>
    <t>Parengtas Salduvės parko teritorijos Šiauliuose detalusis planas</t>
  </si>
  <si>
    <t>Įvykdytas supaprastinta tvarka parengto žemės sklypo Tilžės g. 74A, Šiauliuose, detaliojo plano koregavimas</t>
  </si>
  <si>
    <t>Parengtas Daušiškių kapinių detaliojo plano koregavimas</t>
  </si>
  <si>
    <t>Žemės sklypų Lyros g. 13, Lyros g. 13B, Šiauliuose, ir šalia šių sklypų esančios laisvos valstybinės žemės detaliojo plano rengimas</t>
  </si>
  <si>
    <t>Parengtas teritorijos, esančios tarp Gytarių g., Javų g., Pailių g. ir Ringuvos g. sklypų Nr. 1-29, Šiauliuose, detaliojo plano rengimo paslauga</t>
  </si>
  <si>
    <t>Teritorijos tarp Gardino, Architektų, Aukštabalio (dabar – Jablonskio) g. ir Lieporių gyvenamojo kvartalo detaliojo plano koregavimas</t>
  </si>
  <si>
    <t>Talkšos ir jo prieigų, Ežero gyvenamojo rajono bei teritorijos Vilniaus g. 72, Šiauliuose, detaliojo plano koregavimas</t>
  </si>
  <si>
    <t>Parengtas teritorijos esančios tarp Voveriškių g., Tilžės g. ir Vijolės upelio, Šiauliuose detalusis planas</t>
  </si>
  <si>
    <t>Parengtas teritorijos, esančios tarp Žaliūkių g., Voveriškių g., ir Vijolės upelio, Šiauliuose, detalusis planas</t>
  </si>
  <si>
    <t>Žemės sklypo Pakruojo g. 10, Šiauliuose, detaliojo plano keitimo rengimas</t>
  </si>
  <si>
    <t>Parengtas teritorijos, esančios tarp Vytauto g., Ežero g. ir Vilniaus g., Šiauliuose, detaliojo plano rengimas</t>
  </si>
  <si>
    <t>Parengtas teritorijos, esančios tarp Vilniaus g., Vilniaus g. 96 Trakų g. ir Ežero g., Šiauliuose, detaliojo plano rengimas</t>
  </si>
  <si>
    <t>Prengtas Zoknių gyvenamojo  rajono Šiauliuose, detaliojo plano koregavimas</t>
  </si>
  <si>
    <t>Parengtas teritorijos, esančios tarp Verdulių g., Šilėnų g. ir Kauno g., Šiauliuose, detalusis planas</t>
  </si>
  <si>
    <t>Pakoreguotas kvartalo tarp Vilniaus, Vasario 16-osios, Vytauto gatvių ir Draugystės prospekto detalusis planas sklype Draugystės pr. 23</t>
  </si>
  <si>
    <t>Parengtas detalusis planas sklypo Dvaro g. 162</t>
  </si>
  <si>
    <t>Parengtas detalusis planas teritorijos, esančios tarp Energetikų g., Pirties g. ir Mechanikų g., Šiauliuose</t>
  </si>
  <si>
    <t>Parengtas detalusis planas teritorijos tarp Gardino, Architektų, Aukštabalio (dabar – Jablonskio) g. ir Lieporių gyvenamojo kvartalo</t>
  </si>
  <si>
    <t>04-01-03</t>
  </si>
  <si>
    <t>Įgyvendinti  žemės paėmimo visuomenės poreikiams procedūrą</t>
  </si>
  <si>
    <t>Įgyvendinta žemės paėmimo visuomenės poreikiams procedūra, paimtas žemės sklypas visuomenės poreikiams</t>
  </si>
  <si>
    <t>Parengta sąnaudų naudos analizė</t>
  </si>
  <si>
    <t>04-01-04</t>
  </si>
  <si>
    <t>Rengti žemėtvarkos planavimo dokumentus, žemės sklypų kadastrinius matavimus</t>
  </si>
  <si>
    <t>Parengtų kadastrinių matavimų bylų, žemės sklypų pertvarkymo projektų skaičius</t>
  </si>
  <si>
    <t>04-01-05</t>
  </si>
  <si>
    <t>Užtikrini tvarų, miesto identitetą pabrėžiantį miesto planavimą</t>
  </si>
  <si>
    <t>Urbanistinių ir architektūrinių vizijų / koncepcijų / planų skaičius</t>
  </si>
  <si>
    <t>Įgyvendintas paminklo "Tautos laisvė" projektas</t>
  </si>
  <si>
    <t>Atnaujintų miesto vartų ženklų, remiantis miesto identiteto simbolika, skaičius</t>
  </si>
  <si>
    <t>Sukurta miesto vizualinio identiteto strategija, išryškinanti miesto identitetą, jį skatinančių, vizualinių, meninių priemonių / objektų, akcentų naudojimą</t>
  </si>
  <si>
    <t>Suorganizuotų urbanistinių ar architektūrinių konkursų skaičius</t>
  </si>
  <si>
    <t>Suorganizuotas meninių akcentų, aštuoniems istorijos šimtmečiams įamžinti, architektūrinės meninės idėjos sukūrimo konkursas</t>
  </si>
  <si>
    <t>Parengtas  meninių akcentų, aštuoniems istorijos šimtmečiams įamžinti, architektūrinės meninės idėjos realizavimo projektas</t>
  </si>
  <si>
    <t>04-01-06</t>
  </si>
  <si>
    <t>Organizuoti projektinių darbų finansavimą</t>
  </si>
  <si>
    <t>04-01-06-01</t>
  </si>
  <si>
    <t>Organizuoti Miesto plėtros ir paveldosaugos skyriaus techninių projektų parengimą ir finansavimą</t>
  </si>
  <si>
    <t>Miesto plėtros ir paveldosaugos skyriaus parengtų techninių projektų skaičius</t>
  </si>
  <si>
    <t>04-01-06-02</t>
  </si>
  <si>
    <t>Organizuoti Statybos ir renovacijos skyriaus techninių projektų parengimą ir finansavimą</t>
  </si>
  <si>
    <t>Statybos ir renovacijos skyriaus parengtų statybos projektų skaičius</t>
  </si>
  <si>
    <t>04-01-06-03</t>
  </si>
  <si>
    <t>Organizuoti Miesto ūkio ir aplinkos skyriaus techninių projektų parengimą ir finansavimą</t>
  </si>
  <si>
    <t>Miesto ūkio ir aplinkos skyriaus parengtų techninių projektų skaičius</t>
  </si>
  <si>
    <t>04-01-07</t>
  </si>
  <si>
    <t>Konvertuoti centro teritorijoje esančių pramoninių kompleksų teritorijas į mišrios paskirties miesto teritorijas</t>
  </si>
  <si>
    <t>Parengtų kompleksinių teritorijų planavimo dokumentų, kuriuose numatyta pramoninių teritorijų konversija, skaičius</t>
  </si>
  <si>
    <t>Urbanistinių / architektūrinių konkursų konversinėse teritorijose skaičius</t>
  </si>
  <si>
    <t>04-01-08</t>
  </si>
  <si>
    <t>Planuoti naują plėtrą centrinėse, gerai aprūpintose miesto teritorijose ir skatinti mažaaukštės, bet tankios tipologijos atsiradimą (kotedžai)</t>
  </si>
  <si>
    <t>Naujų statybos leidimų skaičius senamiestyje, miesto periferiniuose centruose, gyvenamosiose didelio užstatymo intensyvumo teritorijose ir kitose didelio užstatymo teritorijose</t>
  </si>
  <si>
    <t>04-01-09</t>
  </si>
  <si>
    <t>Organizuoti miesto erdvinių duomenų bazės techninę priežiūrą, programinės įrangos atnaujinimą</t>
  </si>
  <si>
    <t>Atnaujintos programinės įrangos skaičius</t>
  </si>
  <si>
    <t>04-01-10</t>
  </si>
  <si>
    <t>Organizuoti Šiaulių miesto savivaldybės geodezijos ir kartografijos darbus</t>
  </si>
  <si>
    <t>Parengtų topografinių planų skaičius</t>
  </si>
  <si>
    <t>04-01-11</t>
  </si>
  <si>
    <t>Įgyvendinti projektą „Šiaulių miesto miškų sklypų suformavimas ir įregistravimas nekilnojamo turto registre“</t>
  </si>
  <si>
    <t>Suformuotų ir įregistruotų miesto miškų sklypų</t>
  </si>
  <si>
    <t>04-01-12</t>
  </si>
  <si>
    <t>Įsigyti žemės sklypus reikalingus nuosekliai miesto infrastruktūrai vystyti</t>
  </si>
  <si>
    <t>Įsigytų sklypų plotas</t>
  </si>
  <si>
    <t>04-02</t>
  </si>
  <si>
    <t>Formuoti darnias miesto jungtis, užtikrinančias tvarų ir saugų judėjimą mieste</t>
  </si>
  <si>
    <t>Neasfaltuotų gatvių dalis nuo viso gatvių tinklo</t>
  </si>
  <si>
    <t>Atnaujintų pėsčiųjų takų dalis nuo bendro takų ilgio</t>
  </si>
  <si>
    <t>Dviračių takų ilgis metų pabaigoje, tenkantis 1 tūkst. gyventojų</t>
  </si>
  <si>
    <t>Modalinis kelionių pasiskirstymas (automobiliu)</t>
  </si>
  <si>
    <t>Modalinis kelionių pasiskirstymas (viešuoju transportu)</t>
  </si>
  <si>
    <t>Modalinis kelionių pasiskirstymas (dviračiais)</t>
  </si>
  <si>
    <t>Modalinis kelionių pasiskirstymas (pėsčiomis)</t>
  </si>
  <si>
    <t>Vidutiniškai vienam gyventojui tenkančių kelionių autobusais skaičius</t>
  </si>
  <si>
    <t>04-02-01</t>
  </si>
  <si>
    <t>Vykdyti gatvių, aikštelių, šaligatvių, dviračių ir pėsčiųjų takų remonto ir aptarnavimo darbus</t>
  </si>
  <si>
    <t>04-02-01-01</t>
  </si>
  <si>
    <t>Prižiūrėti mokėjimo automatus (rinkliavos rinkimas)</t>
  </si>
  <si>
    <t>Prižiūrimų mokėjimo parkomatų skaičius</t>
  </si>
  <si>
    <t>04-02-01-02</t>
  </si>
  <si>
    <t>Remontuoti gatvių duobes</t>
  </si>
  <si>
    <t>Užtaisytas miesto gatvių (duobių išdaužų vietose) plotas</t>
  </si>
  <si>
    <t>04-02-01-03</t>
  </si>
  <si>
    <t>Prižiūrėti gatves su žvyro danga  (lyginti ir naujomis medžiagomis užtaisyti dangos konstrukcijas)</t>
  </si>
  <si>
    <t>Prižiūrimų gatvių su žvyro danga ilgis</t>
  </si>
  <si>
    <t>1.06.</t>
  </si>
  <si>
    <t>04-02-01-04</t>
  </si>
  <si>
    <t>Ženklinti kelio dangą</t>
  </si>
  <si>
    <t>Paženklintų gatvių su asfalto danga, pėsčiųjų perėjų, sankryžų plotas</t>
  </si>
  <si>
    <t>04-02-02</t>
  </si>
  <si>
    <t>Vykdyti naujų magistralinių gatvių suprojektavimo ir nutiesimo, susisiekimo komunikacijų įrengimo, rekonstravimo ir remonto darbus</t>
  </si>
  <si>
    <t>04-02-02-01</t>
  </si>
  <si>
    <t>Atlikti gatvių tyrimus</t>
  </si>
  <si>
    <t>Atlikta gatvių laboratorinių tyrimų</t>
  </si>
  <si>
    <t>04-02-02-02</t>
  </si>
  <si>
    <t>Atlikti miesto gatvių ir takų esminio pagerinimo darbus</t>
  </si>
  <si>
    <t>Atlikti miesto gatvių remonto darbai pagal 2025 metų reitingo eilę</t>
  </si>
  <si>
    <t>1.02.</t>
  </si>
  <si>
    <t>04-02-02-03</t>
  </si>
  <si>
    <t>Remontuoti, pakeisti šaligatvius, dviračių takų dangas</t>
  </si>
  <si>
    <t>Atlikti miesto takų, aikštelių remonto darbai pagal 2025 metų reitingo eilę</t>
  </si>
  <si>
    <t>04-02-02-04</t>
  </si>
  <si>
    <t>Įgyvendinti projektą ,,Vilniaus gatvės atkarpos nuo Vilkaviškio gatvės iki miesto ribos rekonstrukcija“</t>
  </si>
  <si>
    <t>04-02-03</t>
  </si>
  <si>
    <t>Įgyvendinti projektą „Eismo saugos gerinimas Šiaulių mieste, šalinant juodąsias dėmes“</t>
  </si>
  <si>
    <t>Įdiegtų saugų eismą gerinančių priemonių skaičius (sankryžos / žiedai / kita)</t>
  </si>
  <si>
    <t>04-02-04</t>
  </si>
  <si>
    <t>Įgyvendinti darnaus judumo projektus Šiaulių mieste</t>
  </si>
  <si>
    <t>04-02-04-02</t>
  </si>
  <si>
    <t>Įgyvendinti projektą „Vientiso dviračių takų tinklo kūrimas integruojant bevariklį transportą į bendrą transporto sistemą“</t>
  </si>
  <si>
    <t>Įrengtų / rekonstruotų dviračių takų ilgis</t>
  </si>
  <si>
    <t>Atnaujintų / nutiestų pėsčiųjų takų ir šaligatvių ilgis</t>
  </si>
  <si>
    <t>04-02-04-03</t>
  </si>
  <si>
    <t>Įgyvendinti projektą „Statyk ir važiuok (Park &amp; Ride) aikštelių įrengimas“</t>
  </si>
  <si>
    <t>Atlikta „Statyk ir važiuok“ aikštelių įrengimo darbų</t>
  </si>
  <si>
    <t>04-02-04-04</t>
  </si>
  <si>
    <t>„Įgyvendinti projektą „Vientiso dviračių ir pėsčiųjų takų tinklo kūrimas, integruojant bevariklį transportą į bendrą transporto sistemą Šiaulių mieste, II etapas“</t>
  </si>
  <si>
    <t>04-02-05</t>
  </si>
  <si>
    <t>Vykdyti ir kompensuoti keleivių vežimą</t>
  </si>
  <si>
    <t>04-02-05-01</t>
  </si>
  <si>
    <t>Kompensuoti keleivinio transporto vežėjų išlaidas (negautas pajamas) už lengvatinį keleivių vežimą reguliaraus susisiekimo maršrutais</t>
  </si>
  <si>
    <t>Sutartinių įsipareigojimų vykdymas</t>
  </si>
  <si>
    <t>04-02-05-02</t>
  </si>
  <si>
    <t>Kompensuoti keleivių vežimo vietiniais maršrutais organizavimo išlaidas</t>
  </si>
  <si>
    <t>04-02-06</t>
  </si>
  <si>
    <t>Gerinti viešojo transporto kokybę</t>
  </si>
  <si>
    <t>04-02-06-01</t>
  </si>
  <si>
    <t>Vykdyti viešojo transporto infrastruktūros priežiūrą ir plėtrą</t>
  </si>
  <si>
    <t>Įrengtų miesto autobusų stoginių skaičius</t>
  </si>
  <si>
    <t>Pakeistų naujais  ir suremontuotų susidėvėjusių suoliukų skaičius</t>
  </si>
  <si>
    <t>04-02-06-02</t>
  </si>
  <si>
    <t>„Bendros, atviros elektroninio bilieto sistemos Šiaulių regiono viešajame transporte sukūrimas ir įdiegimas“</t>
  </si>
  <si>
    <t>Parengti E-bilieto sistemos nuostatai</t>
  </si>
  <si>
    <t>04-02-07</t>
  </si>
  <si>
    <t>Suprojektuoti, nutiesti, išasfaltuoti ar rekonstruoti žvyruotas gatves</t>
  </si>
  <si>
    <t>Išasfaltuotų ir įrengtų žvyruotų gatvių skaičius</t>
  </si>
  <si>
    <t>Išasfaltuotų žvyruotų gatvių ilgis</t>
  </si>
  <si>
    <t>Atlikti privažiavimo nuo Bačiūnų g. iki Bačiūnų g. 58F asfaltavimo darbai</t>
  </si>
  <si>
    <t>04-02-08</t>
  </si>
  <si>
    <t>Rekonstruoti Tilžės g. viaduką per geležinkelį</t>
  </si>
  <si>
    <t>04-02-09</t>
  </si>
  <si>
    <t>Plėsti saugumą didinančių priemonių kiekį mieste</t>
  </si>
  <si>
    <t>04-02-09-01</t>
  </si>
  <si>
    <t>Apšviesti miesto gatves</t>
  </si>
  <si>
    <t>Aptarnaujamų šviesos taškų (šviestuvų, prožektorių) skaičius</t>
  </si>
  <si>
    <t>Valdomų šviesoforų skaičius</t>
  </si>
  <si>
    <t>04-02-09-02</t>
  </si>
  <si>
    <t>Apmokėti už elektros energiją (gatvių apšvietimui)</t>
  </si>
  <si>
    <t>Sunaudotas elektros energijos kiekis miesto apšvietimui</t>
  </si>
  <si>
    <t>kWh</t>
  </si>
  <si>
    <t>04-02-09-03</t>
  </si>
  <si>
    <t>Įrengti ir eksploatuoti eismo reguliavimo ir saugaus eismo priemones</t>
  </si>
  <si>
    <t>Įrengtų saugių pėsčiųjų perėjų skaičius</t>
  </si>
  <si>
    <t>Įrengtų kelio ženklų, atitvarų, signalinių stulpelių skaičius</t>
  </si>
  <si>
    <t>Įrengtų saugumo kalnelių skaičius</t>
  </si>
  <si>
    <t>Atnaujintų / įrengtų sankryžų, kuriose numatytos saugos priemonės, skaičius</t>
  </si>
  <si>
    <t>Prižiūrimų kelio ženklų skaičius</t>
  </si>
  <si>
    <t>04-02-09-04</t>
  </si>
  <si>
    <t>Įrengti kryptinį apšvietimą</t>
  </si>
  <si>
    <t>Įrengtų kryptinio apšvietimo atramų skaičius</t>
  </si>
  <si>
    <t>04-02-09-05</t>
  </si>
  <si>
    <t>Plėsti viešųjų vietų vaizdo stebėjimo kamerų sistemą ir užtikrinti jos funkcionalumą</t>
  </si>
  <si>
    <t>Viešųjų vietų vaizdo stebėjimo kamerų skaičius</t>
  </si>
  <si>
    <t>Įdiegtos Viešųjų vietų vaizdo stebėjimo sistemos funkcionalumą užtikrinančios įrangos tipų, kuriems užtikrinamas palaikymas, skaičius</t>
  </si>
  <si>
    <t>04-02-10</t>
  </si>
  <si>
    <t>Plėtoti elektromobilių pakrovimo stotelių tinklą</t>
  </si>
  <si>
    <t>Viešų elektromobilių pakrovimo stotelių skaičius</t>
  </si>
  <si>
    <t>04-03</t>
  </si>
  <si>
    <t>Užtikrinti tvarią, kokybišką miesto infrastruktūros plėtrą</t>
  </si>
  <si>
    <t>Renovuotų daugiabučių dalis nuo visų renovuotinų daugiabučių</t>
  </si>
  <si>
    <t>Naujai suplanuotų / atnaujintų viešųjų erdvių plotas tenkantis 1 gyventojui</t>
  </si>
  <si>
    <t>04-03-01</t>
  </si>
  <si>
    <t>Tvarkyti aplinką ir vykdyti priežiūros darbus</t>
  </si>
  <si>
    <t>Sutvarkyta aplinka (žaliųjų plotų, gėlynų, benamių gyvūnų, vaikų žaidimo aikštelių priežiūra, sanitarinių paslaugų teikimas, techniškas aptarnavimas miesto renginių metu)</t>
  </si>
  <si>
    <t>04-03-01-01</t>
  </si>
  <si>
    <t>Lėšos, skirtos Medelyno seniūnijai tvarkyti</t>
  </si>
  <si>
    <t>Tvarkyti medžius (kirsti/genėti), pastatyti Kalėdų eglutę, įsigyti smulkių priemonių seniūnijai.</t>
  </si>
  <si>
    <t>04-03-01-02</t>
  </si>
  <si>
    <t>Lėšos, skirtos Rėkyvos seniūnijai tvarkyti</t>
  </si>
  <si>
    <t>04-03-01-03</t>
  </si>
  <si>
    <t>Valyti miesto gatves</t>
  </si>
  <si>
    <t>Prižiūrėti gatvių plotą</t>
  </si>
  <si>
    <t>Prižiūrimų gatvių ilgis (vasarą)</t>
  </si>
  <si>
    <t>04-03-01-04</t>
  </si>
  <si>
    <t>Valyti šaligatvius</t>
  </si>
  <si>
    <t>Prižiūrėti šaligatvius, takus, laiptus, aikštes ir kitas viešąsias teritorijas</t>
  </si>
  <si>
    <t>Prižiūrėta šiukšliadėžių</t>
  </si>
  <si>
    <t>04-03-01-05</t>
  </si>
  <si>
    <t>Tvarkyti žaliuosius plotus</t>
  </si>
  <si>
    <t>Prižiūrėta žaliųjų plotų</t>
  </si>
  <si>
    <t>04-03-01-06</t>
  </si>
  <si>
    <t>Įrengti ir prižiūrėti gėlynus</t>
  </si>
  <si>
    <t>Prižiūrėtų gėlynų plotas</t>
  </si>
  <si>
    <t>Pasodinta gėlių</t>
  </si>
  <si>
    <t>Įrengta naujų gėlynų</t>
  </si>
  <si>
    <t>04-03-01-07</t>
  </si>
  <si>
    <t>Tvarkyti miestą pagal sanitarinius reikalavimus</t>
  </si>
  <si>
    <t>Pastatyta konteinerių</t>
  </si>
  <si>
    <t>Nerūšiuotų atliekų išvežimas iš viešųjų erdvių</t>
  </si>
  <si>
    <t>04-03-01-08</t>
  </si>
  <si>
    <t>Gaudyti, laikyti benamius gyvūnus</t>
  </si>
  <si>
    <t>Pagauta bešeimininkių gyvūnų</t>
  </si>
  <si>
    <t>04-03-01-09</t>
  </si>
  <si>
    <t>Techniškai aptarnauti miesto renginius ir šventes</t>
  </si>
  <si>
    <t>Aptarnauta švenčių, renginių (WC statymas, laužų paruošimas ir kt.)</t>
  </si>
  <si>
    <t>04-03-01-10</t>
  </si>
  <si>
    <t>Organizuoti visuomenei naudingą veiklą</t>
  </si>
  <si>
    <t>Užtikrintas visuomenei naudingos veiklos organizavimas</t>
  </si>
  <si>
    <t>04-03-01-11</t>
  </si>
  <si>
    <t>Prižiūrėti vaikų žaidimų aikšteles</t>
  </si>
  <si>
    <t>Prižiūrima sertifikuotų vaikų žaidimų aikštelių</t>
  </si>
  <si>
    <t>Įrengti vaikų žaidimų įrenginiai</t>
  </si>
  <si>
    <t>04-03-01-12</t>
  </si>
  <si>
    <t>Atlikti kitus smulkius ar nenumatytus darbus</t>
  </si>
  <si>
    <t>Įgyvendinta įvairių miesto viešosios infrastruktūros elementų priežiūros ir remonto darbų</t>
  </si>
  <si>
    <t>04-03-02</t>
  </si>
  <si>
    <t>Vykdyti kapinių priežiūrą ir ritualines paslaugas</t>
  </si>
  <si>
    <t>Užtikrinta visų miesto kapinių priežiūra (administravimas, vandens vežimas, atliekų išvežimas ir kt.)</t>
  </si>
  <si>
    <t>Suremontuota Donelaičio kapinių tvora</t>
  </si>
  <si>
    <t>Palaidotų vienišų žmonių skaičius</t>
  </si>
  <si>
    <t>Pervežtų žmonių palaikų skaičius</t>
  </si>
  <si>
    <t>04-03-03</t>
  </si>
  <si>
    <t>Vykdyti kolumbariumo statybą</t>
  </si>
  <si>
    <t>Baigti tvarkyti finansiniai srautai</t>
  </si>
  <si>
    <t>04-03-04</t>
  </si>
  <si>
    <t>Įgyvendinti projektą „Šiaulių miesto kapinių valdymo informacinės sistemos sukūrimas, įdiegimas, kapinių duomenų skaitmenizavimas“</t>
  </si>
  <si>
    <t>Patobulinta leidimo laidoti išdavimo paslauga</t>
  </si>
  <si>
    <t>04-03-05</t>
  </si>
  <si>
    <t>Įgyvendinti projektą „Vilniaus gatvės pėsčiųjų bulvaro ir amfiteatro rekonstrukcija“</t>
  </si>
  <si>
    <t>Baigta tvarkyti projekto dokumentacija ir finansiniai srautai</t>
  </si>
  <si>
    <t>04-03-06</t>
  </si>
  <si>
    <t>Įgyvendinti projektą „Viešųjų erdvių ir gyvenamosios aplinkos gerinimas teritorijoje, besiribojančioje su Draugystės prospektu, Vytauto gatve, P. Višinskio gatve ir Dubijos gatve"</t>
  </si>
  <si>
    <t>04-03-07</t>
  </si>
  <si>
    <t>Įgyvendinti projektą „P. Višinskio gatvės viešųjų erdvių pritaikymas jaunimo poreikiams“</t>
  </si>
  <si>
    <t>04-03-08</t>
  </si>
  <si>
    <t>Įgyvendinti projektą „Lieporių parko atgaivinimas ir pritaikymas bendruomenės veiklai“</t>
  </si>
  <si>
    <t>Atlikta kompleksinio parko sutvarkymo rangos darbų dalis</t>
  </si>
  <si>
    <t>04-03-09</t>
  </si>
  <si>
    <t>Įgyvendinti projektą „Tankiai apgyvendintos Šiaulių miesto urbanizuotos teritorijos atgaivinimas, žalinimas ir funkcionalumo didinimas“</t>
  </si>
  <si>
    <t>Atliktų rangos darbų dalis</t>
  </si>
  <si>
    <t>04-03-10</t>
  </si>
  <si>
    <t>Kompleksiškai atnaujinti daugiabučių mikrorajonų teritorijas</t>
  </si>
  <si>
    <t>Atnaujintų mikrorajonų bendrojo naudojimo erdvių ir kiemų plotas</t>
  </si>
  <si>
    <t>04-03-11</t>
  </si>
  <si>
    <t>Įgyvendinti Savivaldybės infrastruktūros plėtros rėmimo programą</t>
  </si>
  <si>
    <t>Sukurtų infrastruktūros objektų (pasirašyta savivaldybės infrastruktūros plėtros sutarčių) skaičius</t>
  </si>
  <si>
    <t>05</t>
  </si>
  <si>
    <t>Ekonominės plėtros programa</t>
  </si>
  <si>
    <t>05-01</t>
  </si>
  <si>
    <t>Pagerinti investicijų pritraukimo ir verslo plėtros sąlygas</t>
  </si>
  <si>
    <t>Tiesioginės užsienio investicijos (TUI), tenkančios 1 gyv.</t>
  </si>
  <si>
    <t>Registruotų bedarbių ir darbingo amžiaus gyventojų santykis</t>
  </si>
  <si>
    <t>Veikiančių įmonių metų pradžioje skaičius, tenkantis 1 tūkst. gyv.</t>
  </si>
  <si>
    <t>05-01-01</t>
  </si>
  <si>
    <t>Skatinti smulkiojo ir vidutinio verslo subjektus</t>
  </si>
  <si>
    <t>Įgyvendintų skatinimo priemonių skaičius</t>
  </si>
  <si>
    <t>I ketv. lėšos išmokėtos pagal 3 priemones: įmonės steigimo išlaidų kompensavimas (2 SVV subjektams); įrangos ir įrankių įsigijimo išlaidų kompensavimas (2 SVV subjektams); mokymo išlaidų kompensavimas (3 SVV subjektams).
II ketv. lėšos išmokėtos pagal 3 priemones: įmonės steigimo išlaidų kompensavimas (2 SVV subjektams); įrangos ir įrankių įsigijimo išlaidų kompensavimas (6 SVV subjektams); rinkodaros išlaidų kompensavimas (2 SVV subjektams).
III ketv. lėšos išmokėtos pagal 5 priemones: įrangos ir įrankių įsigijimo išlaidų kompensavimas (5 SVV subjektams); rinkodaros išlaidų kompensavimas (3 SVV subjektams); verslo projektų konkursas „Jaunimo nuo 18 iki 29 m. verslo skatinimas“  (1 SVV subjektui);  verslo projektų konkursas „Vyresnių nei 45 m. asmenų verslo skatinimas“ (2 SVV subjektams);  verslo projektų konkursas „Parama inovatyviam verslui“(5 SVV subjektams).
IV ketv. lėšos išmokėtos pagal 5 priemones: įrangos ir įrankių įsigijimo išlaidų kompensavimas (14 SVV subjektams); rinkodaros išlaidų kompensavimas (4 SVV subjektams);įmonės steigimo išlaidų kompensavimas (1 SVV subjektui); verslo projektų konkursas „Jaunimo nuo 18 iki 29 m. verslo skatinimas“ (4 SVV subjektui); verslo projektų konkursas „Vyresnių nei 45 m. asmenų verslo skatinimas“ (3 SVV subjektams); verslo projektų konkursas „Parama inovatyviam verslui“(2 SVV subjektams).</t>
  </si>
  <si>
    <t>05-01-02</t>
  </si>
  <si>
    <t>Įgyvendinti verslo subjektų mokymo programas</t>
  </si>
  <si>
    <t>Surengtų mokymų skaičius</t>
  </si>
  <si>
    <t>Suorganizuotų verslo sklaidos renginių skaičius</t>
  </si>
  <si>
    <t>Suteiktų konsultacijų trukmė</t>
  </si>
  <si>
    <t>val.</t>
  </si>
  <si>
    <t>05-01-03</t>
  </si>
  <si>
    <t>Įgyvendinti jaunimo verslumo skatinimo programą</t>
  </si>
  <si>
    <t>Konsultuotų asmenų skaičius</t>
  </si>
  <si>
    <t>Suorganizuotų verslumo mokymo ir verslo informacinės sklaidos renginių skaičius</t>
  </si>
  <si>
    <t>05-01-04</t>
  </si>
  <si>
    <t>Įgyvendinti inkubavimo, konsultavimo, mentorystės ir tinklaveikos programų vystymą, skatinant pradedančiųjų smulkiojo ir vidutinio verslo subjektų kūrimąsi ir augimą</t>
  </si>
  <si>
    <t>Smulkiojo ir vidutinio verslo subjektų dalyvavusių projekte skaičius</t>
  </si>
  <si>
    <t>05-01-05</t>
  </si>
  <si>
    <t>Įgyvendinti projektus skatinančius verslų kūrimąsi, vystymąsi, bendradarbiavimą, žinių mainus, inovacijų ir technologijų kūrimą</t>
  </si>
  <si>
    <t>Įgyvendinta INOSTART programa</t>
  </si>
  <si>
    <t>05-01-06</t>
  </si>
  <si>
    <t>Parengti (atnaujinti) investicijų projektus</t>
  </si>
  <si>
    <t>Parengtų, atnaujintų investicijų projektų ir/ar kitų reikiamų dokumentų lėšų pritraukimui skaičius</t>
  </si>
  <si>
    <t>05-01-07</t>
  </si>
  <si>
    <t>Vystyti Šiaulių pramoninio parko ir Šiaulių laisvosios ekonominės zonos infrastruktūrą</t>
  </si>
  <si>
    <t>05-01-07-01</t>
  </si>
  <si>
    <t>Gerinti investicinę aplinką Šiaulių pramoniniame parke</t>
  </si>
  <si>
    <t>Išvalytų sklypų skaičius</t>
  </si>
  <si>
    <t>05-01-07-02</t>
  </si>
  <si>
    <t>Gerinti investicinę aplinką Šiaulių laisvojoje ekonominėje zonoje ir jos prieigose</t>
  </si>
  <si>
    <t>Krovos aikštelių teritorija pritaikyta muitinės veiklai</t>
  </si>
  <si>
    <t>05-01-07-03</t>
  </si>
  <si>
    <t>Įgyvendinti projektą "Šiaulių laisvosios ekonominės zonos ir Šiaulių pramonės parko teritorijų prijungimas prie geležinkelio infrastruktūros"</t>
  </si>
  <si>
    <t>Baigta tvarkyti geležinkelio turto įvedimo į eksploataciją dokumentacija ir finansiniai srautai</t>
  </si>
  <si>
    <t>05-01-07-04</t>
  </si>
  <si>
    <t>Zoknių 110/10 KV transformatoriaus punkto plėtra</t>
  </si>
  <si>
    <t>Sudaryta techninės dokumentacijos rengimo sutartis</t>
  </si>
  <si>
    <t>05-01-07-05</t>
  </si>
  <si>
    <t>Įgyvendinti projektą „Paviršinių nuotekų tinklų  įrengimas LEZ teritorijoje“</t>
  </si>
  <si>
    <t>Įrengtas lietaus nuotekų nuvedimas į magistralinius tinklus</t>
  </si>
  <si>
    <t>05-01-08</t>
  </si>
  <si>
    <t>Vykdyti Šiaulių Oro uosto plėtrą</t>
  </si>
  <si>
    <t>Įvykdytų specialiųjų aviacijos saugumo užtikrinimo įsipareigojimų dalis</t>
  </si>
  <si>
    <t>Įsigytos techninės įrangos skaičius</t>
  </si>
  <si>
    <t>Įsigyta vaizdo stebėjimo sistema su sistemos diegimo darbais: 3 terminės kameros, 4 terminės kameros ir radaro laikikliai, 1 valdoma kamera prie posto, 1 valdomos kameros laikiklis, 1 valdoma kamera prie perono ant stulpo, 1 radaras, licencijos, kt. medžiagos ir įrenginiai bei montavimo darbai.</t>
  </si>
  <si>
    <t>Atliktų angarų griovimo darbų dalis</t>
  </si>
  <si>
    <t>05-01-09</t>
  </si>
  <si>
    <t xml:space="preserve">Sukurti integruotą investuotojų pritraukimo ir aptarnavimo sistemą </t>
  </si>
  <si>
    <t>Suorganizuotų renginių skaičius</t>
  </si>
  <si>
    <t>Sukurtų publikacijų, įrašų Lietuvos ir užsienio žiniasklaidos priemonėse skaičius</t>
  </si>
  <si>
    <t>Dalyvauta verslo misijose</t>
  </si>
  <si>
    <t>I ketv: vizitas Danijoje 03-02 - 03-07 (vizitas Roskilde universitete, dviejuose savivaldybėse ir joms pavaldžiose įstaigose, LR ambasadoje, LEGO Education centre). II ketv: vizitas Didžiojoje Britanijoje, Milton Keynes lietuvių bendruomenės renginyje, pristatytos Šiaulių miesto vykdomos veiklos ir diasporos politikos programa.</t>
  </si>
  <si>
    <t>Sukurtų edukacinių rinkodaros priemonių skaičius</t>
  </si>
  <si>
    <t>Parengtų miesto istorijų, interviu ciklų skaičius</t>
  </si>
  <si>
    <t>Įgyvendinta reklaminė kampanija "Šiauliai - karjeros miestas"</t>
  </si>
  <si>
    <t>Atlikta Šiaulių miesto gyventojų, verslininkų, asocijuotų verslo struktūrų, turistų ir kt. apklausa</t>
  </si>
  <si>
    <t>Mokamų užsienio ir nacionaliniuose informacijos kanaluose paviešintų turinio vienetų (straipsnių, reklamų maketų, TV laidų, reportažų ir kt.) skaičius</t>
  </si>
  <si>
    <t>Parengtas ir pristatytas praktinis Šiaulių miesto stiliaus knygos (angl. brand book) paketas verslo asocijuotoms struktūroms</t>
  </si>
  <si>
    <t>Suorganizuotų verslo misijų / vizitų Šiauliuose ir užsienyje, užsienio ir šalies tikslinėms auditorijoms, skaičius</t>
  </si>
  <si>
    <t>I ketv: vizitas Lenkijoje, Varšuvoje 01-29 - 02-01 (Ptak Warsaw Expo paroda, vizitas LR ambasadoje, susitikimai su verslo atstovais).
IV ketv: 10-21 d. Šiauliuose lankėsi net 21 užsienio šalies diplomatinių atstovybių vadovai, vizitu buvo siekiama skatinti tarptautinį bendradarbiavimą bei užmegzti naujus ryšius su čia veikiančiu verslu.</t>
  </si>
  <si>
    <t>05-01-10</t>
  </si>
  <si>
    <t>Pritraukti ir išlaikyti specialistus, emigravusius šiauliečius į Šiaulių miestą</t>
  </si>
  <si>
    <t>Pritrauktų ir išlaikytų aukštos kvalifikacijos specialistų skaičius</t>
  </si>
  <si>
    <t>Šiaulių miesto ambasadorių užsienyje skaičius</t>
  </si>
  <si>
    <t>Suorganizuotų nuotolinių ir fizinių susitikimų su Šiaulių miesto diasporos atstovais skaičius</t>
  </si>
  <si>
    <t>Internetinių svetainių "Globalūs Šiauliai" ir www.karjerasiauliuose.lt lankytojų skaičius</t>
  </si>
  <si>
    <t>tūkst.</t>
  </si>
  <si>
    <t>05-01-11</t>
  </si>
  <si>
    <t>Kompensuoti jaunoms šeimoms dalį išlaidų įsigyjant pirmą būstą</t>
  </si>
  <si>
    <t>Šeimų gavusių kompensacijas skaičius</t>
  </si>
  <si>
    <t>05-02</t>
  </si>
  <si>
    <t>Stiprinti miesto patrauklumą plėtojant turizmo sektorių</t>
  </si>
  <si>
    <t>Turistų informacijos centro lankytojų ir interneto svetainių, socialinių tinklų vartotojų skaičius</t>
  </si>
  <si>
    <t>Šiaulių turizmo informacijos centro lankytojų ir interneto svetainių, socialinių tinklų vartotojų skaičius  iš viso - 160 207, iš jų: TIC ir „Baltų kelio“ centro lankytojai (turistai) Šiaulių mieste - 33555, TIC  renginių lankytojai - 22024, Šiaulių turizmo informacijos centro ir „Baltų kelio“ centro interneto svetainių  lankytojai - 91 253, Facebook „Visit Šiauliai“ paskyros vartotojų skaičius - 10 187, Facebook „Baltų kelias“ paskyros vartotojų skaičius - 3 188.</t>
  </si>
  <si>
    <t>Vietų skaičius apgyvendinimo įstaigose</t>
  </si>
  <si>
    <t xml:space="preserve">05-02-01 </t>
  </si>
  <si>
    <t>Užtikrinti turizmo informacijos centro veiklą</t>
  </si>
  <si>
    <t>Sukurtų naujų ekskursijų maršrutų skaičius</t>
  </si>
  <si>
    <t>Sukurta 10 naujų ekskursijų maršrutų: 1. 1000 metrų -1000 metų. Šarūnas Sabaliauskas; 2. Šiaulių katedra: architektūros metamorfozės per amžius. Šarūnas Sabaliauskas; 3. Šiaulių miesto urbanistikos istorija nuo XVI a. pab. iki šių dienų. Šarūnas Sabaliauskas; 4. Šiaulių baltiškos žemės. Saulius Stasiūnas; 5. Grafų Zubovų laimės formulė. Kažkur tarp Šiaulių ir Ginkūnų… Saulius Stasiūnas; 6. Šiauliai. Miesto tapatybė tarp plytų, stiklo ir betono. Rūta Černiauskienė; 7. Madingi Šiaulių bulvaro pokalbiai: Rūta ir Nomeda vaikšto po Šiaulius. Rūta Černiauskienė; 8. Patirk gamtą savyje, o save gamtoje. Indrė Vozgirdienė; 9. Lietuviškos spaudos draudimo pėdsakais. Inesa Juocaitė; 10. Traukinys į nežinią: Šiaulių tremties istorijos. Jonas Bartkus.</t>
  </si>
  <si>
    <t>Šiaulių turizmo informacijos centro ir „Baltų kelio“ centro lankytojų</t>
  </si>
  <si>
    <t>Sukurtų naujų bendrų, mišraus pobūdžio (privačių ir viešųjų turizmo paslaugų tiekėjų) teikiamų turizmo paslaugų skaičius</t>
  </si>
  <si>
    <t>Sukurta nauja mišraus pobūdžio (privačių ir viešųjų turizmo paslaugų tiekėjų) turizmo paslauga ( žaidimas, foto konkursas, akcija), aktyvinanti atvykimą ir keliavimą po Šiaulius, kuri buvo vykdoma per socialinius tinklus ir gyvai, kartu su privataus turizmo paslaugų teikėjų įsitraukimu (prizai, dovanos). 1.Gyvai ir „Visit Šiauliai“ FB vasaros žaidimas „Mesk kelią dėl takelio“ (prizai – Dramaturgas, Akropolis, Avenue, Marionette, Valerijonas).  2. „Baltų kelio“ FB konkursas „Išsirink Baltų kelio maršrutą, kuriuo keliautum“ (prizai – Etnodesign). 3. „Visit Šiauliai“ FB šventinė akcija „Kalėdiniai linkėjimai Šiauliams“ (prizai – Rūta). 4. „Visit Šiauliai“ FB foto konkursas „Šventinės akimirkos Šiauliuose“ (prizai – "Rūta").</t>
  </si>
  <si>
    <t>05-02-02</t>
  </si>
  <si>
    <t>Įgyvendinti projektą "Viešojo sektoriaus specialistų gebėjimų stiprinimą, siekiant gerinti teikiamų paslaugų kokybę Šiaulių miesto savivaldybės ir Bauskės rajono savivaldybės turizmo institucijose"</t>
  </si>
  <si>
    <t>Įgyvendintų projekto veiklų dalis</t>
  </si>
  <si>
    <t>Įgyvendintos projekto veiklos: 1. Organizuoti mokymai ir praktiniai seminarai: „Paslaugų kokybės standarto gairės. Praktiniai mokymai apie į klientą orientuotas paslaugas ir teikiamų paslaugų kokybės gerinimą“. Vienas seminaras Šiaulių miesto savivaldybei pavaldžių įstaigų atstovams, kitas – visos Lietuvos turizmo informacijos centrų  darbuotojams. 2. Parengtas Paslaugų kokybės standarto gairių dokumentas kartu su išorės ekspertais ir latvių partneriais. Dokumentas ruoštas anglų kalba, patalpintas www.visitsiauliai.lt. 3. Organizuotas projekto baigiamasis renginys ir pristatyti projekto rezultatai. Dalyvavo 101 asmuo iš Lietuvos ir Latvijos. 4. Parašytas straipsnis www.etaplius.lt bei reportažas Etaplius TV apie projektą ir projekto baigiamąjį renginį.</t>
  </si>
  <si>
    <t>05-02-03</t>
  </si>
  <si>
    <t>Gerinti turizmo informacinę infrastruktūrą</t>
  </si>
  <si>
    <t>Informacinių ženklų, stendų, stulpų, nuorodų, infoterminalų ir kt. atnaujinimas</t>
  </si>
  <si>
    <t>Atnaujintos informacinės rodyklės (15 vnt.) ir nuorodos į lankytinus objektus Šiaulių pėsčiųjų bulvare Vilniaus g.</t>
  </si>
  <si>
    <t>05-02-04</t>
  </si>
  <si>
    <t xml:space="preserve">Įgyvendinti miesto turizmo rinkodaros ir komunikacijos priemones </t>
  </si>
  <si>
    <t>Suorganizuotų tarpdisciplininių renginių priemonių apie miestą / parengtų ir (ar) išleistų  pranešimų/straipsnių skaičius</t>
  </si>
  <si>
    <t>1. Suorganizuoti du turizmo renginiai (2): „Šiaulių turizmo gatvė 2025“, kuriame dalyvavo 69 atstovai (turizmo informacijos centrai, muziejai, regioniniai parkai ir pan.) iš Lietuvos ir Latvijos. IX Šiaulių krašto turizmo forumas „Viešojo turizmo sektoriaus teikiamų paslaugų kokybės gerinimas Lietuvoje ir Latvijoje“ 2025 m. gruodžio 2 d. Šiauliuose. Pranešimus skaitė 14 lektorių, dalyvavo 101 klausytojas.
2. Parengti 5 straipsniai / tekstai (vnt.) apie Šiaulių miesto tapatybę: 1 straipsnis apie Šiaulių tarmę, 1 straipsnis apie Šiaulių kraštovaizdį, 1 tekstas apie Šiaulių dabartinį dailės gyvenimą, vykstančius procesus, 1 tekstas apie Šiaulių pramonę ir verslą, 1 tekstas apie Šiaulių istoriją. 
3. Organizuotas paskaitų ciklas „Miestas kaip procesas“.</t>
  </si>
  <si>
    <t>Įrašų per nuomonės formuotojus, žurnalistus, tinklaraštininkus skaičius socialiniuose tinkluose</t>
  </si>
  <si>
    <t>Iš viso parengta ir paviešinta 16 turinio vienetų. Pakviesti 4 (3 iš Lietuvos, 1 iš Latvijos) nuomonės formuotojai, kurie savo socialiniuose kanaluose (internetinėse svetainėse, Facebook, Instagram bei Tik tok profiliuose) aplankė, kūrė ir pristatė turistines aktualijas, populiariausius ir naujausius Šiaulių miesto objektus.</t>
  </si>
  <si>
    <t>Iš viso paviešinti 76 turinio vienetai. Įgyvendinta Šiaulių miesto turizmo išteklių viešinimo kampanija Lietuvos žiniasklaidos priemonėse, vykdyta Šiaulių turistinių išteklių viešinimo ir reklamos kampanija skaitmeniniame turizmo kataloge-naujienų portale www.turizmas.lt, reklaminės internetinių svetainių www.baltuklelias.lt ir www.visitsiauliai.lt „Meta Ads“ kampanijos Lietuvoje ir Latvijoje, parengti ir ištestuoti tekstai lengvai suprantama kalba, skirti internetinių svetainių www.visitsiauliai.lt ir www.baltukelias.lt turiniui - iš viso paviešinti 24 turinio vienetai; įgyvendinta Šiaulių miesto turizmo išteklių viešinimo kampanija Latvijos žiniasklaidos priemonėse, turizmo portaluose, tinklaraščiuose - parengtas ir publikuotas 31 turinio vienetas; įgyvendinta Šiaulių miesto turizmo išteklių viešinimo kampanija Estijos žiniasklaidoje, turizmo portaluose, tinklaraščiuose - parengta ir publikuota 10 turinio vienetų.</t>
  </si>
  <si>
    <t>Tarptautinių ir nacionalinių turizmo, studijų, kultūros, mokslo ir pan. parodų, švenčių, verslo misijų ir kt. renginių, kuriuose pristatytos Šiaulių miesto galimybės, skaičius</t>
  </si>
  <si>
    <t>Šiaulių miesto turistiniai ištekliai pristatyti 5 tarptautinėse turizmo ir kitose parodose, mugėse, verslo misijose:
„Vakantiebeurs 2025“, Utrechte; „Adventur 2025“, Vilniuje; „Balttour 2025“, Rygoje; „Vilniaus knygų mugė 2025“, Vilniuje; Verslo misija Lietuvos ambasadoje Latvijoje, Rygoje; 8 miestų šventėse Lietuvoje ir Latvijoje: „Hanza dienos 2025“, Kaune; „Daugpilio miesto šventė“, „Jelgavos miesto šventė“, „Joniškio miesto šventė, Jūros šventė 2025“, Klaipėdoje, „Pakruojo miesto šventė 2025“, „Vilniaus dienos 2025“, „Šiaulių dienos 2025“.</t>
  </si>
  <si>
    <t>Turistinių informacinių ir reprezentacinių leidinių lietuvių ir užsienio kalbomis (popieriniai ir skaitmeniniai) skaičius</t>
  </si>
  <si>
    <t>Parengtas miesto istorijų, sėkmės istorijų ir pan. ciklų (interviu, tinklalaidės, akcijos, fotoreportažų ir pan.) skaičius</t>
  </si>
  <si>
    <t>Parengtas 1 miesto sėkmės istorijos ciklas, kurį sudarė 1 įvaizdinis / reprezentacinis-turistinis vaizdo klipas, įgyvendinta 1 šio video reklaminė kampanija (Lietuvoje, Latvijoje, Estijoje), 1 laida Latvijos televizijoje, įgyvendinta klipo komunikacija ir reklama socialiniame tinkle Youtube Lietuvoje, Latvijoje ir Estijoje (178000 peržiūrų, 776000 parodymų).</t>
  </si>
  <si>
    <t>Sukurtų edukacinių, rinkodarinių priemonių (animaciniai filmukai, žaidimai, komiksai, piešinių konkursai ir kt.) skaičius</t>
  </si>
  <si>
    <t>Nupirkta paslauga ir sukurtos edukacinės - rinkodarinės priemonės pristatant Šiaulių miesto įvaizdį išvykstamuosiuose bei vietos renginiuose, įsigyta edukacinių žaidimų vaizdų atnaujinimo paslauga interaktyvioje ,„Baltų kelio" centro ekspozicijoje.</t>
  </si>
  <si>
    <t>Įsigytos reprezentacinės aprangos, suvenyrų-dovanų ir priemonių komplektų kiekis</t>
  </si>
  <si>
    <t>Siekiant reprezentuoti miestą ir stiprinti miesto vizualinį įvaizdį vietos bei išvykstamuosiuose renginiuose, įsigytas reprezentacinių moterims ir vyrams skirtų rūbų skirtingiems metų laikams su Šiaulių miesto atributika komplektas.</t>
  </si>
  <si>
    <t>Suorganizuotų informacinių – pažintinių turų Lietuvos ir užsienio žiniasklaidos atstovams, turizmo sektoriaus specialistams skaičius</t>
  </si>
  <si>
    <t>Suorganizuoti du (1 ir 2 dienų) informaciniai-pažintiniai turai, kurių metu buvo pristatomos populiariausios lankytinos Šiaulių vietos, turistinės naujienos, paslaugos ir pan. Latvijos žiniasklaidos atstovams, kelionių tinklaraštininkams, skaitmeninio turinio kūrėjams. Iš viso dalyvavo 14 asmenų.</t>
  </si>
  <si>
    <t>05-02-06</t>
  </si>
  <si>
    <t>Plėtoti ir stiprinti prioritetines Šiaulių miesto ir regiono turizmo rūšis</t>
  </si>
  <si>
    <t>Įvykdytų tarptautinio kultūros kelio „Baltų kelias" ir kitų kultūros ir turistinių kelių plėtros rinkodarinių/komunikacinių ir kt. veiklų skaičius</t>
  </si>
  <si>
    <t>Vystomų prioritetinių turizmo rūšių skaičius</t>
  </si>
  <si>
    <t>Šiaulių mieste šiuo metu vystomos (pagal tikslą) šios prioritetinės turizmo rūšys: 1. Kultūrinis – pažintinis turizmas. 2. Sakralinis / religinis turizmas. 3. Pramoninis / industrinis turizmas.</t>
  </si>
  <si>
    <t>05-02-06-01</t>
  </si>
  <si>
    <t>Įgyvendinti projektą "Pajausk istorinį skonį"</t>
  </si>
  <si>
    <t>Įgyvendinta projekto „Pajausk istorinį skonį“ veiklų</t>
  </si>
  <si>
    <t>Įgyvendintos projekto veiklos: bendradarbiaujant su partneriais - Šiaulių technologijų mokymo centru, Daugpilio turizmo informacijos centru ir Daugpilio technologijų ir turizmo technikos mokykla - parengtos techninės specifikacijos, sudarytos sutartys su ekspertais rinkti istorinius duomenis, medžiagą būsimai elektroninei kulinarinio paveldo knygai. Organizuotos gastronominės turizmo patirties mainų kelionės Biržuose - Rokiškyje;  įvyko turizmo patirties mainų kelionės Latvijoje: Latgalos regione, Daugpilyje; organizuota patirties mainų kelionė į Italiją (siekiant susipažinti su kulinarinio paveldo turizmo objektais ir  gastronomija, turistinės traukos vietose); publikuotas straipsnis apie Šiaulių ir Latgalos regionų kulinarinį paveldą, turizmą ir patį projektą (straipsnis publikuotas „Šiaulių krašto“ laikraštyje bei portale www.skrastas.lt); buvo vykdoma projekto dalis kartu su  partneriais dėl Kulinarijos centrų įrengimo (Šiauliuose ir Latvijoje); vykdyti pasirengiamieji darbai dėl būsimų gastronominių festivalių (šokolado ir giros) organizavimo 2026 metais.</t>
  </si>
  <si>
    <t>05-02-06-02</t>
  </si>
  <si>
    <t>Didinti religinio turizmo prieinamumą</t>
  </si>
  <si>
    <t>Įgyvendintų religinio turizmo skatinimo programų</t>
  </si>
  <si>
    <t>Įgyvendintos religinio turizmo skatinimo programos veiklos: bendri 4 savivaldybių religinio turizmo maršruto „Malonių kelias“ viešinimo ir rinkodaros darbai; organizuota ir dalyvauta tarptautinėje turizmo kontaktų mugėje ir infoture – renginyje Varšuvoje (Lenkija) Lenkijos žiniasklaidai ir kelionių operatoriams; organizuoti 3 piligriminiai žygiai (pėsčiomis, dviračiais),  dalyvavo 443 dalyviai. Penktą kartą vyko „Bažnyčių naktų“ renginių savaitgalis. Renginių ciklo metu penkiose Šiaulių miesto bažnyčiose buvo pristatytos koncertinės programos. Iš viso buvo surengtos 4 koncertinės programos ir 4 pažintinės ekskursijos, 1 paroda, apsilankė 1176 lankytojai; organizuota „Malonių kelio“ savivaldybių konferencija „Lietuva Europos religinio turizmo žemėlapyje: kaip užtikrinti, kad sakralinis paveldas taptų regioninės plėtros varikliu ir darniai susietų tikėjimą, paveldą ir turizmą?“, kuri vyko Šiluvoje (Raseinių rajono savivaldybė). Nupirkta kelionės organizavimo paslauga vykimui į 2026 m. vasario mėn. Fatimoje (Portugalija) vyksiančiame viename didžiausių pasaulyje religinio turizmo forumų IWRT.</t>
  </si>
  <si>
    <t>05-02-06-03</t>
  </si>
  <si>
    <t>Vystyti Šiaulių mieste/ regione turistinių Kultūros kelių maršrutus</t>
  </si>
  <si>
    <t>Kultūros kelių, pradėtų vystyti Šiaulių mieste / regione („Baltų kelias“ ir kitų kultūros, turistinių kelių) maršrutų, rinkodaros, komunikacijos ir kitų veiklų skaičius</t>
  </si>
  <si>
    <t>Vyko kultūros kelio „Baltų kelias“, pradėto vystyti Šiaulių mieste ir regione, laidos kūrimas ir transliavimas įtraukiant kultūros objektus; video klipo apie Šiaulių miesto kultūros kelius kūrimas; įgyvendinta vaizdo klipo, pristatančio kultūros kelius ir kitus turistinius išteklius Šiaulių mieste, viešinimo ir transliavimo kampanija Lietuvos nacionalinio transliuotojo (LRT) TV kanale.</t>
  </si>
  <si>
    <t>05-02-09</t>
  </si>
  <si>
    <t>Įgyvendinti projektą „Didinti Lietuvos ir Lenkijos pasienio regiono patrauklumą, bendradarbiaujant per sieną ir tausiai naudojant baltų kultūros paveldą, sukuriant tarptautinį kultūros maršrutą „Baltų kelias“ (santr. Balts road LT-PL)“</t>
  </si>
  <si>
    <t>Įgyvendinta projekto veiklų</t>
  </si>
  <si>
    <t>Orientuojantis į naujų „Baltu kelio” maršrutų plėtrą, svetainėje baltukelias.lt atsirado 50 naujų objektų Lietuvoje ir Lenkijoje 4 kalbomis (lietuvių, latvių, anglų, lenkų), nauji maršrutai Lietuvos-Lenkijos teritorijoje, skaitmeninis žemėlapis. Svetainės medžiaga (esami objektai, kita informacija) išversta į lenkų kalbą. Siekiant populiarinti „Baltų kelią”, supažindinti su naujais maršrutais kartu su partneriais, buvo suorganizuoti 3 online mokymai gidams, turizmo sektoriaus specialistams ir kitiems suinteresuotiems asmenims, skirtingomis temomis su sinchroniniu vertimu į/iš lietuvių ir lenkų kalbas. Sukurtas turistinių maršrutų žemėlapis ir atspausdintas „Baltų kelio“ turistinių maršrutų žemėlapis trimis kalbomis (LT, PL, EN) pagal partnerių paruoštą medžiagą. Didinant sklaidą apie „Baltų kelio” maršrutus, įgyvendinta reklamos paslauga partnerių kurtam vaizdo klipui transliuoti per DELFI TV. Kartu su partneriais ir išorės ekspertais parengta „Baltų kelio“ galimybių studija lietuvių, lenkų, anglų kalbomis.</t>
  </si>
  <si>
    <t>05-03</t>
  </si>
  <si>
    <t>Didinti Šiaulių miesto žinomumą ir teigiamą įvaizdį, stiprinant miesto identitetą ir rinkodarą</t>
  </si>
  <si>
    <t>Bendras svetainės „www.siauliai.lt” aktyvių vartotojų skaičius</t>
  </si>
  <si>
    <t>Savivaldybės administracijos paskyrų  „Facebook” / „Instagram” socialiniuose tinkluose stebėtojų skaičius</t>
  </si>
  <si>
    <t>Stebėtojų skaičius: "Facebook" - 32 380, "Instagram" - 2 525.</t>
  </si>
  <si>
    <t>Savivaldybės administracijos „YouTube” kanalo prenumeratorių skaičius</t>
  </si>
  <si>
    <t>Teigiamai Šiaulių miesto įvaizdį vertinančių studentų, verslo atstovų, miesto svečių ir gyventojų dalis (apklausa vykdoma kas 2 m.)</t>
  </si>
  <si>
    <t>05-03-01</t>
  </si>
  <si>
    <t>Padidinti Šiaulių matomumą tarptautiniuose informacijos sklaidos kanaluose</t>
  </si>
  <si>
    <t>Mokamų užsienio informacijos kanaluose paviešintų turinio vienetų (straipsnių, reklamų maketų, TV laidų, reportažų ir kt.) skaičius</t>
  </si>
  <si>
    <t>05-03-02</t>
  </si>
  <si>
    <t>Stiprinti Šiaulių miesto lyderystę regiono ir šalies mastu</t>
  </si>
  <si>
    <t>Nacionalinių tinklų, asocijuotų struktūrų, į kurių veiklą įsitraukusi Šiaulių miesto savivaldybė, skaičius</t>
  </si>
  <si>
    <t>Lietuvos marketingo asociacija; Nacionalinė jaunimo reikalų koordinatorių asociacija (NJRKA); Lietuvos savivaldybių sporto vadovų asociacija; Lietuvos tautinis olimpinis komitetas; ACES Europe (pateiktas ketinimų laiškas tapti Europos sporto miestu 2027 m. (European City of Sport 2027); Nacionalinė bendruomeninių organizacijų taryba; Lietuvos savivaldybių seniūnų asociacija LSSA; Lietuvos savivaldybių asociacija; Šiaulių regiono plėtros taryba; Šv. Jokūbo kelio asociacija; Šiaulių miesto vietos veiklos grupė; Tarpinstitucinių bendradarbiavimo koordinatorių asociacija.</t>
  </si>
  <si>
    <t>Užtikrintas reprezentacinių prekių įsigijimas</t>
  </si>
  <si>
    <t>Mokamų šalies informacijos kanaluose paviešintų turinio vienetų (straipsnių, reklamų maketų, TV laidų, reportažų ir kt.) skaičius</t>
  </si>
  <si>
    <t>Įgyvendintų viešinimo kampanijų skaičius</t>
  </si>
  <si>
    <t>06</t>
  </si>
  <si>
    <t>Socialinės apsaugos programa</t>
  </si>
  <si>
    <t>06-01</t>
  </si>
  <si>
    <t>Užtikrinti nuoseklų ir efektyvų socialinių paslaugų teikimą</t>
  </si>
  <si>
    <t>Teikiamų socialinių paslaugų rūšių (bendrųjų socialinių paslaugų, socialinės priežiūros paslaugų, socialinės globos paslaugų) skaičius</t>
  </si>
  <si>
    <t>06-01-01</t>
  </si>
  <si>
    <t>Užtikrinti socialinių paslaugų įstaigų veiklą</t>
  </si>
  <si>
    <t>Socialinių paslaugų centre teikiamų paslaugų rūšių skaičius</t>
  </si>
  <si>
    <t>Socialinių paslaugų centre aptarnautų asmenų (šeimų) skaičius</t>
  </si>
  <si>
    <t>2.02.</t>
  </si>
  <si>
    <t>Globos namuose teikiamų paslaugų rūšių skaičius</t>
  </si>
  <si>
    <t>Šiaulių miesto savivaldybės globos namuose teikiamos paslaugos:
1. Ilgalaikės socialinės globos paslauga senyvo amžiaus asmenims ir suaugusiems asmenims su  negalia ar sunkia negalia institucijoje;
2. Trumpalaikės socialinės globos paslauga senyvo amžiaus asmenims ir suaugusiems asmenims su  negalia ar sunkia negalia institucijoje;
3. Laikinas atokvėpis (trumpalaikė socialinė globa) institucijoje;
4. Laikinas atokvėpis (dienos socialinė globa) asmens namuose;
5. Apgyvendinimo Savarankiško gyvenimo namuose paslauga senyvo amžiaus asmenims ir suaugusiems asmenims su negalia;
6. Apgyvendinimo Apsaugotame būste paslauga;
7. Integralios pagalbos (dienos socialinės globos ir slaugos) asmens namuose paslauga senyvo amžiaus ir suaugusiems asmenims su negalia;
8. Dienos socialinės globos paslaugas asmens namuose asmenims su sunkia negalia;
9. Dienos socialinė globa įstaigoje (dienos centras GODA);
10. Socialinių įgūdžių ugdymas, palaikymas ir (ar) atkūrimas Socialinėse dirbtuvėse,
11.Bendrosios (informavimo, konsultavimo, tarpininkavimo ir atstovavimo, maitinimo organizavimo, sociokultūrinės, reabilitacijos ir kt.) socialines paslaugos;
12. Socialinės reabilitacijos paslaugos asmenims su negalia bendruomenėje;
13. Intensyvi krizių įveikimo pagalba - laikino apgyvendinimo, jei asmuo (šeima) dėl patirto smurto, prievartos ar kitų priežasčių negali naudotis savo gyvenamąja vieta;
14. Asmenų  socialinių paslaugų poreikio vertinimas, socialinės globos vertinimas.</t>
  </si>
  <si>
    <t>Globos namuose aptarnautų asmenų skaičius</t>
  </si>
  <si>
    <t>Kompleksinių paslaugų namuose "Alka" teikiamų paslaugų rūšių skaičius</t>
  </si>
  <si>
    <t>Kompleksinių paslaugų namuose "Alka" teikiamos paslaugos:
1. Ilgalaikė socialinė globa vaikams su negalia;
2. Trumpalaikė socialinė globa vaikams su negalia;
3. Laikinas atokvėpis institucijoje ir namuose;
4. Palydėjimo paslauga jaunuoliams;
5. Dienos užimtumo centro veikla;
6. Socialinės dirbtuvės.</t>
  </si>
  <si>
    <t>Kompleksinių paslaugų namuose "Alka" paslaugų gavėjų skaičius</t>
  </si>
  <si>
    <t>Šeimos centre teikiamų paslaugų rūšių skaičius</t>
  </si>
  <si>
    <t>Šiaulių miesto Šeimos centre teikiamos paslaugos:
1. Ilgalaikė (trumpalaikė) socialinė globa vaikams;
2. Vaikų dienos socialinė priežiūra (vaikų dienos centras);
3. Socialinė priežiūra šeimoms (atvejo vadyba šeimoms); 
4. Pagalba globėjams (rūpintojams), budintiems globotojams, įtėviams ir šeimynų dalyviams ar besirengiantiems jais tapti (globos centras);
5. Intensyvi krizių įveikimo pagalba.</t>
  </si>
  <si>
    <t>Šeimos centre paslaugų gavėjų skaičius</t>
  </si>
  <si>
    <t>Įstaigose įgyvendinamų projektų skaičius</t>
  </si>
  <si>
    <t>06-01-02</t>
  </si>
  <si>
    <t>Užtikrinti Globos centrų veiklą</t>
  </si>
  <si>
    <t>Budinčių globotojų skaičius</t>
  </si>
  <si>
    <t>Globos centrų skaičius</t>
  </si>
  <si>
    <t>GIMK mokymus baigusių asmenų skaičius</t>
  </si>
  <si>
    <t>Globėjų (rūpintojų) skaičius</t>
  </si>
  <si>
    <t>06-01-03</t>
  </si>
  <si>
    <t>Plėtoti socialinės globos paslaugas asmens namuose ir institucijoje</t>
  </si>
  <si>
    <t>Teikiamų paslaugų rūšių skaičius</t>
  </si>
  <si>
    <t>Asmenų, gaunančių laikino atokvėpio paslaugas, skaičius</t>
  </si>
  <si>
    <t>Dienos socialinės globos paslaugas institucijoje gaunančių asmenų skaičius</t>
  </si>
  <si>
    <t>Ilgalaikės ir trumpalaikės globos paslaugų gavėjų su sunkia negalia (unikalūs) skaičius</t>
  </si>
  <si>
    <t>Ilgalaikės ir trumpalaikės globos paslaugų gavėjų su negalia (unikalūs) skaičius</t>
  </si>
  <si>
    <t>Dienos socialinės globos paslaugų asmens namuose gavėjų su sunkia negalia (unikalūs) skaičius</t>
  </si>
  <si>
    <t>06-01-04</t>
  </si>
  <si>
    <t>Plėtoti prevencines socialines paslaugas, siekiant padėti asmenims (šeimoms) išvengti galimų socialinių problemų ir /ar socialinės rizikos atsiradimo ir sudaryti sąlygas asmeniui (šeimai) stiprinti gebėjimus savarankiškai spręsti socialines problemas</t>
  </si>
  <si>
    <t>Į darbo rinką integruotų darbo rinkai besirengiančio asmens statusą turinčių asmenų (ilgalaikių bedarbių) dalis nuo visų darbo rinkai besirengiančių ilgalaikių bedarbių</t>
  </si>
  <si>
    <t>Nukentėjusiems asmenims, kurie patyrė smurtą artimoje aplinkoje, patyčias, išgyvena krizę ir moterims bei mergaitėms patyrusioms prievartą, suteiktų socialinių paslaugų skaičius</t>
  </si>
  <si>
    <t>Smurto artimoje aplinkoje pavojų keliančių asmenų, savanoriškai dalyvaujančių Smurtinio elgesio artimoje aplinkoje keitimo programoje, skaičius</t>
  </si>
  <si>
    <t>Jaunuolių, gaunančių paslaugas atvirame jaunimo centre ar atviroje jaunimo erdvėje, skaičius</t>
  </si>
  <si>
    <t>06-01-05</t>
  </si>
  <si>
    <t>Įgyvendinti Būsto pritaikymo asmenims turintiems negalią programą</t>
  </si>
  <si>
    <t>Pritaikytų būstų dalis nuo visų gautų paraiškų nustatytam laikotarpiui</t>
  </si>
  <si>
    <t>06-01-06</t>
  </si>
  <si>
    <t>Didinti socialinių paslaugų prieinamumą</t>
  </si>
  <si>
    <t>Įgyvendinant priemonę „Didinti socialinių paslaugų prieinamumą", Savivaldybė perka ir finansuoja šias paslaugas: 
1. Socialinė priežiūra šeimoms, patiriančioms socialinę riziką (paslaugą teikia Labdaros ir paramos fondas "SOS vaikų kaimų Lietuvoje draugija" ir VŠĮ Šiaurės Lietuvos kolegija) (iš VB ir SB lėšų); 
2. Išvadų dėl asmens gebėjimo pasirūpinti savimi rengimas; 
3. Asmeninės pagalbos paslauga asmenims su negalia (iš VB lėšų) (Socialinių paslaugų centras);
4. Socialinė priežiūra šeimoms, auginančioms vaikus iki 12 mėn. ir vaikus su negalia iki 36 mėn.;
5. Socialinės reabilitacijos paslaugos asmenims su negalia bendruomenėje (iš VB ir SB lėšų);
6. Vaikų dienos centrų veikla (iš VB ir SB lėšų);
7. Intensyvios krizių įveikimo pagalbos paslaugas asmeniui (šeimai), atsidūrusiems krizinėje situacijoje (VŠĮ Motinos Teresės šeimų namai); 
8. Pagalba į namus (VŠĮ Nuoširdus rūpestis, Šiaulių Vyskupijos Caritas, VŠĮ Nacionalinis socialinės integracijos institutas, VšĮ Sidabrinė pieva);  
9. Palydėjimo paslauga jaunuoliams (Kompleksinių paslaugų namai "Alka" ir VŠĮ Vilniaus SOS vaikų kaimas); 
10. Apsaugotas būstas (Šiaulių miesto savivaldybės globos namai, VŠĮ Motinos Teresės šeimų namai);
11. Socialinės dirbtuvės (VŠĮ Motinos Teresės šeimų namai).</t>
  </si>
  <si>
    <t>Suteikta asmeninės pagalbos paslaugų asmenims su negalia dalis nuo pateiktų prašymų</t>
  </si>
  <si>
    <t>Suteikta palydėjimo jaunuoliams paslaugų dalis nuo pateiktų prašymų</t>
  </si>
  <si>
    <t>Suteikta intensyvios krizių įveikimo pagalbos paslaugų dalis nuo pateiktų prašymų</t>
  </si>
  <si>
    <t>Patenkintų prašymų pagalbos į namus paslaugai gauti dalis nuo visų pateiktų asmenų prašymų</t>
  </si>
  <si>
    <t>Socialines paslaugas pradėję gauti asmenys (grupinio gyvenimo  namuose / apgyvendinimo apsaugotame būste / socialinėse dirbtuvėse)</t>
  </si>
  <si>
    <t>I ketv.: Socialines paslaugas pradėję gauti asmenys (grupinio gyvenimo namuose (13) ir šeiminiuose namuose (7),  iš viso - 20 / apgyvendinimo apsaugotame būste - 7  / socialinėse dirbtuvėse - 12).
II ketv.: Socialines paslaugas pradėję gauti asmenys (grupinio gyvenimo namuose (13) ir šeiminiuose namuose (7),  iš viso - 20 / apgyvendinimo apsaugotame būste - 7  / socialinėse dirbtuvėse - 13).
III ketv.: Socialines paslaugas pradėję gauti asmenys (grupinio gyvenimo namuose (15) ir šeiminiuose namuose (7),  iš viso - 22 / apgyvendinimo apsaugotame būste - 7  / socialinėse dirbtuvėse - 13).
IV ketv.: Socialines paslaugas pradėję gauti asmenys (grupinio gyvenimo namuose (15) ir šeiminiuose namuose (7),  iš viso - 22 / apgyvendinimo apsaugotame būste - 3  / socialinėse dirbtuvėse - 12).</t>
  </si>
  <si>
    <t>Patenkintų prašymų apsaugoto būsto, socialinės globos paslaugoms grupinio gyvenimo namuose ir socialinėse dirbtuvėse gauti dalis nuo visų pateiktų prašymų</t>
  </si>
  <si>
    <t>Suteikta socialinės reabilitacijos paslaugų bendruomenėje dalis nuo gautų prašymų</t>
  </si>
  <si>
    <t>Vaikų, gaunančių socialinės priežiūros paslaugas vaikų dienos centruose, skaičius</t>
  </si>
  <si>
    <t>Vaikų su negalia dalis nuo visų vaikų dienos centrus lankančių vaikų</t>
  </si>
  <si>
    <t>Pritrauktų reikiamos kvalifikacijos socialinės srities specialistų skaičius</t>
  </si>
  <si>
    <t>Partnerysčių ir (ar) bendradarbiavimo sutarčių su socialinės srities specialistus rengiančiomis mokymo įstaigomis skaičius</t>
  </si>
  <si>
    <t>06-01-07</t>
  </si>
  <si>
    <t>Plėtoti neinstitucinės globos paslaugas vaikams</t>
  </si>
  <si>
    <t>Globėjų, globojančių vaikus skaičius</t>
  </si>
  <si>
    <t>Globojamų vaikų skaičius</t>
  </si>
  <si>
    <t>Šeimynų, globojančių vaikus skaičius</t>
  </si>
  <si>
    <t>Globojamų vaikų šeimynose skaičius</t>
  </si>
  <si>
    <t>Budinčių globotojų globojamų vaikų, likusių be tėvų globos šeimoje, skaičius</t>
  </si>
  <si>
    <t>Nuolatinių globotojų, globojančių vaikus, likusius be tėvų globos šeimoje, kuriems užtikrintas emocinis ir fizinis saugumas bei visavertis, poreikius atitinkantis ugdymas ir priežiūra, skaičius</t>
  </si>
  <si>
    <t>06-01-09</t>
  </si>
  <si>
    <t>Užtikrinti kraitelio skyrimą šeimoms, susilaukusioms kūdikio</t>
  </si>
  <si>
    <t>Nupirktų kraitelių skaičius</t>
  </si>
  <si>
    <t>Kūdikiams įteiktų kraitelių dalis nuo visų per metus gimusių kūdikių</t>
  </si>
  <si>
    <t>06-01-10</t>
  </si>
  <si>
    <t>Įgyvendinti projektą „Kompleksinės paslaugos šeimai Šiaulių miesto savivaldybėje"</t>
  </si>
  <si>
    <t>Paslaugų gavėjų skaičius</t>
  </si>
  <si>
    <t>Bendruomeninių šeimos namų darbuotojų, organizuojančių kompleksinių paslaugų teikimą šeimai, skaičius</t>
  </si>
  <si>
    <t>06-01-11</t>
  </si>
  <si>
    <t>Įgyvendinti projektą ,,Socialinės įtraukties ir įgalinimo stiprinimas pažeidžiamoms grupėms per integruotą ir kūrybingą metodiką“</t>
  </si>
  <si>
    <t>Pateikta paraiška finansavimui gauti</t>
  </si>
  <si>
    <t>06-01-12</t>
  </si>
  <si>
    <t>Įgyvendinti materialinio nepritekliaus mažinimo programą</t>
  </si>
  <si>
    <t>Šeimų, gaunančių paramą, skaičius</t>
  </si>
  <si>
    <t>06-01-13</t>
  </si>
  <si>
    <t>Įgyvendinti projektą „Perėjimas nuo institucinės globos prie bendruomeninių paslaugų Sostinės regione Vidurio ir vakarų Lietuvos regione"</t>
  </si>
  <si>
    <t>Pasirašytų sutikimų dalyvauti atvejo vadybos modelio taikyme su asmenims, turinčiais psichikos ir (ar) intelekto negalią, skaičius</t>
  </si>
  <si>
    <t>Inicijuotų atvejo vadybos modelio taikymo atvejų skaičius</t>
  </si>
  <si>
    <t>I ketv. Inicijuotų atvejo vadybos modelio taikymo atvejų - 13
II ketv. Inicijuotų atvejo vadybos modelio taikymo atvejų - 25.
III ketv. Inicijuotų atvejo vadybos modelio taikymo atvejų – 10.
IV ketv. Inicijuotų atvejo vadybos modelio taikymo atvejų – 8. Nuo metų pradžios iš viso 56 atvejai.</t>
  </si>
  <si>
    <t>Partnerių, vykdančių socialinių įgūdžių ugdymo, palaikymo ir (ar) atkūrimo (socialinių dirbtuvių) veiklą, skaičius</t>
  </si>
  <si>
    <t>Socialinių dirbtuvių veikloje dalyvaujančių asmenų, turinčių psichikos ir (ar) intelekto negalią, skaičius</t>
  </si>
  <si>
    <t>I ketv. Socialinių dirbtuvių veikloje dalyvaujančių asmenų, turinčių psichikos ir (ar) inteketo negalią - 12.
II ketv. Socialinių dirbtuvių veikloje dalyvaujančių asmenų, turinčių psichikos ir (ar) intelekto negalią nuo metų pradžios - 13.
III ketv.  Socialinių dirbtuvių veikloje dalyvaujančių asmenų, turinčių psichikos ir (ar) intelekto negalią nuo metų pradžios – 13.
IV ketv. Socialinių dirbtuvių veikloje dalyvaujančių asmenų, turinčių psichikos ir (ar) intelekto negalią nuo metų pradžios – 13.</t>
  </si>
  <si>
    <t>06-02</t>
  </si>
  <si>
    <t>Užtikrinti socialinių paslaugų prieinamumą ir kokybę, plečiant, atnaujinant ir modernizuojant socialinių paslaugų infrastruktūrą</t>
  </si>
  <si>
    <t>Socialinių įstaigų pastatų skaičius</t>
  </si>
  <si>
    <t>Asmenų ir šeimų, laukiančių socialinio būsto nuomos, laukimo laikas</t>
  </si>
  <si>
    <t>metai</t>
  </si>
  <si>
    <t>Socialinių įstaigų pastatų, kurie yra geros būklės, skaičius</t>
  </si>
  <si>
    <t>06-02-02</t>
  </si>
  <si>
    <t>Šeimoje ir bendruomenėje teikiamų paslaugų, asmenims su proto ir intelekto negalia, plėtra</t>
  </si>
  <si>
    <t>Įsigytų apsaugotų būstų skaičius</t>
  </si>
  <si>
    <t>06-02-04</t>
  </si>
  <si>
    <t>Didinti socialinio būsto prieinamumą</t>
  </si>
  <si>
    <t>Naujai įsigyto socialinio būsto apimtys</t>
  </si>
  <si>
    <t>Asmenų (šeimų), laukiančių socialinio būsto, skaičius metų pabaigoje</t>
  </si>
  <si>
    <t>06-02-05</t>
  </si>
  <si>
    <t>Įgyvendinti projektą „Socialinio būsto fondo plėtra Šiaulių miesto savivaldybėje"</t>
  </si>
  <si>
    <t>Nupirktų būstų skaičius</t>
  </si>
  <si>
    <t>06-02-06</t>
  </si>
  <si>
    <t>Rekonstruoti Šiaulių miesto savivaldybės socialinių paslaugų centro Paramos tarnybos pastatą (Stoties g.)</t>
  </si>
  <si>
    <t>06-02-07</t>
  </si>
  <si>
    <t>Pastatyti (pritaikyti pastatą) nakvynės namų ir apgyvendinimo paslaugoms teikti</t>
  </si>
  <si>
    <t>06-03</t>
  </si>
  <si>
    <t>Užtikrinti valstybės garantuotos piniginės socialinės paramos teikimą</t>
  </si>
  <si>
    <t>Piniginės socialinės paramos gavėjų dalis nuo bendro Šiaulių miesto gyventojų skaičiaus</t>
  </si>
  <si>
    <t>06-03-01</t>
  </si>
  <si>
    <t>Skirti ir išmokėti išmokas ir kompensacijas</t>
  </si>
  <si>
    <t>Socialinių išmokų ir kompensacijų gavėjų skaičius</t>
  </si>
  <si>
    <t>Išmokos mokamos pagal poreikį</t>
  </si>
  <si>
    <t>Laidojimo pašalpų gavėjų skaičius</t>
  </si>
  <si>
    <t>06-03-01-01</t>
  </si>
  <si>
    <t>Skirti socialinę pašalpą</t>
  </si>
  <si>
    <t>Išmokų gavėjų skaičius</t>
  </si>
  <si>
    <t>06-03-01-02</t>
  </si>
  <si>
    <t>Kompensuoti būsto šildymo išlaidas</t>
  </si>
  <si>
    <t>06-03-01-03</t>
  </si>
  <si>
    <t>Kompensuoti šalto vandens ir nuotekų išlaidas</t>
  </si>
  <si>
    <t>06-03-01-04</t>
  </si>
  <si>
    <t>Kompensuoti karšto vandens išlaidas</t>
  </si>
  <si>
    <t>06-03-01-05</t>
  </si>
  <si>
    <t>Kompensuoti kredito, paimto daugiabučiui namui atnaujinti ir palūkanų apmokėjimo už asmenis, turinčius teisę į būsto šildymo išlaidas</t>
  </si>
  <si>
    <t>06-03-01-06</t>
  </si>
  <si>
    <t>Skirti laidojimo pašalpą</t>
  </si>
  <si>
    <t>06-03-01-07</t>
  </si>
  <si>
    <t>Kompensuoti už būsto šildymą (kitomis kuro rūšimis)</t>
  </si>
  <si>
    <t>06-03-01-08</t>
  </si>
  <si>
    <t>Kompensuoti palaikų pervežimą</t>
  </si>
  <si>
    <t>06-03-01-09</t>
  </si>
  <si>
    <t>Užtikrinti išmokas Ginkluoto pasipriešinimo / rezistencijos dalyviams mokėti</t>
  </si>
  <si>
    <t>06-03-01-10</t>
  </si>
  <si>
    <t>Užtikrinti vienkartinių išmokų įsikurti gyvenamojoje vietoje savivaldybės teritorijoje ir (ar) mėnesinių kompensacijų vaiko ugdymo pagal ikimokyklinio ar priešmokyklinio ugdymo programą, skirtų laikinąją apsaugą LR gavusiems užsieniečiams, mokėjimą</t>
  </si>
  <si>
    <t>06-03-02</t>
  </si>
  <si>
    <t>Skirti ir išmokėti išmokas vaikams</t>
  </si>
  <si>
    <t>06-03-02-01</t>
  </si>
  <si>
    <t>Pervesti lėšas vienkartinei išmokai vaikui mokėti</t>
  </si>
  <si>
    <t>06-03-02-02</t>
  </si>
  <si>
    <t>Pervesti lėšas išmokai vaikui mokėti</t>
  </si>
  <si>
    <t>06-03-02-03</t>
  </si>
  <si>
    <t>Pervesti lėšas privalomosios tarnybos kario vaikui mokėti</t>
  </si>
  <si>
    <t>06-03-02-04</t>
  </si>
  <si>
    <t>Pervesti lėšas vienkartinei išmokai nėščiai moteriai mokėti</t>
  </si>
  <si>
    <t>06-03-02-05</t>
  </si>
  <si>
    <t>Pervesti lėšas globos (rūpybos) išmokai mokėti</t>
  </si>
  <si>
    <t>06-03-02-06</t>
  </si>
  <si>
    <t>Pervesti lėšas našlaičio įsikūrimui (vienkartinė išmoka)</t>
  </si>
  <si>
    <t>06-03-02-07</t>
  </si>
  <si>
    <t>Pervesti lėšas globos (rūpybos) išmokos tiksliniui priedui mokėti</t>
  </si>
  <si>
    <t>06-03-02-08</t>
  </si>
  <si>
    <t>Pervesti lėšas išmokai besimokančio ar studijuojančio asmens vaiko priežiūrai</t>
  </si>
  <si>
    <t>06-03-02-09</t>
  </si>
  <si>
    <t>Pervesti lėšas išmokai gimus vienu metu daugiau kaip vienam vaikui</t>
  </si>
  <si>
    <t>06-03-02-10</t>
  </si>
  <si>
    <t>Pervesti lėšas išmokai įvaikinus vaiką  mokėti</t>
  </si>
  <si>
    <t>06-03-02-11</t>
  </si>
  <si>
    <t>Pervesti lėšas vaiko laikinosios priežiūros išmokai mokėti</t>
  </si>
  <si>
    <t>06-03-02-12</t>
  </si>
  <si>
    <t>Apmokėti administravimo išlaidos</t>
  </si>
  <si>
    <t>Patvirtintų pareigybių</t>
  </si>
  <si>
    <t>06-03-02-13</t>
  </si>
  <si>
    <t>Vaiko priežiūros kompensacinė išmoka</t>
  </si>
  <si>
    <t>06-03-03</t>
  </si>
  <si>
    <t>Skirti ir išmokėti tikslines kompensacijas</t>
  </si>
  <si>
    <t>06-03-03-01</t>
  </si>
  <si>
    <t>Užtikrinti individualios pagalbos teikimo išlaidų kompensacijų mokėjimą</t>
  </si>
  <si>
    <t>06-03-03-02</t>
  </si>
  <si>
    <t>06-03-04</t>
  </si>
  <si>
    <t>Skirti kompensacijas nepriklausomybės gynėjams nukentėjusiems nuo 1991 m. sausio 11-13 d. ir po to vykdytos SSRS agresijos</t>
  </si>
  <si>
    <t>06-03-05</t>
  </si>
  <si>
    <t>Skirti kitas išmokas</t>
  </si>
  <si>
    <t>06-03-06</t>
  </si>
  <si>
    <t>Skirti socialinę paramą moksleiviams</t>
  </si>
  <si>
    <t>06-03-06-01</t>
  </si>
  <si>
    <t>Apmokėti išlaidas už įsigytus maisto produktus</t>
  </si>
  <si>
    <t>06-03-06-02</t>
  </si>
  <si>
    <t>Apmokėti išlaidas mokinio reikmenims</t>
  </si>
  <si>
    <t>06-03-07</t>
  </si>
  <si>
    <t>Įgyvendinti vystomojo bendradarbiavimo veiklą ir teikti humanitarinę pagalbą</t>
  </si>
  <si>
    <t>Suteikta pagalba (parama) šaliai, kurioje įvesta nepaprastoji padėtis ir (ar) karo padėtis</t>
  </si>
  <si>
    <t>07</t>
  </si>
  <si>
    <t>Sporto programa</t>
  </si>
  <si>
    <t>07-01</t>
  </si>
  <si>
    <t>Skatinti gyventojų fizinio aktyvumo veiklas ir plėtoti aukšto meistriškumo sportininkų rengimo sistemą</t>
  </si>
  <si>
    <t>Sportuojančiųjų sporto klubuose ir sportininkų rengimo centruose dalis nuo gyventojų skaičiaus</t>
  </si>
  <si>
    <t>Europos ir pasaulio suaugusiųjų čempionatų olimpinių sporto šakų 1-3 v. laimėtojai</t>
  </si>
  <si>
    <t>Tik vienas sportininkas pasiekė suaugusiųjų olimpinių sporto šakų podiumą, labai daug šiauliečių liko netoli apdovanojimų.</t>
  </si>
  <si>
    <t>07-01-01</t>
  </si>
  <si>
    <t>Užtikrinti sporto įstaigų veiklą</t>
  </si>
  <si>
    <t>Sporto įstaigose rengiamų sportininkų</t>
  </si>
  <si>
    <t>Šiaulių miesto biudžetines sporto įstaigose buvo rengiami  2818 sportininkai.</t>
  </si>
  <si>
    <t>Rinktinės narių (suaugusiųjų amžiaus grupėje)</t>
  </si>
  <si>
    <t>53 Šiaulių sportininkai atstovaują Lietuvos suaugusiųjų rinktinei (imtynės, BMX, šaudymas, lengvoji atletika, tekvondo, irklavimas ir kt.)</t>
  </si>
  <si>
    <t>Rinktinės narių (jaunučių, jaunių, jaunimo amžiaus grupėse) skaičius</t>
  </si>
  <si>
    <t>171 jaunasis Šiaulių sportininkas įtraukti į Lietuvos jaunimo, jaunių ir jaunučių rinktines (krepšinis, tekvondo, imtynės, lengvoji atletika, regbis, žolės riedulys, futbolas ir kt.)</t>
  </si>
  <si>
    <t>Užtikrintas sportininkų medicininis aptarnavimas Šiaulių lengvosios atletikos ir sveikatingumo centre, gydytojų skaičius</t>
  </si>
  <si>
    <t>etatas</t>
  </si>
  <si>
    <t>Užtikrintas sportininkų medicininis aptarnavimas Šiaulių lengvosios atletikos ir sveikatingumo centre, kitų medicinos darbuotojų skaičius</t>
  </si>
  <si>
    <t>07-01-02</t>
  </si>
  <si>
    <t>Užtikrinti sportininkų rengimo centrų veiklą</t>
  </si>
  <si>
    <t>07-01-02-01</t>
  </si>
  <si>
    <t>Įgyvendinti futbolo sporto šakos plėtros programą</t>
  </si>
  <si>
    <t>Komandų, dalyvaujančių LFF A, I ir II lygos varžybose</t>
  </si>
  <si>
    <t>LFF A lygos varžybose dalyvavo vyrų futbolo komanda „FA ŠIAULIAI", o LFF I lygos varžybose dalyvavo FA „ŠIAULIAI B" ir moterų futbolo komanda „FA ŠIAULIAI".</t>
  </si>
  <si>
    <t>Futbolo plėtros programoje rengiamų sportininkų</t>
  </si>
  <si>
    <t>07-01-02-02</t>
  </si>
  <si>
    <t>Įgyvendinti krepšinio sporto šakos plėtros programą</t>
  </si>
  <si>
    <t>Komandų, dalyvaujančių Regiono lygos varžybose</t>
  </si>
  <si>
    <t>Regionų krepšinio lygos varžybose dalyvavo vyrų VšĮ krepšinio akademijos „Saulė" krepšinio komanda.</t>
  </si>
  <si>
    <t>Krepšinio plėtros programoje rengiamų sportininkų</t>
  </si>
  <si>
    <t>07-01-03</t>
  </si>
  <si>
    <t>Vykdyti miesto, apskrities, šalies ir tarptautinius sporto renginius bei pasirengti ir dalyvauti šalies ir tarptautinėse varžybose (Baltijos, Europos ir pasaulio čempionato varžybos, kompleksiniai renginiai ir kt.)</t>
  </si>
  <si>
    <t>Šalies sporto šakų čempionatuose, taurės varžybose (suaugusiųjų amžiaus grupėje) laimėta 1–3 vietų</t>
  </si>
  <si>
    <t>Šiaulių miesto sporto įstaigų sportininkai laimėjo 228 Lietuvos suaugusiųjų čempionatų prizines vietas.</t>
  </si>
  <si>
    <t>Šalies sporto šakų čempionatuose, taurės varžybose (jaunučių, jaunių, jaunimo amžiaus grupėse) laimėta 1–3 vietų</t>
  </si>
  <si>
    <t>Šiaulių miesto sporto įstaigų sportininkai laimėjo 607 jaunučių, jaunių ir jaunimo Lietuvos čempionatų prizines vietas.</t>
  </si>
  <si>
    <t>Europos čempionate iškovotų 1–6 vietų ir pasaulio čempionate, taurės varžybose (suaugusiųjų amžiaus grupėje) iškovotų 1–10 vietų</t>
  </si>
  <si>
    <t>Šiaulių miesto sporto įstaigų 20 sportininkų Europos čempionate iškovojo 1–6 vietas ir pasaulio čempionate, taurės varžybose (suaugusiųjų amžiaus grupėje) užėmė 1-10 vietas, dalyvavo olimpinėse ir paralimpinėse žaidynėse.</t>
  </si>
  <si>
    <t>Europos čempionate iškovotų 1–6 vietų ir pasaulio čempionate, taurės varžybose (jaunučių, jaunių, jaunimo amžiaus grupėse) iškovotų 1–10 vietų</t>
  </si>
  <si>
    <t>Šiaulių miesto sporto įstaigų 17 sportininkų Europos čempionate iškovojo 1–6 vietas ir pasaulio čempionate, taurės varžybose (jaunučių, jaunių, jaunimo amžiaus grupėse) užėmė 1-10 vietas.</t>
  </si>
  <si>
    <t>Perspektyviausių jaunimo ir suaugusiųjų Šiaulių miesto sportininkų skaičius</t>
  </si>
  <si>
    <t>Šiaulių miesto sporto įstaigų 29 suaugusieji sportininkai ir 14 jaunimo sportininkų įtraukta į perspektyviausiųjų sąrašą.</t>
  </si>
  <si>
    <t>Organizuotoje aukšto meistriškumo sporto veikloje dalyvaujančių žmonių su negalia skaičius</t>
  </si>
  <si>
    <t>Rinktinės narių (suaugusiųjų amžiaus grupėje) skaičius</t>
  </si>
  <si>
    <t>139 Šiaulių miesto sporto įstaigų sportininkai buvo Lietuvos suaugusiųjų rinktinių nariais.</t>
  </si>
  <si>
    <t>Rinktinės narių (jaunių, jaunimo amžiaus grupėse) skaičius</t>
  </si>
  <si>
    <t>178 Šiaulių miesto sporto įstaigų sportininkas buvo Lietuvos jaunimo, jaunių ir jaunučių rinktinių nariais.</t>
  </si>
  <si>
    <t>Surengtų sporto renginių skaičius</t>
  </si>
  <si>
    <t>2025 m. Šiaulių miesto sporto įstaigos surengė 272 sporto renginius.</t>
  </si>
  <si>
    <t>07-01-04</t>
  </si>
  <si>
    <t>Pasirengti ir dalyvauti Lietuvos čempionato ir sporto šakų federacijų taurės, Baltijos lygos ir taurės laimėtojų, Europos taurės ir kitose oficialiose varžybose (žaidimų komandų jaunimo ir suaugusiųjų amžiaus grupė)</t>
  </si>
  <si>
    <t>Komandų, dalyvaujančių šalies varžybose skaičius</t>
  </si>
  <si>
    <t>Lietuvos čempionatuose laimėtų 1–3 vietų (suaugusiųjų žaidimų komandos) skaičius</t>
  </si>
  <si>
    <t>Komandų, dalyvaujančių tarptautinėse varžybose skaičius</t>
  </si>
  <si>
    <t>Tarptautinėse varžybose laimėta 1–3 vietų</t>
  </si>
  <si>
    <t>75 Šiaulių miesto sportininkai buvo įtraukti į 2025 metų suaugusiųjų žaidimų sporto šakų rinktines (regbis, žolės riedulys, futbolas ir kt.)</t>
  </si>
  <si>
    <t>Rinktinės narių (jaunimo amžiaus grupėje) skaičius</t>
  </si>
  <si>
    <t>58 Šiaulių miesto sportininkai buvo įtraukti į 2025 metų jaunimo, jaunių ir jaunučių žaidimų sporto šakų rinktines (regbis, žolės riedulys, futbolas ir kt.)</t>
  </si>
  <si>
    <t>07-01-05</t>
  </si>
  <si>
    <t>Įgyvendinti Šiaulių miesto reprezentacinių renginių programą</t>
  </si>
  <si>
    <t>Surengtų miestą reprezentuojančių sporto renginių (tame tarpe Europos ir pasaulio čempionatų, taurės varžybų) skaičius</t>
  </si>
  <si>
    <t>Surengtų sporto renginių dalyvių skaičius</t>
  </si>
  <si>
    <t>8 surengtuose reprezentaciniuose sporto renginiuose dalyvavo 9500 dalyviai (pagal reprezentacinių renginių vykdytojų pateiktus duomenis).</t>
  </si>
  <si>
    <t>07-01-06</t>
  </si>
  <si>
    <t>Skatinti sportininkus ir trenerius laimėjusius aukštas vietas tarptautinės varžybose</t>
  </si>
  <si>
    <t>Paskatinta aukšto meistriškumo sportininkų</t>
  </si>
  <si>
    <t>Paskatintas 61 aukšto meistriškumo sportininkas.</t>
  </si>
  <si>
    <t>Premijų (stipendijų), skirtų sportininkams skaičius</t>
  </si>
  <si>
    <t>10 perspektyviausių sportininkų gavo miesto perspektyviausio sportininko premijas (stipendijas) po 3600 Eur per metus.</t>
  </si>
  <si>
    <t>Paskatinta aukšto meistriškumo sportininkų trenerių</t>
  </si>
  <si>
    <t>32 treneriams, rengusiems 61 aukšto meistriškumo sportininką, paskaičiuotos ir išmokėtos premijos už sportininkų rengimą.</t>
  </si>
  <si>
    <t>07-01-07</t>
  </si>
  <si>
    <t>Kompensuoti tėvų atlyginimą už teikiamas sportinio rengimo paslaugas sporto įstaigose ir sportininkų rengimo centruose</t>
  </si>
  <si>
    <t>Atlyginimo lengvatą už teikiamas sportinio rengimo paslaugas gaunančių asmenų</t>
  </si>
  <si>
    <t>2025 m. atlyginimo lengvata už teikiamas sportinio rengimo paslaugas buvo suteikta 350 asmenų.</t>
  </si>
  <si>
    <t>07-01-08</t>
  </si>
  <si>
    <t>Skatinti savarankišką fizinį aktyvumą įvairiose gyventojų grupėse</t>
  </si>
  <si>
    <t>Savivaldybės administracijos dalinai finansuojamų organizuotų fizinio aktyvumo užsiėmimų dalyvių dalis nuo bendro Šiaulių m. gyventojų skaičiaus</t>
  </si>
  <si>
    <t>19,4 proc. nuo bendro Šiaulių m. gyventojų skaičiaus dalyvavo Savivaldybės administracijos dalinai finansuojamų organizuotų fizinio aktyvumo veiklose (21 tūkst. gyventojų).</t>
  </si>
  <si>
    <t>Savivaldybės administracijos dalinai finansuojamų organizuotų fizinio aktyvumo veiklose dalyvavusių negalią turinčių asmenų skaičius</t>
  </si>
  <si>
    <t>145 asmenys su negalia dalyvavo savivaldybės administracijos dalinai finansuojamų organizuotų fizinio aktyvumo veiklose.</t>
  </si>
  <si>
    <t>Atliktas pilotinis tyrimas dėl Savivaldybės švietimo įstaigų uždaros sporto infrastruktūros atvėrimo bendruomenės sporto ir fizinio aktyvumo poreikiams tenkinti</t>
  </si>
  <si>
    <t>07-01-09</t>
  </si>
  <si>
    <t>Mokyti vaikus plaukti ir saugiai elgtis vandenyje ir prie vandens</t>
  </si>
  <si>
    <t>Išmokytų plaukti vaikų dalis nuo bendro 1–4 klasių mokinių skaičiaus Šiaulių miesto bendrojo ugdymo mokyklose</t>
  </si>
  <si>
    <t>Plaukimo įgūdžių pagrindai buvo suteikti 1206 mokiniams. Švietimo skyriaus duomenimis Šiaulių mieste mokėsi 4862 1-4 klasių mokiniai.</t>
  </si>
  <si>
    <t>07-02</t>
  </si>
  <si>
    <t>Išvystyti gyventojų poreikius atitinkančią sporto ir fizinio aktyvumo infrastruktūrą</t>
  </si>
  <si>
    <t>Savivaldybės sporto įstaigų pastatų / statinių, bazių skaičius</t>
  </si>
  <si>
    <t>Savivaldybės sporto įstaigų pastatų / statinių, bazių, kurios yra geros būklės, skaičius</t>
  </si>
  <si>
    <t>Savivaldybės sporto įstaigų pastatų / statinių, bazių, pritaikytų fizinę negalią turintiems asmenims, dalis</t>
  </si>
  <si>
    <t>07-02-01</t>
  </si>
  <si>
    <t>Įgyvendinti projektą „Bendrojo ugdymo, neformaliojo ugdymo ir kitų viešųjų paslaugų teikimui trūkstamos infrastruktūros sukūrimas, adresu J. Jablonskio g. 14, Šiauliai“</t>
  </si>
  <si>
    <t>Atlikta darbų</t>
  </si>
  <si>
    <t>07-02-02</t>
  </si>
  <si>
    <t>Pastatyti irklavimo sporto bazę (Žvyro g. 34)</t>
  </si>
  <si>
    <t>Atlikta II etapo statybos darbų</t>
  </si>
  <si>
    <t>07-02-03</t>
  </si>
  <si>
    <t>Suprojektuoti ir pastatyti buriavimo elingą prie Rėkyvos ežero (Poilsio g. 10A)</t>
  </si>
  <si>
    <t>07-02-05</t>
  </si>
  <si>
    <t>Didinti Šiaulių teniso akademijos pastato funkcionalumą</t>
  </si>
  <si>
    <t>Parengtas statybos projektas</t>
  </si>
  <si>
    <t>07-02-06</t>
  </si>
  <si>
    <t>Modernizuoti/pastatyti sporto įstaigų pastatus, statinius, bazes</t>
  </si>
  <si>
    <t>Atlikta Šiaulių m. stadiono komplekso (S. Daukanto g. 23) renovacijos darbų</t>
  </si>
  <si>
    <t>Parengtas VŠĮ Šiaulių krepšinio akademijos „Saulė“ pastato statybos projektas</t>
  </si>
  <si>
    <t>07-02-06-01</t>
  </si>
  <si>
    <t>Renovuoti / pastatyti naujas patalpas VŠĮ Šiaulių krepšinio akademijai „Saulė“</t>
  </si>
  <si>
    <t>Atlikti elektros instaliacijos darbai VŠĮ Šiaulių krepšinio akademijoje „Saulė“.</t>
  </si>
  <si>
    <t>07-02-06-02</t>
  </si>
  <si>
    <t>Rekonstruoti Šiaulių m. stadiono kompleksą (S. Daukanto g. 23)</t>
  </si>
  <si>
    <t>07-02-07</t>
  </si>
  <si>
    <t>Atlikti Šiaulių regbio ir žolės riedulio akademijos aikštyno rekonstrukciją</t>
  </si>
  <si>
    <t>Mobilių žiūrovų tribūnų įsigijimas</t>
  </si>
  <si>
    <t>08</t>
  </si>
  <si>
    <t>Švietimo programa</t>
  </si>
  <si>
    <t>08-01</t>
  </si>
  <si>
    <t>Plėtoti inovatyvią švietimo sistemą, ugdančią aktyvią ir kūrybingą asmenybę</t>
  </si>
  <si>
    <t>Išlaikiusių brandos egzaminus dalis, nuo laikiusių</t>
  </si>
  <si>
    <t>Įstojusių į aukštąsias mokyklas dalis (asmenys, baigę bendrojo ugdymo mokyklas Šiauliuose) nuo visų, gavusių vidurinį išsilavinimą</t>
  </si>
  <si>
    <t>Pagalbos mokiniui specialistų, tenkančių 100 mokinių, skaičius</t>
  </si>
  <si>
    <t>08-01-01</t>
  </si>
  <si>
    <t>Atstovauti miestui, pristatyti švietimo veiklą, organizuoti renginius</t>
  </si>
  <si>
    <t>Suorganizuotų reprezentacinių renginių skaičius</t>
  </si>
  <si>
    <t>Apdovanotų olimpiadų nugalėtojų skaičius</t>
  </si>
  <si>
    <t>Premijos „Metų mokinys“, Šiaulių miesto mokinių olimpiadų, konkursų miesto etapų I vietų ir šalies etapų I–III vietų laimėtojams, paskirtos 45 mokiniams.</t>
  </si>
  <si>
    <t>Įteiktų premijų ,,Metų mokytojas“ skaičius</t>
  </si>
  <si>
    <t>Vieną ir daugiau 100 balų įvertinimą gavusių abiturientų skaičius</t>
  </si>
  <si>
    <t>204 mokiniams, gavusiems vieną ir daugiau 100 balų įvertinimą, sumokėtos piniginės premijos.</t>
  </si>
  <si>
    <t>Švietimo lyderystės programų dalyvių skaičius</t>
  </si>
  <si>
    <t>Šiaulių kompetencijų centre vyko 20 konsultacijų ugdymo įstaigų veiklos kokybės įsivertinimo komandoms, 2 konsultacijos su klausimynų rengėjais ir Nacionalinė švietimo agentūra, 7 gerosios patirties seminarai „Kokybės laboratorijos”, kuriuose švietimo įstaigos dalinosi savo patirtimi diegiant kokybės vadybos modelį, 1 edukacinė išvyka BUM kokybės įsivertinimo grupių atstovams, forumas „Švietimo kokybės ekosistema: lyderystė, mentorystė, augimas”, plėtojant veiklos kokybės vadybos, paremtos bendrojo vertinimo metodika, sistemą, buvo sukurta „Šiaulių savivaldybės švietimo įstaigų veiklos kokybės stebėsenos informacinė sistema”.</t>
  </si>
  <si>
    <t>Pirmoko krepšelį gavusių mokinių skaičius</t>
  </si>
  <si>
    <t>Šiaulių miestą atstovavusių asmenų, nuvežtų į respublikinius renginius, skaičius</t>
  </si>
  <si>
    <t>08-01-02</t>
  </si>
  <si>
    <t>Užtikrinti skaitmeninę plėtrą bendrojo ugdymo mokyklose</t>
  </si>
  <si>
    <t>Sukurtos skaitmeninės mokymosi aplinkos, naudojamos skaitmeninės mokymo priemonės mokyklose, skaičius</t>
  </si>
  <si>
    <t>Atnaujinamos skaitmeninės mokymosi aplinkos ir įsigyjamos priemonės  bendrojo ugdymo mokyklose.</t>
  </si>
  <si>
    <t>08-01-03</t>
  </si>
  <si>
    <t>Užtikrinti švietimo elektroninės apskaitos ir registracijos sistemų funkcionavimą</t>
  </si>
  <si>
    <t>Veikianti priėmimo į bendrojo ugdymo mokyklas sistema</t>
  </si>
  <si>
    <t>Veikianti priėmimo į ikimokyklinio ugdymo įstaigas sistema</t>
  </si>
  <si>
    <t>Veikianti SKU modelio apskaitos sistema</t>
  </si>
  <si>
    <t>Veikianti elektroninio mokinio pažymėjimo sistema</t>
  </si>
  <si>
    <t>08-01-04</t>
  </si>
  <si>
    <t>Didinti STEAM mokslų (mokomųjų dalykų) patrauklumą</t>
  </si>
  <si>
    <t>Mokinių, dalyvaujančių Šiaulių techninės kūrybos centro veiklose, dalis nuo visų mokinių</t>
  </si>
  <si>
    <t>STEAM centrų ikimokyklinio ugdymo įstaigose skaičius</t>
  </si>
  <si>
    <t>Vaikų, dalyvavusių „STEAM DARŽELIS“ centrų veiklose, dalis nuo visų ikimokyklinio amžiaus vaikų</t>
  </si>
  <si>
    <t>STEAM laboratorijų bendrojo ugdymo mokyklose skaičius</t>
  </si>
  <si>
    <t>STEAM ir STEAM JUNIOR programos grupių skaičius</t>
  </si>
  <si>
    <t>STEAM renginių ir varžybų skaičius</t>
  </si>
  <si>
    <t>STEAM+ programų</t>
  </si>
  <si>
    <t>08-01-05</t>
  </si>
  <si>
    <t>Bendradarbiauti su aukštosiomis, profesinėmis ir bendrojo ugdymo mokyklomis, socialiniais-ekonominiais partneriais, ruošiant specialistus</t>
  </si>
  <si>
    <t>Inžinerijos ir informatikos mokslų krypties studijų Šiaulių mieste parama kviestiniams dėstytojams, skatinamųjų stipendijų skaičius</t>
  </si>
  <si>
    <t>Lėšos panaudotos pritaikytų erdvių integruotam gamtos mokslų ugdymui ir Šiaulių miesto bendruomenės švietimui programos vykdymui (VUŠA botanikos sodo išlaikymas). Pasirašytos 3 aukštųjų mokyklų bendradarbiavimo programų sutartys. Įgyvendinta ŠTMC vykdyta OPA programa.</t>
  </si>
  <si>
    <t>Pritaikytų erdvių integruotam gamtos mokslų ugdymui ir Šiaulių miesto bendruomenės švietimui programų skaičius</t>
  </si>
  <si>
    <t>Viešųjų ryšių akcijos priemonių skaičius</t>
  </si>
  <si>
    <t>Studentų, kuriems skirta studijų parama, skaičius</t>
  </si>
  <si>
    <t>Ankstyvojo profesinio informavimo programoje „OPA" dalyvavusių skaičius (pradinių klasių mokiniams)</t>
  </si>
  <si>
    <t>Technologijų pamokų programoje ŠTMC dalyvavusių skaičius</t>
  </si>
  <si>
    <t>Pedagogų, kurie persikvalifikavo ir/ ar įgijo papildomą mokomojo dalyko specializaciją skaičius</t>
  </si>
  <si>
    <t>Įgyvendintų aukštųjų mokyklų bendradarbiavimo programų skaičius</t>
  </si>
  <si>
    <t>08-01-06</t>
  </si>
  <si>
    <t>Tobulinti neformaliojo suaugusiųjų švietimo paslaugų sistemą</t>
  </si>
  <si>
    <t>Įgyvendinamų programų skaičius</t>
  </si>
  <si>
    <t>Suorganizuotas neformaliojo suaugusiųjų švietimo ir tęstinio mokymosi programų konkursas. Konkurso būdu iš 12 pateiktų programų buvo atrinkta ir įgyvendinta 11 programų, kuriose dalyvavo 147 dalyviai. Programas vykdė 1 laisvasis mokytojas, 8 viešosios įstaigos ir 2 NVŠ mokyklos.</t>
  </si>
  <si>
    <t>Asmenų, dalyvavusių Šiaulių miesto savivaldybės neformaliojo suaugusiųjų švietimo modelio įgyvendinime, skaičius</t>
  </si>
  <si>
    <t>08-01-08</t>
  </si>
  <si>
    <t>Užtikrinti įtraukiojo ugdymo principinių nuostatų įgyvendinimą ir pasiekimų gerinimą  visuose švietimo sistemos lygiuose</t>
  </si>
  <si>
    <t>Specialiųjų ugdymosi poreikių turinčių mokinių, kuriems teikiama švietimo pagalba, dalis nuo visų specialiųjų ugdymosi poreikių turinčių mokinių</t>
  </si>
  <si>
    <t>Specialiųjų ugdymo (-si) poreikių turinčių vaikų, dalyvaujančių neformaliajame vaikų švietime, dalis nuo visų vaikų</t>
  </si>
  <si>
    <t>Specialiųjų ugdymosi poreikių turinčių mokinių, ugdomų įtraukiuoju būdu bendros paskirties švietimo įstaigose, dalis nuo visų mokinių</t>
  </si>
  <si>
    <t>08-01-09</t>
  </si>
  <si>
    <t>Įgyvendinti inovatyvius sprendimus, priemones švietimo įstaigose</t>
  </si>
  <si>
    <t>Ikimokyklinio ugdymo įstaigų, dalyvaujančių „Mąstymo mokyklų“ tinklo veiklose, skaičius</t>
  </si>
  <si>
    <t>Ikimokyklinio ugdymo įstaigų, dalyvaujančių „Darnus darželis“ tinklo veiklose, skaičius</t>
  </si>
  <si>
    <t>08-01-10</t>
  </si>
  <si>
    <t>Įgyvendinti projektą „Atvirų klasių sukūrimas Šiaulių Vinco Kudirkos progimnazijoje“</t>
  </si>
  <si>
    <t>Mokytojų, dirbančių su mokiniais turinčiais didelių specialių ugdymosi poreikių, skaičius</t>
  </si>
  <si>
    <t>08-01-11</t>
  </si>
  <si>
    <t>Įgyvendinti projektą „Ankstyvojo ugdymo užtikrinimas vaikams iš socialinę riziką patiriančių šeimų“</t>
  </si>
  <si>
    <t>Į ikimokyklinį ugdymą įtrauktų vaikų iš socialinę riziką patiriančių šeimų</t>
  </si>
  <si>
    <t>08-01-12</t>
  </si>
  <si>
    <t>Įgyvendinti projektą „Švietimo įstaigų vadovų mentorių rengimas“</t>
  </si>
  <si>
    <t>Švietimo įstaigų, konsorciumo narių</t>
  </si>
  <si>
    <t>08-01-13</t>
  </si>
  <si>
    <t>Įgyvendinti pedagogų pritraukimo į Šiaulių miesto švietimo įstaigas, perkvalifikavimo ir kvalifikacijos tobulinimo programą</t>
  </si>
  <si>
    <t>Šiaulių miesto savivaldybės „Pedagogų pritraukimo, perkvalifikavimo ir kvalifikacijos tobulinimo strategijos plano priemonėse” dalyvaujančių asmenų skaičius</t>
  </si>
  <si>
    <t>Trūkstamų specializacijų pedagogų pritraukimas į Šiaulių miesto švietimo įstaigas.</t>
  </si>
  <si>
    <t>08-02</t>
  </si>
  <si>
    <t>Užtikrinti švietimo paslaugų prieinamumą ir kokybę, gerinant ugdymo (-si) aplinką</t>
  </si>
  <si>
    <t>Ikimokyklinio ugdymo įstaigų pastatų, kurie yra geros būklės, skaičius</t>
  </si>
  <si>
    <t>Ikimokyklinio ugdymo įstaigų pastatų skaičius</t>
  </si>
  <si>
    <t>Bendrojo ugdymo mokyklų pastatų, kurie yra geros būklės, skaičius</t>
  </si>
  <si>
    <t>Bendrojo ugdymo mokyklų pastatų skaičius</t>
  </si>
  <si>
    <t>Neformaliojo švietimo įstaigų pastatų, kurie yra geros būklės, skaičius</t>
  </si>
  <si>
    <t>Neformaliojo švietimo įstaigų pastatų skaičius</t>
  </si>
  <si>
    <t>08-02-01</t>
  </si>
  <si>
    <t>Atnaujinti švietimo įstaigų pastatus, patalpas, įrangą ir komunikacijas</t>
  </si>
  <si>
    <t>Kapitalinis  „Sandoros" ir „Juventos" progimnazijų langų remontas</t>
  </si>
  <si>
    <t>Atliktas kapitalinis „Sandoros" ir „Juventos" progimnazijų langų remontas.</t>
  </si>
  <si>
    <t>08-02-02</t>
  </si>
  <si>
    <t>Atnaujinti švietimo įstaigų lauko teritorijas ir įrenginius</t>
  </si>
  <si>
    <t>Ikimokyklinio ugdymo įstaigų, kuriose atnaujinta lauko infrastruktūra, įkurtos lauko edukacinės erdvės, žaidimų aikštelės, skaičius</t>
  </si>
  <si>
    <t>08-02-03</t>
  </si>
  <si>
    <t>Atnaujinti švietimo įstaigų sporto infrastruktūrą</t>
  </si>
  <si>
    <t>Gytarių progimnazijos sporto aikštyno atnaujinimo rangos darbų sulaikytų lėšų išmokėjimas, priemonės užbaigimas, dalis</t>
  </si>
  <si>
    <t>08-02-04</t>
  </si>
  <si>
    <t>Modernizuoti švietimo įstaigų pastatus / statinius</t>
  </si>
  <si>
    <t>Erdvių, kurios skirtos vaikų pasyvaus poilsio organizavimui, sensorinei terapijai, skaičius</t>
  </si>
  <si>
    <t>Šiaulių universitetinėje gimnazijoje įrengtas sensorinis kambarys, įsigytos sensorinės priemonės</t>
  </si>
  <si>
    <t>08-02-05</t>
  </si>
  <si>
    <t>Užtikrinti švietimo įstaigų pastatų ir vidaus patalpų avarinių situacijų šalinimą</t>
  </si>
  <si>
    <t>Pašalintos vidaus ir išorės pastatų, lauko aplinkos avarinės situacijos švietimo įstaigose</t>
  </si>
  <si>
    <t>08-02-06</t>
  </si>
  <si>
    <t>Įgyvendinti projektą „Šiaulių Sporto gimnazijos (Vilniaus g. 297) modernizavimas“</t>
  </si>
  <si>
    <t>Atliktų Sporto gimnazijos bendrabučio remonto darbų dalis</t>
  </si>
  <si>
    <t>08-02-07</t>
  </si>
  <si>
    <t>Įgyvendinti projektą „Santarvės gimnazijos rekonstravimas“</t>
  </si>
  <si>
    <t>Atliktų planuotų pastato remonto darbų dalis</t>
  </si>
  <si>
    <t>08-02-08</t>
  </si>
  <si>
    <t>Įgyvendinti projektą „Savivaldybės viešųjų pastatų atnaujinimui teikiamų subsidijų panaudojimas“</t>
  </si>
  <si>
    <t>Atnaujintų (modernizuotų) savivaldybės viešųjų pastatų skaičius</t>
  </si>
  <si>
    <t>08-02-09</t>
  </si>
  <si>
    <t>Įgyvendinti projektą „Šiaulių jaunųjų gamtininkų centro jojimo skyriaus modernizavimas, sukuriant tinkamas sąlygas visuomenės sveikatos stiprinimo, neformaliojo švietimo viešųjų paslaugų teikimui, gyventojų poilsio organizavimui“</t>
  </si>
  <si>
    <t>08-02-10</t>
  </si>
  <si>
    <t>Įgyvendinti projektą „Edukacinių erdvių įrengimas Šiaulių miesto ugdymo įstaigose, plėtojant visos dienos mokyklos veiklas“</t>
  </si>
  <si>
    <t>Mokinių, dalyvaujančių visos dienos mokyklos veiklose, dalis nuo visų pradinių klasių mokinių</t>
  </si>
  <si>
    <t>08-02-11</t>
  </si>
  <si>
    <t>Įgyvendinti projektą „Ikimokyklinio ugdymo paslaugų prieinamumo didinimas Šiaulių miesto savivaldybėje“</t>
  </si>
  <si>
    <t>08-02-12</t>
  </si>
  <si>
    <t>Įgyvendinti bendrojo ugdymo mokyklų projektą ,,Tūkstantmečio mokyklos I“</t>
  </si>
  <si>
    <t>Atnaujinta infrastruktūra Šiaulių universitetinėje ir S. Šalkauskio gimnazijose, Gytarių, Ragainės ir Salduvės progimnazijose</t>
  </si>
  <si>
    <t>Įgyvendintų ugdymo kokybę gerinančių priemonių Šiaulių universitetinėje ir S. Šalkauskio gimnazijose, Gytarių, Ragainės ir Salduvės progimnazijose, dalis</t>
  </si>
  <si>
    <t>Įsigyti baldai, įranga ir mokymo priemonės Šiaulių universitetinėje ir S. Šalkauskio gimnazijose, Gytarių, Ragainės ir Salduvės progimnazijose</t>
  </si>
  <si>
    <t>Švietimo pagalbą gaunančių mokinių dalis nuo visų mokinių, kuriems nustatytas tokios pagalbos poreikis, skaičiaus</t>
  </si>
  <si>
    <t>Neformaliojo švietimo veikloje dalyvaujančių mokinių dalis nuo bendrojo ugdymo mokyklų mokinių skaičiaus</t>
  </si>
  <si>
    <t>STEAM: 7-12 kl. TŪM mokyklų mokinių, kurie turi galimybes dalyvauti praktinėse pamokose laboratorijose ne rečiau kaip 1 kartą per mėnesį, dalis nuo bendro TŪM mokyklų 7-12 klasių mokinių skaičiaus</t>
  </si>
  <si>
    <t>08-02-13</t>
  </si>
  <si>
    <t>Įgyvendinti projektą „S. Daukanto inžinerijos gimnazijos  infrastruktūros modernizavimas, pritaikant specializuotų inžinerinio ugdymo programų vykdymui“</t>
  </si>
  <si>
    <t>08-02-14</t>
  </si>
  <si>
    <t>Įgyvendinti projektą „Bendrojo ugdymo paslaugų kokybės gerinimas ir prieinamumo didinimas Šiaulių mieste, modernizuojant Vinco Kudirkos progimnaziją“</t>
  </si>
  <si>
    <t>08-02-15</t>
  </si>
  <si>
    <t>Įgyvendinti projektą „Bendrojo ugdymo paslaugų kokybės gerinimas ir prieinamumo didinimas Šiaulių mieste, modernizuojant Šiaulių Ragainės progimnaziją“</t>
  </si>
  <si>
    <t>08-02-16</t>
  </si>
  <si>
    <t>Įgyvendinti projektą „Šiaulių miesto ,,Romuvos“, Dainų ir Salduvės progimnazijų bei Didždvario ir Lieporių gimnazijų lauko infrastruktūros atnaujinimas, pritaikymas ugdymo poreikiams ir funkcionalumo didinimas“</t>
  </si>
  <si>
    <t>08-02-17</t>
  </si>
  <si>
    <t>Įgyvendinti projektą „Didždvario gimnazijos pastato remontas“</t>
  </si>
  <si>
    <t>Atlikta vidaus patalpų remonto darbų</t>
  </si>
  <si>
    <t>08-02-18</t>
  </si>
  <si>
    <t>Renovuoti švietimo įstaigų baseinus</t>
  </si>
  <si>
    <t>Atlikta baseino remonto darbų</t>
  </si>
  <si>
    <t>08-02-19</t>
  </si>
  <si>
    <t>Įgyvendinti projektą „Rėkyvos progimnazijos rekonstrukcija ir aplinkos gerinimas“</t>
  </si>
  <si>
    <t>Valstybinės statybos darbų užbaigimo komisijos privalomųjų reikalavimų įgyvendinimas</t>
  </si>
  <si>
    <t>08-02-20</t>
  </si>
  <si>
    <t>Įgyvendinti projektą  „Šiaulių Jovaro progimnazijos pastato, esančio Vytauto g. 132, Šiauliuose, modernizavimas (Energetinio efektyvumo didinimas)“</t>
  </si>
  <si>
    <t>08-02-21</t>
  </si>
  <si>
    <t>Įgyvendinti projektą  „Šiaulių Saulės pradinės mokyklos pastato, esančio Dainų g. 15, Šiauliuose, modernizavimas (Energetinio efektyvumo didinimas)“</t>
  </si>
  <si>
    <t>08-03</t>
  </si>
  <si>
    <t>Sudaryti sąlygas jaunimo savirealizacijai jų poreikiams pritaikytoje aplinkoje</t>
  </si>
  <si>
    <t>Mokinių vasaros užimtumas nuo bendro mokinių skaičiaus</t>
  </si>
  <si>
    <t>Jaunimo organizacijose dalyvaujančių asmenų skaičius</t>
  </si>
  <si>
    <t>08-03-01</t>
  </si>
  <si>
    <t>Įgyvendinti vaikų ir jaunimo vasaros užimtumo programas</t>
  </si>
  <si>
    <t>Suorganizuotų vaikų ir jaunimo poilsio stovyklų dalyvių skaičius</t>
  </si>
  <si>
    <t>II-III  ketv. buvo įgyvendintos 22 vaikų vasaros stovyklos (iš jų 16 stacionarios ir 6 dieninės stovyklos) , dalyvavo 1115 mokinių, iš jų 101 ukrainiečių ir 12 diasporos mokinių, vykdytos edukacinės dirbtuvės „Jaunasis pedagogas“.</t>
  </si>
  <si>
    <t>08-03-02</t>
  </si>
  <si>
    <t>Organizuoti kokybišką jaunimo užimtumą ir laisvalaikio praleidimą</t>
  </si>
  <si>
    <t>Sukurta aplikacija, programėlė, siekiant padidinti jaunimo užimtumo galimybių viešinimą</t>
  </si>
  <si>
    <t>Suorganizuotų masinių renginių, festivalių jaunimui skaičius</t>
  </si>
  <si>
    <t>08-03-03</t>
  </si>
  <si>
    <t>Pritaikyti erdves  jaunimo poreikiams ir veiklai</t>
  </si>
  <si>
    <t>Atnaujinta atviro jaunimo centro infrastruktūra</t>
  </si>
  <si>
    <t>Įkurtų naujų atvirų jaunimo erdvių, centrų skaičius</t>
  </si>
  <si>
    <t>08-03-04</t>
  </si>
  <si>
    <t>Finansuota projektų skaičius</t>
  </si>
  <si>
    <t>Dalyvių skaičius</t>
  </si>
  <si>
    <t>Jaunimo, dalyvaujančio projektinėje veikloje, dalis nuo bendro jaunimo skaičiaus</t>
  </si>
  <si>
    <t>08-04</t>
  </si>
  <si>
    <t>Sudaryti sąlygas kokybiškam ugdymo procesui</t>
  </si>
  <si>
    <t>Vaikų, dalyvaujančių ikimokykliniame ugdyme 3-5 metų, dalis nuo vaikų (3-5 m.)</t>
  </si>
  <si>
    <t>Mokyklinio amžiaus vaikų, nesimokančių mokyklose skaičius, tenkantis 1000 gyv.</t>
  </si>
  <si>
    <t>Neformaliojo švietimo veiklose dalyvaujančių mokinių dalis Šiaulių miesto savivaldybės mokyklose nuo visų mokinių</t>
  </si>
  <si>
    <t>08-04-01</t>
  </si>
  <si>
    <t>Užtikrinti švietimo įstaigų veiklą (ML 98% + SB)</t>
  </si>
  <si>
    <t>Bendrojo ugdymo mokyklų skaičius</t>
  </si>
  <si>
    <t>1.03.</t>
  </si>
  <si>
    <t>Miesto bendrojo ugdymo mokyklose mokinių skaičius</t>
  </si>
  <si>
    <t>Veikiantis švietimo kompetencijų centras</t>
  </si>
  <si>
    <t>Tarnyba, teikianti pedagoginę psichologinę pagalbą vaikams ir mokiniams</t>
  </si>
  <si>
    <t>Įstaigų, kuriose įsteigti karjeros specialisto etatai, skaičius</t>
  </si>
  <si>
    <t>Mokinių, dalyvaujančių ,,Kultūros krepšelio“ edukaciniuose užsiėmimuose Šiaulių regiono muziejuose ir kitose kultūros įstaigose skaičius</t>
  </si>
  <si>
    <t>Įdiegtų akredituotų tarptautinio bakalaureato pradinio (1-4 kl.) ir pagrindinio (5-8 kl.) ugdymo programų, skaičius</t>
  </si>
  <si>
    <t>Bendrojo ugdymo įstaigų, kuriose ugdoma anglų kalba, skaičius</t>
  </si>
  <si>
    <t>08-04-02</t>
  </si>
  <si>
    <t>Tenkinti mokymo reikmes (ML  2% )</t>
  </si>
  <si>
    <t>Mokyklų, įdiegusių socialinių kompetencijų ugdymo modelį, skaičius</t>
  </si>
  <si>
    <t>08-04-02-01</t>
  </si>
  <si>
    <t>Organizuoti ir vykdyti mokymosi pasiekimų patikrinimą (ML 2%)</t>
  </si>
  <si>
    <t>Egzaminų vykdytojų ir vertintojų</t>
  </si>
  <si>
    <t>08-04-02-02</t>
  </si>
  <si>
    <t>Užtikrinti ugdymo finansavimo poreikių skirtumo sumažimą (ML 2%)</t>
  </si>
  <si>
    <t>Ikimokyklinio ir bendrojo ugdymo mokyklų, kuriose tenkinamos ugdymo reikmės, skaičius</t>
  </si>
  <si>
    <t>08-04-03</t>
  </si>
  <si>
    <t>Organizuoti mokinių vežimą</t>
  </si>
  <si>
    <t>Mokinių, kuriems kompensuojamas važiavimas į mokyklą, skaičius</t>
  </si>
  <si>
    <t>Kompensuojamos ne Šiaulių miesto savivaldybės teritorijoje gyvenančių mokinių išlaidos už važiavimą į (iš) mokyklą.</t>
  </si>
  <si>
    <t>08-04-04</t>
  </si>
  <si>
    <t>Užtikrinti viešųjų įstaigų, įgyvendinančių bendrąsias ir specialiąsias ugdymo programas bei nevalstybinių tradicinių religinių bendruomenių ir bendrijų mokyklų veiklą (ML 98 % + SB)</t>
  </si>
  <si>
    <t>08-04-04-01</t>
  </si>
  <si>
    <t>Finansuoti VšĮ Šiaulių jėzuitų mokyklą</t>
  </si>
  <si>
    <t>Finansuota viešųjų įstaigų</t>
  </si>
  <si>
    <t>08-04-04-02</t>
  </si>
  <si>
    <t>Finansuoti VšĮ „Smalsieji pabiručiai“</t>
  </si>
  <si>
    <t>08-04-04-03</t>
  </si>
  <si>
    <t>Finansuoti nevalstybines tradicinių religinių bendruomenių ir bendrijų mokyklas</t>
  </si>
  <si>
    <t>Finansuota nevalstybinių tradicinių religinių bendruomenių ir bendrijų mokyklų skaičius</t>
  </si>
  <si>
    <t>08-04-04-05</t>
  </si>
  <si>
    <t>Finansuoti UAB ,,Baltijos licėjų“</t>
  </si>
  <si>
    <t>Finansuota įstaigų</t>
  </si>
  <si>
    <t>08-04-05</t>
  </si>
  <si>
    <t>Užtikrinti neformaliojo vaikų švietimo įstaigų veiklą</t>
  </si>
  <si>
    <t>Neformaliojo vaikų švietimo mokyklų skaičius</t>
  </si>
  <si>
    <t>Vaikų, lankančių neformaliojo vaikų švietimo mokyklas, skaičius</t>
  </si>
  <si>
    <t>FŠPU dalyvaujančių 1-12 klasių mokinių skaičius</t>
  </si>
  <si>
    <t>Neformaliojo švietimo mokyklų, kuriose atliktas išorės vertinimas, skaičius</t>
  </si>
  <si>
    <t>Formalųjį švietimą papildančių ugdymo programų skaičius</t>
  </si>
  <si>
    <t>Veiklų, didinančių neformaliojo vaikų švietimo patrauklumą mokinių ir tėvų bendruomenėje, skaičius</t>
  </si>
  <si>
    <t>08-04-06</t>
  </si>
  <si>
    <t>Užtikrinti neformaliojo vaikų švietimo teikėjų programų vykdymą</t>
  </si>
  <si>
    <t>Neformaliojo vaikų švietimo programų skaičius</t>
  </si>
  <si>
    <t>Neformaliojo vaikų švietimo teikėjų skaičius</t>
  </si>
  <si>
    <t>Nevalstybinių švietimo įstaigų ir laisvųjų mokytojų įgyvendinamų neformaliojo vaikų švietimo programas lankančių vaikų skaičius</t>
  </si>
  <si>
    <t>08-04-07</t>
  </si>
  <si>
    <t>Kompensuoti tėvų atlyginimą už neformalųjį vaikų švietimą savivaldybės įstaigose</t>
  </si>
  <si>
    <t>Atlyginimo lengvatą už neformalųjį vaikų švietimą  gaunančių vaikų skaičius</t>
  </si>
  <si>
    <t>08-04-08</t>
  </si>
  <si>
    <t>Užtikrinti ikimokyklinio ir priešmokyklinio ugdymo įstaigų veiklą</t>
  </si>
  <si>
    <t>Ikimokyklinio ugdymo įstaigų skaičius</t>
  </si>
  <si>
    <t>Pagal ikimokyklinę programą ugdomų vaikų skaičius</t>
  </si>
  <si>
    <t>Mokyklų ikimokyklinio ugdymo skyrių skaičius</t>
  </si>
  <si>
    <t>Ikimokyklinio ugdymo įstaigų, kuriose ugdoma anglų kalba, skaičius</t>
  </si>
  <si>
    <t>08-04-09</t>
  </si>
  <si>
    <t>Kompensuoti tėvų atlyginimą už vaiko išlaikymą įstaigoje</t>
  </si>
  <si>
    <t>Ikimokyklinio ugdymo įstaigose lengvatas gaunančių vaikų skaičius</t>
  </si>
  <si>
    <t>08-04-10</t>
  </si>
  <si>
    <t>Užtikrinti ikimokyklinio ugdymo programų įgyvendinimą Šiaulių miesto nevalstybinėse švietimo įstaigose</t>
  </si>
  <si>
    <t>Nevalstybines švietimo įstaigas, įgyvendinančias ikimokyklinio ugdymo programas, lankančių ugdytinių skaičius</t>
  </si>
  <si>
    <t>08-04-11</t>
  </si>
  <si>
    <t>Užtikrinti ikimokyklinio ir priešmokyklinio ugdymo programas vykdančių viešųjų įstaigų veiklą</t>
  </si>
  <si>
    <t>08-04-11-01</t>
  </si>
  <si>
    <t>Finansuoti VšĮ „Garso servisas“</t>
  </si>
  <si>
    <t>08-04-11-02</t>
  </si>
  <si>
    <t>Finansuoti VšĮ „Mažieji šnekoriai“</t>
  </si>
  <si>
    <t>08-04-11-03</t>
  </si>
  <si>
    <t>Finansuoti VšĮ „Mūsų kiemelis“</t>
  </si>
  <si>
    <t>08-04-11-04</t>
  </si>
  <si>
    <t>Finansuoti VšĮ Šiaulių Valdorfo darželio-mokyklos bendruomenė</t>
  </si>
  <si>
    <t>08-04-11-05</t>
  </si>
  <si>
    <t>Finansuoti VšĮ „Kiškių miškas“</t>
  </si>
  <si>
    <t>08-04-12</t>
  </si>
  <si>
    <t>Užtikrinti profesinio orientavimo paslaugų teikimą Šiaulių miesto bendrojo ugdymo mokyklose</t>
  </si>
  <si>
    <t>Mokyklų, kuriose dirba karjeros specialistai, skaičius</t>
  </si>
  <si>
    <t>Karjeros specialistų mokyklose etatų skaičius</t>
  </si>
  <si>
    <t>08-04-13</t>
  </si>
  <si>
    <t>Aprūpinti Šiaulių miesto bendrojo ugdymo mokyklas mokymosi ir higieninėmis priemonėmis</t>
  </si>
  <si>
    <t>Mokyklų , kurioms skirtos lėšos mokymosi priemonėms  įsigyti, skaičius</t>
  </si>
  <si>
    <t>Mokyklų , kurioms skirtos lėšos 5-12 klasių mergaičių higienos priemonėms  įsigyti, skaičius</t>
  </si>
  <si>
    <t>08-04-14</t>
  </si>
  <si>
    <t>Įgyvendinti projektą „Ugdymo priemonės mokykloms“</t>
  </si>
  <si>
    <t>Įsigyta įrangos dalis</t>
  </si>
  <si>
    <t>09</t>
  </si>
  <si>
    <t>Sveikatos programa</t>
  </si>
  <si>
    <t>09-01</t>
  </si>
  <si>
    <t>Plėtoti asmens ir visuomenės sveikatos priežiūros paslaugas, ugdyti visuomenės poreikį sveikai gyventi</t>
  </si>
  <si>
    <t>Paliatyvios pagalbos, globos, slaugos ir palaikomojo gydymo lovų skaičius, tenkantis 1 tūkst. gyventojų</t>
  </si>
  <si>
    <t>Pacientų, kurie pas šeimos gydytoją patenka per 7 kalendorines dienas, dalis</t>
  </si>
  <si>
    <t>Savižudybių skaičius, tenkantis 100 tūkst. gyventojų</t>
  </si>
  <si>
    <t>09-01-01</t>
  </si>
  <si>
    <t>Užtikrinti Visuomenės sveikatos biuro veiklą</t>
  </si>
  <si>
    <t>Privalomojo mokymo metu mokytų asmenų</t>
  </si>
  <si>
    <t>Privalomojo mokymo metu mokytų asmenų skaičius: I ketv. 55, II ketv. 53., III ketv. 72, IV ketv. 101, viso 2025 m. - 281.</t>
  </si>
  <si>
    <t>09-01-02</t>
  </si>
  <si>
    <t xml:space="preserve">Didinti visuomenės sveikatos stiprinimo paslaugų teikimo aprėptį </t>
  </si>
  <si>
    <t>Ugdymo įstaigų, kuriose vykdytos visuomenės sveikatos priežiūros funkcijos, skaičius</t>
  </si>
  <si>
    <t>Ugdymo įstaigos, kuriose vykdytos visuomenės sveikatos priežiūros funkcijos: I-II ketv. 60, III ketv. 62. Papildomai teikiamos paslaugos UAB "Baltijos licėjus" ir VšĮ Tarptautinėje Ukrainos mokykloje (Šiaulių skyriuje).</t>
  </si>
  <si>
    <t>Mokinių, dalyvavusių sveikatinimo veiklose ugdymo įstaigose, skaičius</t>
  </si>
  <si>
    <t>Parengta stebėsenos ataskaita su pasiūlymais dėl gyventojų sveikatos būklės gerinimo</t>
  </si>
  <si>
    <t>Miesto gyventojų, dalyvavusių sveikatinimo veiklose, skaičius</t>
  </si>
  <si>
    <t>Baseino paslaugas gavusių asmenų skaičius</t>
  </si>
  <si>
    <t>Asmenų, baigusių Širdies ir kraujagyslių ligų ir cukrinio diabeto prevencinę sveikatos stiprinimo programą, skaičius</t>
  </si>
  <si>
    <t>09-01-03</t>
  </si>
  <si>
    <t xml:space="preserve">Užtikrinti platesnį psichoemocinės pagalbos prieinamumą </t>
  </si>
  <si>
    <t>Asmenų, gavusių psichologinės gerovės ir psichikos sveikatos stiprinimo paslaugas, skaičius:</t>
  </si>
  <si>
    <t>Šiaulių miesto savivaldybės visuomenės sveikatos biuras</t>
  </si>
  <si>
    <t>VšĮ Šiaulių centro poliklinikos Psichikos sveikatos centras</t>
  </si>
  <si>
    <t>VšĮ Dainų pirminės sveikatos priežiūros centras</t>
  </si>
  <si>
    <t>Asmenų, dalyvavusių Socialinio recepto iniciatyvoje, skaičius</t>
  </si>
  <si>
    <t>Socialinio recepto iniciatyvoje dalyvavo I ketv. 299 asmenys, II ketv. 219 asmenų, III ketv. 241, IV ketv. 230, viso dalyvavo 289 unikalūs asmenys.</t>
  </si>
  <si>
    <t>Pravestų mokymų skaičius</t>
  </si>
  <si>
    <t>Pravestų mokymų skaičius: I ketv. 1, II ketv. 4, III ketv. 2, IV ketv. 3, viso pravestų mokymų - 10.</t>
  </si>
  <si>
    <t>09-01-04</t>
  </si>
  <si>
    <t xml:space="preserve">Užtikrinti paramos priemonių tuberkulioze sergantiems asmenims įgyvendinimą </t>
  </si>
  <si>
    <t>Tuberkulioze sergančių pacientų, kuriems buvo suteiktos socialinės paramos priemonės tuberkuliozės ambulatorinio gydymo metu, skaičius</t>
  </si>
  <si>
    <t>I ketv. 6, II ketv. 7, III ketv. 6, IV ketv. 6 tuberkulioze sergantiems pacientams suteiktos socialinės paramos priemonės tuberkuliozės ambulatorinio gydymo metu, viso suteikta 25 sergantiems.</t>
  </si>
  <si>
    <t>09-01-05</t>
  </si>
  <si>
    <t>Užtikrinti priklausomybės ligų profilaktikos, diagnostikos ir gydymo kokybės ir prieinamumo gerinimą</t>
  </si>
  <si>
    <t>Apsilankymų žemo slenksčio paslaugų kabinetuose skaičius</t>
  </si>
  <si>
    <t>Apsilankymų žemo slenksčio paslaugų kabinetuose skaičius: I ketv. 105, II ketv. 204, III ketv. 261, IV ketv. 248. Viso apsilankymų 2025 m. - 818.</t>
  </si>
  <si>
    <t>09-01-06</t>
  </si>
  <si>
    <t xml:space="preserve">Didinti sveikatos specialistų teikiamų paslaugų prieinamumą </t>
  </si>
  <si>
    <t>Pritrauktų reikiamos kvalifikacijos sveikatos srities specialistų skaičius</t>
  </si>
  <si>
    <t>Finansuota ir pritraukta 10 gydytojų, iš jų daugiausiai: 3 šeimos gydytojai, 3 odontologai.</t>
  </si>
  <si>
    <t>Finansuotų sveikatos mokslų studentų skaičius</t>
  </si>
  <si>
    <t>09-01-07</t>
  </si>
  <si>
    <t>Vykdyti Visuomenės sveikatos rėmimo specialiąją programą</t>
  </si>
  <si>
    <t>09-01-07-01</t>
  </si>
  <si>
    <t>Sukurti ir gerinti miesto bendruomenės sveikatinimo sąlygas, organizuojant sveikatinimo projektų konkursus ir finansuojant jų įgyvendinimą</t>
  </si>
  <si>
    <t>Sveikatinimo iniciatyvose dalyvavusių asmenų skaičius</t>
  </si>
  <si>
    <t>09-01-07-02</t>
  </si>
  <si>
    <t>Organizuoti privalomąjį profilaktinį aplinkos kenksmingumo pašalinimą</t>
  </si>
  <si>
    <t>Gavusių privalomojo profilaktinio aplinkos kenksmingumo pašalinimo paslaugas asmenų skaičius</t>
  </si>
  <si>
    <t>09-01-07-03</t>
  </si>
  <si>
    <t>Vykdyti maudyklų priežiūrą ir vandens kokybės stebėseną</t>
  </si>
  <si>
    <t>Stebėtų ir prižiūrėtų maudyklų</t>
  </si>
  <si>
    <t>09-01-07-04</t>
  </si>
  <si>
    <t>Vykdyti ligų profilaktikos ir prevencijos priemones</t>
  </si>
  <si>
    <t>Įvykdytų ligų profilaktikos ir prevencijos priemonių skaičius</t>
  </si>
  <si>
    <t>Įvykdytų ligų profilaktikos ir prevencijos priemonių skaičius - 1. Organizuota informacinė kampanija autobusų stotelių stoginėse dėl vaikų skiepijimo.</t>
  </si>
  <si>
    <t>09-01-07-05</t>
  </si>
  <si>
    <t>Kompensuoti ir teikti medicinines paslaugas tikslinėms gyventojų grupėms</t>
  </si>
  <si>
    <t>Kompensuotų sveikatos paslaugų tikslinėms gyventojų grupėms skaičius</t>
  </si>
  <si>
    <t>09-01-08</t>
  </si>
  <si>
    <t>Gerinti medicinos srities įvaizdį visuomenėje</t>
  </si>
  <si>
    <t>Švietimo įstaigų, dalyvavusių sveikatos srities patrauklumo didinimo projektuose, skaičius</t>
  </si>
  <si>
    <t>Daugiašalių bendradarbiavimo iniciatyvų, siekiant gerinti medicinos srities įvaizdį, skaičius</t>
  </si>
  <si>
    <t>09-02</t>
  </si>
  <si>
    <t>Užtikrinti asmens sveikatos priežiūros paslaugų prieinamumą ir kokybę, atnaujinant esamą bei įrengiant naują infrastruktūrą</t>
  </si>
  <si>
    <t>Savivaldybės sveikatos įstaigų pastatų, kurie yra geros būklės, skaičius</t>
  </si>
  <si>
    <t>Sveikatos įstaigų pastatų skaičius</t>
  </si>
  <si>
    <t>09-02-03</t>
  </si>
  <si>
    <t>Įgyvendinti projektą „VšĮ Šiaulių ilgalaikio gydymo ir geriatrijos centro pastatų rekonstravimas, aktyvios ventiliacijos įrengimas, kiemo gerbūvio sutvarkymas ir maisto gamybos skyriaus modernizavimas"</t>
  </si>
  <si>
    <t>Atlikta naujojo korpuso dalies rekuperavimo ir kondicionavimo sistemos įrengimo darbų dalis</t>
  </si>
  <si>
    <t>Įrengtas elektros tiekimo šaltinis</t>
  </si>
  <si>
    <t>09-02-04</t>
  </si>
  <si>
    <t>Modernizuoti VšĮ Šiaulių centro polikliniką</t>
  </si>
  <si>
    <t>Atlikta rekuperavimo ir kondicionavimo sistemos pagrindiniame poliklinikos korpuse įrengimo darbų dalis</t>
  </si>
  <si>
    <t>09-02-05</t>
  </si>
  <si>
    <t>Didinti VšĮ Dainų pirminės sveikatos priežiūros centro funkcionalumą</t>
  </si>
  <si>
    <t>Modernizuota pastato Aido g. 16 A dalis</t>
  </si>
  <si>
    <t>Sutvarkytas aplinkos aptvarų plotas</t>
  </si>
  <si>
    <t>09-02-06</t>
  </si>
  <si>
    <t>Įgyvendinti projektą „Sveikatos centrų sudėtyje teikiamų sveikatos priežiūros paslaugų infrastruktūros modernizavimas Šiaulių miesto savivaldybėje“</t>
  </si>
  <si>
    <t>Įsigytos įrangos ir baldų dalis</t>
  </si>
  <si>
    <t>Įsigytų automobilių skaičius</t>
  </si>
  <si>
    <t>Centro poliklinika IV ketv. pasirašė sutartis dėl elektromobilių isigijimo. Automobilių pristatymo terminas - 4 mėn.</t>
  </si>
  <si>
    <t>09-02-07</t>
  </si>
  <si>
    <t>Įgyvendinti projektą „Ilgalaikės priežiūros dienos centrų įrengimas, mobilių komandų aprūpinimas įranga ir transporto priemonėmis“</t>
  </si>
  <si>
    <t>Įkurtų specializuotų dienos priežiūros centrų skaičius</t>
  </si>
  <si>
    <t>Sukurtų mobilių komandų skaičius</t>
  </si>
  <si>
    <t>Įsigyta įrangos</t>
  </si>
  <si>
    <t>Modernizuoto ilgalaikės priežiūros dienos centro talpumas dienai</t>
  </si>
  <si>
    <t>09-02-08</t>
  </si>
  <si>
    <t>Įgyvendinti projektą „Sveikatos specialistų rengimas, pritraukimas Šiaulių miesto savivaldybėje"</t>
  </si>
  <si>
    <t>Pritraukti specialistai</t>
  </si>
  <si>
    <t>09-02-09</t>
  </si>
  <si>
    <t>Įgyvendinti projektą „Sveikatos centrų veiklos modelio diegimas Šiaulių miesto savivaldybėje"</t>
  </si>
  <si>
    <t>Įsigytos prietaisų ir programėlių, skirtų pacientų sveikatos būklei ambulatoriškai ir nuotoliniu būdu stebėti ir vertinti, dalis</t>
  </si>
  <si>
    <t>Specialistai, dalyvavę kvalifikacijos tobulinimo ar perkvalifikavimo veiklose</t>
  </si>
  <si>
    <t>Asmenys, dalyvavę veiklose, skirtose lėtinei ligai savarankiškai valdyti</t>
  </si>
  <si>
    <t>1.</t>
  </si>
  <si>
    <t>SAVIVALDYBĖS BIUDŽETAS IŠ VISO, IŠ JO:</t>
  </si>
  <si>
    <t>Savivaldybės biudžeto lėšos (SB)</t>
  </si>
  <si>
    <t>Skolintos lėšos (PS)</t>
  </si>
  <si>
    <t>Lėšos ugdymo reikmėms VB (UR)</t>
  </si>
  <si>
    <t>Lėšos valstybinėms funkcijoms VB (VF)</t>
  </si>
  <si>
    <t>Valstybės biudžeto lėšos (VB)</t>
  </si>
  <si>
    <t>Kelių priežiūros ir plėtros programos lėšos VB (KPPP)</t>
  </si>
  <si>
    <t>Europos Sąjungos lėšos (ES)</t>
  </si>
  <si>
    <t>Įstaigos pajamų lėšos (PL)</t>
  </si>
  <si>
    <t>Praėjusių metų lėšų likutis (LIK)</t>
  </si>
  <si>
    <t>Aplinkos apsaugos rėmimo specialiosios programos lėšos SB (AA)</t>
  </si>
  <si>
    <t>Lėšų likutis iš Aplinkos apsaugos rėmimo specialiosios programos SB (AA/LIK)</t>
  </si>
  <si>
    <t>2.</t>
  </si>
  <si>
    <t>KITOS LĖŠOS IŠ VISO, IŠ JŲ:</t>
  </si>
  <si>
    <t>Valstybės biudžeto lėšos KT (VB)</t>
  </si>
  <si>
    <t>Europos Sąjungos lėšos KT (ES)</t>
  </si>
  <si>
    <t>Kitų šaltinių lėšos KT (KL)</t>
  </si>
  <si>
    <t>IŠ VISO programai finansuoti pagal finansavimo šaltinius:</t>
  </si>
  <si>
    <t>2025 metų I-IV ketvirčio įvykdymo proc.</t>
  </si>
  <si>
    <t>Eur</t>
  </si>
  <si>
    <t>Visos įstaigos, kurios 2025 m. planavo įvykdyti anoniminę darbuotojų apklausą tolerancijos korupcijai indeksui nustatyti, ją įvykdė.</t>
  </si>
  <si>
    <t>Rodiklis perkeltas į 2026 m.</t>
  </si>
  <si>
    <t>Nebuvo poreikio</t>
  </si>
  <si>
    <t>Rodiklis neįvykdytas, perkelta į 2026 m., nes nepatvirtinta Lietuvos Respublikos Vyriausybės AKL nustatymo metodika.</t>
  </si>
  <si>
    <t>IV ketv. 5 - sutartys dėl sulankstomų lovų ir miegmaišių sudarytos, tačiau prekės dar nepristatytos, todėl neapmokėta ir nedeklaruota agentūrai.
Nupirkta 2 000 vnt. lovų, pasirašyta sutartis - 3 231 vnt., vyksta konkursas - 2 093 vnt.</t>
  </si>
  <si>
    <t>Dėl lėšų trūkumo finansuota 12 projektų.</t>
  </si>
  <si>
    <t>Rodiklis nepasiektas dėl poreikio nebuvimo.</t>
  </si>
  <si>
    <t>Rodiklis nepasiektas, nes rengiami pirkimo dokumentai dėl mokymo paslaugų įsigijimo.</t>
  </si>
  <si>
    <t>Palūkanos mokamos pagal faktiškai bankų apskaičiuotas sumas.</t>
  </si>
  <si>
    <t>Šiaulių apskrities P. Višinskio viešosios bibliotekos lankytojų skaičius - 173 855, Šiaulių miesto savivaldybės viešosios bibliotekos lankytojų skaičius - 143 442, iš viso - 317 297.</t>
  </si>
  <si>
    <t>Šiaulių apskrities P. Višinskio viešosios bibliotekos planuotas lankytojų skaičius 2025 m. 230 000 nepasiektas, apsilankė 173 855 lankytojai. Šiaulių miesto savivaldybės viešosios bibliotekos planuotas lankytojų skaičius 129 400 viršytas, apsilankė 143 442 lankytojai.</t>
  </si>
  <si>
    <t>Šiaulių dailės galerijos lankytojų skaičius - 64 226.</t>
  </si>
  <si>
    <t>Valstybinio Šiaulių dramos teatro lankytojų skaičius - 42 964.</t>
  </si>
  <si>
    <t>Šiaulių miesto koncertinės įstaigos „Saulė“  lankytojų skaičius - 105 648, koncertinės įstaigos Šiaulių valstybinio kamerinio choro „Polifonija“ lankytojų skaičius - 28 950. Iš viso - 134 598 lankytojai.</t>
  </si>
  <si>
    <t>Šiaulių kultūros centro planuotas lankytojų skaičius 2025 m. 161 830 viršytas, apsilankė 251 307 lankytojai. Tačiau bendram kultūros centrų lankytojų skaičiui galėjo turėti įtakos Šiaulių miesto kultūros centro "Laiptų galerija" reorganizacijos procesas, nuo 2025 m. rugsėjo 1 d. prijungus šią įstaigą prie Šiaulių kultūros centro.</t>
  </si>
  <si>
    <t>Įvykdytų projektų skaičiui galėjo turėti įtakos Šiaulių miesto kultūros centro "Laiptų galerija" reorganizacijos procesas, nuo 2025 m. rugsėjo 1 d. prijungus šią įstaigą prie Šiaulių kultūros centro. "Laiptų galerija" buvo suplanavusi įgyvendinti 5 projektus, įgyvendino 1.</t>
  </si>
  <si>
    <t>2024-2026 m. patvirtintame reprezentacinių festivalių sąraše yra 8 festivaliai, bet du iš jų vyksta kas antri metai, todėl kasmet vyksta 7 festivaliai.</t>
  </si>
  <si>
    <t>Rodiklio faktinė reikšmė šiuo metu pateikiama už 2024 metus. Kadangi ataskaita rengiama kas dvejus metus, kita rodiklio faktinė reikšmė bus pateikta už 2026 metus.</t>
  </si>
  <si>
    <t>Rodikliui apskaičiuoti duomenys paimti iš Šiaulių miesto aglomeracijos kelių transporto, geležinkelio, oro uosto ir pramoninės veiklos triukšmo kartografavimo 2022 m. ataskaitos, kurioje pateikta 2021 metų duomenys. Ši ataskaita, pagal teisės aktų reikalavimus, atnaujinama kas 5 metus.</t>
  </si>
  <si>
    <t>Laboratorija panaikinta nuo 2025-04-01.</t>
  </si>
  <si>
    <t>Pasiūlymai dėl atskirųjų želdynų  įregistravimo  2024-2025 m. laikotarpiu nebuvo pateikti dėl vykusios želdinių specialistų kaitos.</t>
  </si>
  <si>
    <t>Nebuvo didesnio poreikio.</t>
  </si>
  <si>
    <t>Rodiklis pateikiamas 2024 metų. 2025 metams nėra visų duomenų, todėl realių rodiklio skaičiavimų pateikti negalima.</t>
  </si>
  <si>
    <t>Kompensuota pagal pateiktus užsakymus (žmonių prašymai).</t>
  </si>
  <si>
    <t>Privačios žemės sklypo Aido g. 18 dalies pirkimas dėl pradėto Prokuratūros tyrimo perkeltas į 2026 m.</t>
  </si>
  <si>
    <t>Paskutiniai turimi naujausi duomenys yra 2019 metų.</t>
  </si>
  <si>
    <t>Per 2025 m. remontuota, rekonstruota ir įrengta apie 2,8 km pėsčiųjų takų</t>
  </si>
  <si>
    <t>Planuojant rodiklius buvo planuojama, kad 2025 metais bus įrengta/ rekonstruota daugiau takų Vilniaus (Draugystės – Vilkaviškio) ir Žemaitės gatvėse.</t>
  </si>
  <si>
    <t>2024 m. duomenimis (statistiniai duomenys atsiliekantys).</t>
  </si>
  <si>
    <t>Valstybės duomenų agentūra nebeteikia rodiklio "Veikiančių įmonių skaičius metų pradž.", vietoje jo naudoja "Veikiančių ūkio subjektų skaičius metų pradž." ir skaičiuojama: veikiančių ūkio subj. sk. metų pradž. – 4 791; gyventojų sk. – 112 018; 4791 : 112018 x 1000 = 42,76</t>
  </si>
  <si>
    <t>Dažniausiai TIC veiklos statistiniai rezultatai išlieka už įstaigos ribų, o ne jos viduje. TIC įvairiomis komunikacinėmis formomis informuojant turistus apie lankytinas vietas, objektus, maitinimo ar nakvynės galimybes ir pan., skleidžiant informaciją, neįmanoma gauti visapusiškos grįžtamosios informacijos, kur turistas apsilankė, kokioje įstaigoje paliko pinigus ir pan. Įdiegta slapukų politika (BDAR). Ji Lietuvoje ir ES reikalauja, kad nebūtų renkama informacija apie vartotoją, jeigu šis nesutinka, kad ji būtų renkama. Google Analytics slapukai nėra priskirtini prie būtinų slapukų, kurie lemia svetainės veikimą arba neveikimą, todėl, jei vartotojas nepatvirtina slapukų rinkimo, tuomet jo neįskaičiuoja prie lankytojų, įskaitant ir jo atidarytų puslapių nepriskaičiuoja prie atidarytų puslapių statistikos. Remiantis pasaulinėmis įžvalgomis, naujausi „Google“ algoritmo atnaujinimai smarkiai paveikė svetainių reitingus: net 90 % lankomumo ir matomumo sumažėjimą.</t>
  </si>
  <si>
    <t>TIC ir „Baltų kelio“ centro lankytojai (turistai) Šiaulių mieste - 33 555.</t>
  </si>
  <si>
    <t>Sumažėjusius svetainės aktyvių vardotojų skaičius lemia pasikeitę interneto vartotojų įpročiai. Informacijos ieškoma nebe tinklalapiuose, o įvairiuose paieškos įrankiuose, o pastaraisiais metais - dirbtinio intelekto sistemose.</t>
  </si>
  <si>
    <t xml:space="preserve">Mokama už faktiškai atliktus būsto pritaikymo asmenims su negalia darbus. </t>
  </si>
  <si>
    <t>Nebuvo sudaryta finansavimo sutarčių su nuolatiniais globotojais, globojančiais vaikus, likusius be tėvų globos šeimoje, nes nebuvo poreikio, arba parengti nuolatiniai globotojai atsisakė globoti siūlomą vaiką.</t>
  </si>
  <si>
    <t>2025-09-25 gautas oficialus prašymas iš Chmelnyckio mero (reg. Nr. G-8005) dėl humanitarinės pagalbos. 2025-11-19 su LRKD sudaryta rėmimo sutartis reg. Nr. SŽ-1951. ŠMSA 2025-11-28 pervedė 200,000 Eur į LRKD sąskaitą, vykdomas med. priemonių pirkimas pagal sutartį.</t>
  </si>
  <si>
    <t>VŠĮ Šiaulių krepšinio akademijos „Saulė“ pastato statybos projekto rengimas numatytas 2027 m.</t>
  </si>
  <si>
    <t>Premijos „Metų mokinys“ paskirtos  konkursų miesto etapų I vietų ir šalies etapų I–III vietų laimėtojams pagal faktinį laimėtojų skaičių.</t>
  </si>
  <si>
    <t>Nebuvo gauta prašymų nuvežti į respublikinius renginius.</t>
  </si>
  <si>
    <t>Apmokėtos faktiškai pateiktos paraiškos.</t>
  </si>
  <si>
    <t>Nuo 2025 m. rugsėjo 1 d. sumažėjo finansavimą gaunančių vaikų skaičius.</t>
  </si>
  <si>
    <t>Rodiklio reikšmė viršyta dėl padidėjusio poreikio (pirmosios pagalbos mokymų, alkoholio, narkotikų ir psichotropinių ar kitų psichiką veikiančių medžiagų žalos mokymų (A1, A2, A3); vairavimo esant neblaiviam prevencijos programos.</t>
  </si>
  <si>
    <t>Rodiklis viršytas dėl visuomenės sveikatos specialistų, vykdančių sveikatos priežiūrą mokyklose, pastangų į sveikatinimo renginius įtraukti kuo daugiau mokinių ir SAM nurodymų didinti sveikatinimo renginiuose dalyvavusių mokinių skaičių.</t>
  </si>
  <si>
    <t>Rodiklis viršytas dėl gyventojų susidomėjimo fiziniu aktyvumu ir sveika mityba.</t>
  </si>
  <si>
    <t>Rodiklis viršytas dėl programos viešinimo ir visuomenės sveikatos specialistės, vykdančios visuomenės sveikatos stiprinimą aktyvaus bendradarbiavimo su pirminės sveikatos priežiūros įstaigomis.</t>
  </si>
  <si>
    <t>Rodiklis viršytas dėl didesnio paslaugų skaičiaus (įsigijus už mažesnę kainą).</t>
  </si>
  <si>
    <t>Rodiklio viršijimą lėmė didelis senjorų susidomėjimas iniciatyva ir aktyvus veiklų viešinimas.</t>
  </si>
  <si>
    <t>Atlikta tik dalis remonto darbų, kadangi kiti remonto darbai turi vykti viduje, o veikiančiose įstaigose daryti remonto darbus sudėtinga. Planuojama remonto darbus daryti vasarą, kai dalis gydytojų ir pacientų atostogaus.</t>
  </si>
  <si>
    <t>Rodiklis nepasiektas, kadangi nebaigta veikla.</t>
  </si>
  <si>
    <t>Neįvyko 2 kartus skelbtos pirkimo procedūros didelės apimties projekte.</t>
  </si>
  <si>
    <t>Nemaža dalis jaunimo sportininkų perėjo į suaugusiųjų Lietuvos rinktinių sąrašus, dalis persikėlė į kitus miestus, dalis nebesportuoja, pagal patvirtintus kriterijus vykdyta stipresnė atranka į sąrašus, akcentuojantis į tikrai potencialius olimpinių žaidynių kandidatus ir dalyvius.</t>
  </si>
  <si>
    <t>Šiaulių miesto sportininkų rezultatus ir iškovotas kovas labai sudėtinga numatyti. Mažesnį aukštų vietų skaičų įtakojo patirtos traumos, poolimpiniai metai, kurių metų sportininkai gydosi traumas, pradeda naują olimpinį 4 metų ciklą.</t>
  </si>
  <si>
    <t>Šiaulių miesto sportininkų rezultatus ir iškovotas kovas labai sudėtinga numatyti. Mažesnį aukštų vietų skaičų įtakojo patirtos traumos, poolimpiniai metai, kurių metų sportininkai gydosi traumas, pradeda naują olimpinį 4 metų ciklą.,vyksta sportininkų perėjimas į vyresniųjų amžiaus grupes - kartų kaita.</t>
  </si>
  <si>
    <t>Sumažintas perspektyviausių sportininkų jaunimo sąrašas, nes dalis jų perėjo į suaugusiųjų sąrašą, dalis persikėlė į kitus miestus, dalis nebesportuoja, pagal patvirtintus kriterijus vykdyta stipresnė atranka į sąrašus, akcentuojantis į tikrai potencialius olimpinių žaidynių kandidatus ir dalyvius.</t>
  </si>
  <si>
    <t>Sustiprėjo kitų Lietuvos mietsų žaidimų komandos, dalis žaidėjų migravo į kitus Lietuvos ir užsienio klubus, nebeastovauja Šiauliams, kai kurie baigė karjerą, vyksta kartų kaita komandose, tuo pačiu ir rinktinėse.</t>
  </si>
  <si>
    <t>Kompleksinių paslaugų namų "Alka" paslaugų poreikis patenkintas 100 proc.</t>
  </si>
  <si>
    <t xml:space="preserve">Nepasiektas rodiklis, nes per I-IV ketvirčius:
- gauti  97 asmenų su sunkia negalia ar jų artimųjų prašymai nebeteikti dienos socialinės globos paslaugų, nes nusprendė rūpintis patys ar gydosi ilgalaikėje gydymo įstaigoje;
- 85 asmenys su sunkia negalia mirė.
</t>
  </si>
  <si>
    <t>Poreikis patenkintas 100 proc., nes per visus metus buvo  pateikti 42 asmenų su negalia prašymai dėl paslaugų grupinio gyvenimo namuose ar šeiminiuose namuose, apgyvendinimo apsaugotame būste ir paslaugų teikimo socialinėse dirbtuvėse.</t>
  </si>
  <si>
    <t xml:space="preserve">Tėvų prašymų dėl  vaikų su negalia vaikų dienos socialinės priežiūros paslaugų teikimo vaikų dienos centruose poreikis patenkintas 100 proc. Pastaruosius metus vaikų su negalia skaičius vaikų dienos centruose yra stabilus ir mažai kintantis, nėra didelė tokių vaikų kaita. </t>
  </si>
  <si>
    <t xml:space="preserve">Kompleksinės paslaugos šeimai teikiamos pagal poreikį. Asmenys kreipiasi dėl paslaugų savanoriškai. Poreikis paslaugoms patenkintas 100 proc. Pastebima, kad mažesnis paslaugų gavėjų skaičius būna vasaros metu ir gruodžio mėnesį. </t>
  </si>
  <si>
    <t xml:space="preserve">Iš plane esančių 30 priemonių, įgyvendinama 27, nes nevykdyta:
- apklausa Šiaulių m. gyvenančių užsienio šalių (tarp jų ir ne ES šalių) piliečių;
- nebuvo pasitelkti savanoriai, padedantys spręsti savivaldybėje gyvenančių užsieniečių integracijos klausimus (supažindinti su miestu, nukreipti ir palydėti į konkrečias įstaigas, teikti jiems rūpimą informaciją ir kt.);
-  NVO organizacijoms, teikiančioms smurto artimoje aplinkoje paslaugas, mokymai, skirti darbuotojų kompetencijoms didinti, atpažįstant smurto artimoje aplinkoje atvejus, migrantų, tautinių ir religinių mažumų tarpe.
</t>
  </si>
  <si>
    <t>Muziejų lankytojų skaičius iš viso 181 119, iš jų: Šiaulių "Aušros“  muziejus - 116 931, Šiaulių geležinkelių muziejus - 4 766, Šiaulių kino muziejus - 2 112, Vandentvarkos muziejus - 1 875, Vandos Kavaliauskienės katinų muziejus - 15 325,  Baltų kultūros pažinimo centras - 33 555, Telefonijos muziejus - 3 055, Policijos ir visuomenės informacinis kabinetas - muziejus - 3 500, 2000 - Šiaulių Juliaus Janonio gimnazijos istorijos Jono Krivicko muziejus.</t>
  </si>
  <si>
    <t>Šiaulių apygardos teismo teismų istorijos muziejus, Šokolado muziejus (Rūta), Angelo muziejus, VšĮ Šiaulių akademijos Stasio Gliaudžio gamtos muziejus, Vaistininkystės muziejus, Šiaulių respublikinės, ligoninės patologinės anatomijos muziejus nepateikė duomenų apie lankytojų skaičių 2025 m.</t>
  </si>
  <si>
    <t>Dėl užsitęsusių viešųjų pirkimų procedūrų J. Janonio gimnazijos stogo remontas nukeltas į 2026 m.</t>
  </si>
  <si>
    <t xml:space="preserve">Siekiama reikšmė 100 proc. nepasiekta dėl užsitęsusių ar nepradėtų vykdyti infrastruktūros atnaujinimo darbų TŪM mokyklose. </t>
  </si>
  <si>
    <t>Mokinių skaičius buvo planuotas pagal 2024 m. rodiklius. Faktinis rezultatas yra pagal 2025 metų faktinį mokinių skaičių.</t>
  </si>
  <si>
    <t>Įvertintas realus egzaminų vykdytojų ir vertintojų skaičius. Kai kurie mokytojai atliko vertintojų ir vykdytojų pareigas daugiau nei 1 kartą, todėl bendras skaičius mažesnis.</t>
  </si>
  <si>
    <t xml:space="preserve">Valstybinė ligonių kasa vykdo laukimo eilių stebėseną, naudodamasi Išankstinės pacientų registracijos (IPR) informacine sistema, informacija kintanti: https://osp.stat.gov.lt/pacientu-eiles.  </t>
  </si>
  <si>
    <t xml:space="preserve">Informacija už 2024 m. (16,2, t. y. 18 atvejų). 2025 m. duomenų dar nėra. Lietuvos vidurkis - 19,6. Galimos rodiklio viršijimo priežastys: ilgalaikio nedarbo lygio didėjimas (2024 m. - 890 (1,3), 2023 m.- 670 (0,6)), tai pat didėjo ir psichikos ir elgesio sutrikimų, vartojant alkoholį 2024 m. - 704 (63,3), 2023 m. 691(63,6), 2022 m. - 612 (58,9). </t>
  </si>
  <si>
    <t>3 įstaigos modernizuojamos toliau.</t>
  </si>
  <si>
    <t xml:space="preserve">Dainų pirminės sveikatos priežiūros centro naujo priestato statyba planuojama 2026 m. </t>
  </si>
  <si>
    <t>Mažesnė faktinė rodiklio reikšmė, lyginant su planine, rodo teigiamą rezultatą – mažesnį kietųjų dalelių kiekį aplinkoje.</t>
  </si>
  <si>
    <t>Pateiktas faktinis skaičius. Priežastys įvairios.</t>
  </si>
  <si>
    <t>Suderinta bendradarbiavimo sutartis su Lietuvos gyventojų genocido ir rezistencijos tyrimo centru dėl paslaugos atlikimo. Informacinius stovus (stendus) planuojama įrengti per 2026 metus.</t>
  </si>
  <si>
    <t>Didesnis paslaugų poreikis.</t>
  </si>
  <si>
    <t>Viršytas rodiklis dėl papildomai teikiamų paslaugų 2 ugdymo įstaigose.</t>
  </si>
  <si>
    <t xml:space="preserve">Darbų ir paslaugų pirkimuose, išskyrus mažos vertės pirkimus, taikomas socialinis kriterijus, t. y. darbo užmokesčio mėnesio mediana.
</t>
  </si>
  <si>
    <t>Rodiklis siekiamas įgyvendinant projektą "Efektyvus turto valdymas Šiaulių ir Panevėžio miestų savivaldybėse" (Nr. 02-110-P-0005).
2025-10-31 sudaryta Šiaulių m. ir Panevėžio m. savivaldybių turto valdymo sistemos diegimo paslaugos teikimo sutartis.</t>
  </si>
  <si>
    <t>Projekte dalyvauja 13 priedangų. Vyko sprendinių derinimai su projekto partneriais, buvo vykdomos projekto veiklos.</t>
  </si>
  <si>
    <t>Ilgai vyko pirkimo dokumentų (techninių specifikacijų ir kt.) derinimas, galimų techninių sprendinių derinimas su agentūra, todėl užtruko pirkimų procedūros. Atitinkamai, išlaidos nebuvo patirtos ir nebuvo deklaruotos agentūrai.</t>
  </si>
  <si>
    <t>28 iš 92 įstaigos atliko apklausas: Šiaulių koncertinė įstaiga "Saulė", Šiaulių lopšeliai-darželiai "Dainelė",  "Gintarėlis", Didžvario, Lieporių gimnazijos, Šiaulių miesto savivaldybės visuomenės sveikatos biuras, Šiaulių miesto savivaldybės globos namai, Šiaulių apskaitos centras, Šiaulių kultūros centras, Šiaulių miesto šeimos centras, Šiaulių sporto centras "Atžalynas", Šiaulių lengvosios atletikos ir sveikatingumo centras, Šiaulių Juliaus Janonio gimnazija, Šiaulių Jovaro, "Juventos", "Sandoros", Rėkyvos, "Romuvos" progimnazijos, Šiaulių jaunųjų gamtininkų centras, Šiaulių Dainų muzikos mokykla, Šiaulių lopšeliai-darželiai "Drugelis", "Eglutė", "Ežerėlis", "Pasaka", "Rugiagėlė", "Žiogelis", Šiaulių Dermės mokykla, Šiaulių švietimo kompetencijų centras.</t>
  </si>
  <si>
    <t>28 iš 92 biudžetinių įstaigų pasitvirtino dovanų politiką: Šiaulių „Dagilėlio“ dainavimo mokykla, Šiaulių jaunųjų gamtininkų centras, Šiaulių lopšeliai-darželiai „Rugiagėlė“, „Berželis“,  „Trys nykštukai“, „Pelėdžiukas“, „Pasaka“, „Bitė“, „Ąžuoliukas“, Šiaulių Centro pradinė mokykla, Šiaulių Gegužių , Jovaro progimnazijos, Šiaulių „Saulėtekio“, „Romuvos“, Juliaus Janonio, Stasio Šalkauskio, sporto, Didždvario, Lieporių , Šiaulių universitetinė, Simono Daukanto inžinerijos gimnazijos, Šiaulių "Saulės" pradinė mokykla, Šiaulių lopšeliai-darželiai "Dainelė", "Drugelis", "Kregždutė", "Vaikystė", Šiaulių menų mokykla, Šiaulių dailės mokykla.</t>
  </si>
  <si>
    <t xml:space="preserve">Apmokama pagal faktą.
</t>
  </si>
  <si>
    <t>Gautos ir apmokėtos 6 daugiabučių namų bendrijų steigimo išlaidos.</t>
  </si>
  <si>
    <t xml:space="preserve">Įvykdyti 2 modernizavimo ir plėtros pirkimai, Govtech metu įgyto sprendinio formuojamų duomenų integracija į MKS IS ir funkcionalumo išplėtimas.
</t>
  </si>
  <si>
    <t xml:space="preserve">Vykdomos 50 vnt. elektros generatorių pajungimo sutartys, ranga keliasi į 2026 m. Taip pat dėl papildomo derinimo sustojo rezervinių ryšio priemonių pirkimas (keliama į kitus metus). </t>
  </si>
  <si>
    <t>Derinamas papildomas susitarimas prie sutarties papildomiems darbams, tolimesnė ranga keliasi į 2026 metus.</t>
  </si>
  <si>
    <t xml:space="preserve">Buvo atnaujinta nuotolinio darbo savivaldybės administracijoje tvarka 2025 m. gegužės 15 d. įsakymu Nr. AP-514.
</t>
  </si>
  <si>
    <t>Visiems darbuotojams, pateikusiems prašymus, sudarytos sąlygos dirbti nuotoliniu būdu ir taikyti lanksčius darbo grafikus. Per  I ketv. administracijoje gauti 148 prašymai dėl nuotolinio darbo; 
Per  II ketv. administracijoje gauti 67 prašymai;
Per III ketv. administracijoje gauti 59 prašymai;
Per IV ketv. administracijoje gauti 117 prašymų.</t>
  </si>
  <si>
    <t>II ketv. Pateikti pasiūlymai įtraukti lygių galimybių ir nediskriminavimo, skirto vyresnio amžiaus žmonių atskirties mažinimui, kriterijus Civilinės saugos ir teisėtvarkos, Ekonomikos, Kultūros, Miesto ūkio ir aplinkos , Socialinių išmokų ir kompensacijų, Socialinių paslaugų, Sporto, Sveikatos, Švietimo skyrių bei  Nevyriausybinių organizacijų koordinatoriaus kuruojamose programose.
IV ketv. Pasiūlyta Nevyriausybinių organizacijų rėmimo programoje ir Jaunimo iniciatyvų skatinimo projektuose numatyti lygių galimybių ir nediskriminavimo, skirto socialinės atskirties mažinimui,  kriterijų ar kryptį.</t>
  </si>
  <si>
    <t>Nebuvo kurtos naujos IS</t>
  </si>
  <si>
    <t xml:space="preserve">Atverta Kapinių valdymo IS.
</t>
  </si>
  <si>
    <t xml:space="preserve">Išplėstas subtinklapio „ŠiauliaiKruta" funkcionalumas.
</t>
  </si>
  <si>
    <t>I ketv. sudaryta Paslaugų teikimo sutartis Nr. SŽ-449, pagal kurią transliuojamos reportažinio tipo aktualių įprastinio pobūdžio informacinių pranešimų savaitės aktualijų TV laidos, skirtos Šiaulių miesto gyventojams, su vertimu į gestų kalbą.
II ketv. neplanuota.
III ketv. atnaujinta informacija www.siauliai.lt  skiltyje "Lygių galimybių užtikrinimas", parengta irnformacija ir pakeisti teisės aktai
IV ketv. pakeista ir papildyta informacija www.siauliai.lt skiltyje "Lygių galimybių užtikrinimas“; atnaujinti duomenys dalyje „Bendra informacija“ (2 vnt.).</t>
  </si>
  <si>
    <t xml:space="preserve">Administracinės naštos mažinimo vertinimas atliekamas 2 kartus per metus (kas pusmetį). Atliktas  I pusmečio Administracinės naštos vertinimas, įvykdytos 5 priemonės, parengta Administracinės naštos mažinimo ataskaita skelbiama www.siauliai.lt.
</t>
  </si>
  <si>
    <t xml:space="preserve">II pusmečio ataskaita rengiama 2026 m. I ketvirtyje. Neįgyvendinta liko 1.1. plano priemonė „Administracinių, viešųjų paslaugų teikimo teisės aktų  analizė", kurios įgyvendinimo terminas yra iki 2026 m. pabaigos. </t>
  </si>
  <si>
    <t>I pusm. Patalpų, skirtų bendruomenių, NVO susirinkimų, veiklos vykdymo poreikiams tenkinti mikrorajonuose, skaičius yra 16 vnt.</t>
  </si>
  <si>
    <t>I ketv.  bendruomeninės organizacijos teikė paraiškas.
II ketv. pasirašytos 9 sutartys. Veiklos vyko pagal numatytą planą.
III ketv. pasirašytos dar 2 sutartys . Viso finansuota 11 paraiškų. 
IV ketv. įgyvendinti visi 11 projektų.</t>
  </si>
  <si>
    <t>Gauta 15 paraiškų, 4 paraiškos nepraėjo administracinio vertinimo.</t>
  </si>
  <si>
    <t xml:space="preserve">Pateiktos tik 4 paraiškos, finansuojama pagal pateiktą poreikį nuolatos.
</t>
  </si>
  <si>
    <t xml:space="preserve">I ketv. Buvo gautos 3 paraiškos ir atiduotos tikslinimui. Paskelbtas papildomas kvietimas teikti paraiškas.
II ketv. Pasirašytos 4 sutartys. Vyksta numatyti darbai pagal pasirašytas sutartis. </t>
  </si>
  <si>
    <t>I ketv. NVO organizacijos pateikė 25 paraiškas;
II ketv. pasirašyta 12 sutarčių, vyko veiklos pagal sutartis;
III ketv. projektai vykdomi pagal pasirašytas sutartis;
IV ketv. įgyvendinta 12 projektų.</t>
  </si>
  <si>
    <t>Parengtos ir pasirašytos 2 biudžeto naudojimo sutartys</t>
  </si>
  <si>
    <t>Išlaidos apmokamos pagal faktiškai patirtas išlaidas ir pateiktas sąskaitas jų apmokėjimui. Projektų vykdytojai Centrinei projektų valdymo agentūrai neteikė veiklos ataskaitų, nors veiklas vykdo, o pagal biudžeto naudojimo sutartį, projektų vykdytojams galimi išmokėjimai yra tik gavus CPVA patvirtinimą, kad patirtos išlaidos yra tinkamos.</t>
  </si>
  <si>
    <t>Buvo gauta 16 pasiūlymų iš miesto gyventojų: 10 mažos vertės ir 6 didelės vertės. Didelės vertės grupėje laimėjo projektas „Rėkyvos ežeras – šeimai, sportui ir laisvalaikiui“, mažos vertės grupėje laimėjo projektas ,,Nauja vaikų žaidimų aikštelė Rėkyvoje“.</t>
  </si>
  <si>
    <t>Didelės apimties projektas nepradėtas, lėšos perkeltos į 2026 m.</t>
  </si>
  <si>
    <t xml:space="preserve">I ketv. - 2 iniciatyvos.
II ketv. - Didelės apimties projektas: paskelbtas viešas konkursas; Mažos apimties projektas: konkursas įvykęs, darbai atlikti, apmokėjimas už darbus liepos mėn.
III ketv. - vykdomas mažos apimties projektas bus sutaupyta  8488 Eur. Didelės apimties projekte vykdomi projektavimo darbai.
IV ketv.-įgyvendintas mažos apimties projektas. </t>
  </si>
  <si>
    <t>Įgyvendinti projektai:  J. Janonio gimnazijos „Žalioji oazė“ ir  Romuvos gimnazijos „DJ Airis kvieč TV pagalbą“.</t>
  </si>
  <si>
    <t xml:space="preserve"> Balsavusiųjų skaičius - 4 323.</t>
  </si>
  <si>
    <t>Už Mokinių dalyvaujamojo biudžeto projektų pasiūlymus balsavo 1 600 mokinių (iš 3 971 balso teisę turinčių), arba 40 % visų, galėjusių balsuoti mokinių.</t>
  </si>
  <si>
    <t xml:space="preserve">Vykdoma pagal Šiaulių miesto savivaldybės nusikaltimų prevencijos 2023–2025 m. programos, patvirtintos Šiaulių miesto savivaldybės tarybos 2022 m. gruodžio 1 d. sprendimu Nr. T-411 „Dėl Šiaulių miesto savivaldybės nusikaltimų prevencijos 2023–2025 m. Programos patvirtinimo“ nuostatas. 
</t>
  </si>
  <si>
    <t xml:space="preserve">SPG posėdyje nepritarus taktilinio infoterminalo įsigijimui informacija viešinama savivaldybės interneto svetainėje, Ukrainiečių integracijos centre "Malva".
</t>
  </si>
  <si>
    <t>2025 m. nutarta neįrengti taktilinio infoterminalo.</t>
  </si>
  <si>
    <t>Integracijos paslaugų teikimo plane numatytų priemonių įgyvendinta 90 proc.</t>
  </si>
  <si>
    <t>Lietuvių kalbos kursuose buvo mokomi 39 užsienio šalių piliečiai  ir 28 asmenys laukia mokymų 2026 m.</t>
  </si>
  <si>
    <t xml:space="preserve">Per II ketvirtį įsteigtos 2 karjeros valstybės tarnautojų pareigybės: Turto valdymo skyriaus vyr. specialisto ir Miesto ūkio ir aplinkos  skyriaus Infrastruktūros poskyrio vyriausiojo specialisto. Per III ketvirtį panaikinta 1 karjeros valstybės tarnautojo pareigybė, tai Bendrųjų reikalų skyriaus Informacinių technologijų poskyrio vedėjo ir įsteigta 1 karjeros valstybės tarnautojo pareigybė Civilinės saugos ir teisėtvarkos skyriaus Civilinės saugos poskyrio vyr. specialisto.
</t>
  </si>
  <si>
    <t xml:space="preserve">Per III ketvirtį įsteigta 1,5 darbuotojo, dirbančio pagal darbo sutartį, pareigybės: 0,5 pareigybės Statybos ir renovacijos skyriaus vyriausiojo specialisto ir 1 pareigybė Bendrųjų reikalų skyriaus Informacinių technologijų poskyrio vedėjo.
</t>
  </si>
  <si>
    <t>Atlikti remonto darbai: Archyvo patalpose (Tilžės g. 198) atliktas vėdinimo įrenginio remontas, Tarybos posėdžių salėje ir Civilinės metrikacijos sk. sumontuoti nauji stiklo paketai, Švietimo sk. sumontuotos naujos žaliuzės ir ritininės užuolaidos, patalpa su "Slaptais" dokumentais pritaikyta esamiems reikalavimams (sumontuotas papildomas seifas egzaminų užduotims saugoti).
Švietimo sk. atliktas kosmetinis sanitarinių mazgų (WC patalpos) remontas, Civilinės metrikacijos sk. atliktas salės remontas, restauruotos durys ir stalas, taip pat pakeisti nusidėvėję turėklai. Taip pat buvo atnaujinti ir perdažyti dekoratyviniai metaliniai turėklai. Iš esmės sutvarkytos buvusios slėptuvės patalpos: demontuoti ir utilizuoti nenaudojami inžineriniai įrenginiai. Administracijos pastate, adresu Vasario 16-osios g. 62, atlikti fasado kosmetiniai remonto darbai. Administracijos kiemo skverelyje atnaujinti ir nulakuoti suoliukai. Iš esmės suremontuoti du Administracijos priklausantys garažai. Parengtas Administracijos pastato "Freskų salės" remonto (dizaino) projektas. Buvo įgyvendinti infrastruktūros modernizavimo ir priežiūros darbai. Pakeisti pasenę apšvietimo įrenginiai – sumontuoti 88 nauji šviestuvai, užtikrinantys didesnį energijos vartojimo efektyvumą ir geresnę šviesos kokybę. Administracijos pastato trečiojo aukšto kabinetuose atlikti vidaus apdailos atnaujinimo darbai – pakeistos deformuotos, sulietos lubų plytelės. Siekiant palaikyti tinkamą pastato eksploatacijos būklę, išvalyti lietvamzdžiai ir lietaus nuvedimo sistemos. Teritorijos prieigos modernizuotos įdiegus automatinę vartų valdymo sistemą, leidžiančią visiškai automatizuoti įvažiavimo ir išvažiavimo procesus. Įrengta elektromobilių įkrovimo stotelė, prisidedanti prie tvaraus transporto infrastruktūros plėtros. Be to, Tarybos posėdžių salėje pakeisti trys įskilę stiklo paketai, taip atkuriant patalpos estetinę ir funkcinę kokybę. Atliktas "Freskų salės" remontas, įrengta poilsio patalpa prie Tarybos posėdžių salės. Atliktas Administracijos pastato stogo remontas. Skubos tvarka atlikti Administracijos direktoriaus kabineto (314 kab.) remonto darbai, 235 salės remonto darbai. Demontuota Civilinės metrikacijos sk. stiklo vitrina ir pakeista nauja. Atliktas archyvo (Tilžės g. 198) sienų remontas: pelėsio naikinimo ir sienų dažymo darbai. Sporto sk. pakeistas boileris. Administracijos pastate atliktas smulkus radiatorių remontas, taip pat patalpose ir lauke esančių laiptų specialus žymėjimas regėjimo negalią turintiems asmenims. Įrengtas naujas elektros apskaitos prietaisas elektromobilio įkrovimo stotelės energijos suvartojimui apskaityti.</t>
  </si>
  <si>
    <t xml:space="preserve">Dėl neįvykusių viešųjų pirkimų procedūrų 2025 m. nebuvo pradėti administracinio pastato dalies šiltinimo darbai. Šiuo metu pirkimo procedūros yra užbaigtos, rangos sutartis sudaryta, o darbų pradžia numatoma 2026 m. kovo mėnesį. </t>
  </si>
  <si>
    <t>I ketv. Įsigyta 10 vnt. kompiuterių;
II ketv. Įsigyta 12 vnt. planšetinių kompiuterių;.
IV ketv. Įsigyta 36 vnt. kompiuterių ir 10 vnt planšetinių kompiuterių.</t>
  </si>
  <si>
    <t>Įsigyta 1 duomenų saugykla</t>
  </si>
  <si>
    <t>I ketv. Mokymų dalyvių skaičius - 225 asm.
II ketv. Mokymų dalyvių skaičius - 736 asm.
III ketv. Mokymų dalyvių skaičius - 177 asm.
IV ketv. Mokymų dalyvių skaičius - 942 asm.
Atsižvelgiant į Administracijos darbuotojų prioritetų sąrašą, buvo suorganizuoti šie mokymai: 
- Procesinio valdymo mokymai darbuotojams;
- Procesinio valdymo pagrindai, principai ir įgyvendinimo pavyzdžiai;
- Veiklos procesų dokumentavimas pagal Business Process Modelling Notation (BPMN);
- Praktinės dirbtuvės - Perėjimas prie procesinio valdymo modelio taikymo Savivaldybės administracijos struktūriniuose padaliniuose. Darbas su konkrečiais padalinių procesų pavyzdžiais;
- Svarbiausi BDAR klausimai darbuotojams;
- Anglų kalbos mokymai;
- Dirbtinio intelekto mokymai;
- Civilinės saugos mokymai;
- E. mokymai Viešojo sektoriaus kompetencijų ugdymo erdvėje.</t>
  </si>
  <si>
    <t xml:space="preserve">II ketv. Įvyko mobilumo vizitas Kroatijoje.
III ketv. nepavykus suderinti planuoto mobilumo vizito Italijoje, vyko partnerio paieška Prancūzijoje. Radus partnerį vyko mobilumo vizito Prancūzijoje planavimo darbai.
IV ketv. Įvyko mobilumo vizitas Prancūzijoje. </t>
  </si>
  <si>
    <t>Biudžetinėms įstaigoms vykdyti Maisto produktų užsakymai per CPO LT elektroninį katalogą, šiems pirkimams aplinkosaugos reikalavimai netaikomi vadovaujantis Lietuvos Respublikos Vyriausybės 2021 m. birželio 21 d. Nutarimo Nr. 478 2.1. papunkčiu.</t>
  </si>
  <si>
    <t>Perkančiosios organizacijos nepateikė poreikio vykdyti rezervuotus pirkimus.</t>
  </si>
  <si>
    <t xml:space="preserve">Pasiekti 0,67 proc. Savivaldybės BĮ/VŠĮ inovatyvių pirkimų dalis nuo visų pirkimų.
</t>
  </si>
  <si>
    <t>Savivaldybės BĮ/VŠĮ inovatyvių pirkimų dalis nuo visų pirkimų</t>
  </si>
  <si>
    <t>Nors 2025 metais įvyko 6 inovatyvūs pirkimai, jų vertė nebuvo didelė.</t>
  </si>
  <si>
    <t>2025 m. pilnai atlikta 16 ekspertizių ir 12 tech. priežiūros paslaugų.</t>
  </si>
  <si>
    <t>Vėluojant projektavimo paslaugų atlikimui, užsitęsė ekspertizės paslaugos, atitinkamai užsitęsus rangos darbams, buvo neapmokėtos techninės priežiūros paslaugos.</t>
  </si>
  <si>
    <t>2025-01-29 Savivaldybės mero potvarkiu Nr. M-156 skirtos lėšos gyventojui, nukentėjusiam nuo gaisro.</t>
  </si>
  <si>
    <t>Poreikio kreiptis į teismą  nebuvo.</t>
  </si>
  <si>
    <t>Per 2025 m. II ketv. pasirašyta 1 paskolos sutartis, nuo metų pradžios baigtos grąžinti 2 paskolos.</t>
  </si>
  <si>
    <t>I ketv. pasirašytų paskolų sk. - 12 vnt. Paskolų grąžinimas -100%.
II ketv. pasirašytų paskolų sk. - 13 vnt., t.sk. 2025 m. pasirašyta 1 paskolos sutartis. Paskolų grąžinimo įvykdymas - 100%.
III ketv. pasirašytų paskolų sk. - 11 vnt. Paskolų grąžinimo įvykdymas - 100%.
IV ketv. pasirašytų paskolų sk. metų gale - 11 vnt. Paskolų grąžinimo įvykdymas 100%.</t>
  </si>
  <si>
    <t>Skelbiamuose pirkimuose dėl būsto nuomos, pasiūlymų nebuvo gauta.</t>
  </si>
  <si>
    <t xml:space="preserve">Neturime būstų, kuriuos nuomotumėme iš fizinių/juridinių asmenų. </t>
  </si>
  <si>
    <t>Parodų skaičiui galėjo turėti įtakos Šiaulių miesto kultūros centro "Laiptų galerija" reorganizacijos procesas, nuo 2025 m. rugsėjo 1 d. prijungus šią įstaigą prie Šiaulių kultūros centro. "Laiptų galerija" buvo suplanavusi 44 parodas, surengė 38.</t>
  </si>
  <si>
    <t>Surengta 71 paroda, iš jų surengė: 42 - Šiaulių kultūros centras,  29 - Šiaulių dailės galerija.</t>
  </si>
  <si>
    <t>Skirtos 2 premijos Valstybinio Šiaulių dramos teatro kūrybiniams darbuotojams, buvo mokamos stipendijos keturiems jauniesiems menininkams, skirtos 4 Kultūros ir meno premijos, skirta 1 Kultūrinės edukacijos premija.</t>
  </si>
  <si>
    <t>Pasirašytos 7 reprezentacinių festivalių sutartys.</t>
  </si>
  <si>
    <t>Kultūros įstaigos suteikė 9 atnaujintas/ naujas kultūros paslaugas tautinėms mažumoms. Iš jų suteikė: 3 - Šiaulių kultūros centras, 2 - Šiaulių dailės galerija, 3 - Šiaulių miesto koncertinė įstaiga „Saulė“, 1 - Šiaulių miesto savivaldybės viešoji biblioteka.</t>
  </si>
  <si>
    <t>Pasirašyta 13 Papildomų kultūros priemonių dalinio finansavimo sutarčių ir 8 Tolygios kultūrinės raidos programos priemonių dalinio finansavimo sutartys.</t>
  </si>
  <si>
    <t>Papildomų kultūros priemonių ir Tolygios kultūrinės raidos programos priemonių dalinis finansavimas iš SB lėšų priklauso nuo projektų vykdytojų laimėtų konkursų iš LR kultūros ministerijos ir Lietuvos kultūros tarybos finansuojamų programų ir gauto finansavimo, todėl planuojant nėra galimybės tiksliai suplanuoti rodiklių.</t>
  </si>
  <si>
    <t>Atliktas atminimo ženklų (meno kūrinių) kultūros ir meno premijų laureatams sukūrimo ir gamybos paslaugos viešasis pirkimas, atsiskaityta su tiekėju.</t>
  </si>
  <si>
    <t>Įgyvendinta 12 kultūros priemonių miesto įvaizdžiui: renginių ciklas filosofo prof. St. Šalkauskio idėjoms įprasminti; moksleivių liaudiškų šokių kolektyvų festivalis „Vaikystės glėby“; didelio formato šamoto skulptūrų pleneras „Saulės stulpai“; Zubovų rūmuose dailininkų simpoziumas-kūrybinės dirbtuvės „Saulės Šiauliai“; viešųjų erdvių meno pleneras (Šiaulių viešosiose erdvėse atsirado 5 nauji gatvės meno kūriniai); įgyvendinant menininkų rezidencijų programą rezidenciją Šiauliuose stažavosi menininkas iš Sicilijos Alex Caminiti, o rezidencijoje Sicilijoje stažavosi 3 menininkai; išleistas pažintinis leidinys vaikams „Akmenėlis. Miesto žvėrinčiaus paslaptys“; išleistas leidinys „Penzeliukas. Menininkas ir mokytojas Gerardas Bagdonavičius“; parengtas techninis projektas ekspozicinės erdvės įrengimui Prisikėlimo aikštės apžvalgos pastate;  įvyko tarptautinis vaikų ir jaunimo chorų festivalis „Ateities balsai“; koncertas  profesoriaus, Šiaulių m. garbės piliečio V. Noreikos 90-osioms gimimo metinėms paminėti; sukurtas Šiaulių miesto jubiliejinių metų įvaizdis.</t>
  </si>
  <si>
    <t>Nebuvo gauta kultūros paveldo objekto valdytojų prašymų dėl apskaitos dokumentacijos atnaujinimo.</t>
  </si>
  <si>
    <t xml:space="preserve">Techninės dokumentacijos rengimas pastato fasado (nuo Tilžės g.) ir laiptų remonto darbams atlikti perketi į 2027 m.
</t>
  </si>
  <si>
    <t>Pastato fasado (nuo Tilžės g.) ir laiptų remonto darbai perketi į 2028 m.</t>
  </si>
  <si>
    <t xml:space="preserve">I etapo darbus 2025-02-04 darbus priėmė Kultūros paveldo departamentas prie LR Kultūros ministerijos. Rangovui sumokėta visa sutarties vertė. Per 2025 m. visos sienos, vidinės durys, lubos nudažytos, šildymo vamzdynai aptaisyti gipso kartono plokštėmis, nušlifuotos I ir II aukštų grindys, sumontuoti jungikliai, įrengti balkonų turėklai ir kt. </t>
  </si>
  <si>
    <t>Sustiprinta lauko įrangos bazė ir įsigyti: keltuvai, santvaros, elektriniai kėlimo įrenginiai kilnojamai lauko scenai, kabelių apsaugos takeliai, belaidė monitorinė garso sistema, apšvietimo įranga lauko renginiams, garso įranga.</t>
  </si>
  <si>
    <t>Įrengtos želdinių juostos gatvių remonto projekto metu: Stoties g. apie 250 m., Serbentų g. apie 450 m., Tilžės g. (nuo viaduko iki Vytauto g.) apie 95 m. ir kt.</t>
  </si>
  <si>
    <t>Metų pabaigoje koreguotas rodiklio pavadinimas, bet nepakeista planinė rodiklio reikšmė. 2024 metais buvo naikinta 72 676 m2 plote. 2025 metais naikinta 54 913 m2 plote. Prižiūrimas plotas sumažėjo - 18 171 m2.</t>
  </si>
  <si>
    <t>Medžiai pasodinti per gatvių remontų projektus - 148 vnt. ir atskirais pirkimais - 136 vnt. Į šitą skaičių krūmai neįskaičiuoti.</t>
  </si>
  <si>
    <t>Įrengtos apsaugos ant elektros stulpų atramų, saugančios paukščius nuo kontakto su elektros energijos skirstomųjų tinklų įrenginiais.</t>
  </si>
  <si>
    <t>Dėl lietingos vasaros mažesnis poreikis augalų ir medžių laistymui.</t>
  </si>
  <si>
    <t>Atlikti medžių kirtimo darbai pagal poreikį (pavojingų) ir pagal techninių projektų sprendinius.</t>
  </si>
  <si>
    <t>Išvalytos probleminės griovių vietos, sutvarkytos pralaidos.</t>
  </si>
  <si>
    <t>Sutvarkyta 22 311 m2 Talkšos ežero ir Prūdelio tvenkinio teritorijos ploto.</t>
  </si>
  <si>
    <t>Išvalytos gatvės nuo pavasarinio purvo. Kadangi žiema buvo šilta nebuvo poreikio valyti visų 242 km.</t>
  </si>
  <si>
    <t xml:space="preserve">Dėl lietingų orų, gatvių laistymas, dulkėtumą mažinančiomis medžiagomis 1 pusmetį nebuvo vykdomas.  
</t>
  </si>
  <si>
    <t>Neįdiegta, nes teisės aktų pakeitimai numatė, kad įgyvendinimas nėra privalomas. Metų pabaigoje LR Susisiekimo ministerija pateikė raštą, kuriuo nustatytas privalomas įgyvendinimas. Konsultantai parengė plano dalį.</t>
  </si>
  <si>
    <t xml:space="preserve"> Parengtas projektas mažos taršos zonos įrengimui.</t>
  </si>
  <si>
    <t>Atlikti tyrimai, parengta ataskaita (požeminio vandens ir dirvožemio).</t>
  </si>
  <si>
    <t>Prie Prūdelio tvenkinio surinktos neorganinės atliekos, kuriose buvo pavojingųjų medžiagų – 19 kg.</t>
  </si>
  <si>
    <t>Remontuojama ir prižiūrima pagal poreikį.</t>
  </si>
  <si>
    <t>Pagautiems bešeimininkiams gyvūnams suteikiamos veterinarinės paslaugos.</t>
  </si>
  <si>
    <t>Parengti ir finansuoti 4 nevyriausybinių organizacijų aplinkosauginio švietimo projektai.</t>
  </si>
  <si>
    <t>Skelbiamos netvarkingiausios miesto atliekų aikštelės. Taip pat suorganizuoti 2 protmūšiai: spalio 22 d. klimato savaitei paminėti „Ar girdi Žemės balsą?“ ir lapkričio 26 d. atliekų savaitei paminėti "Atliekų labirintas".</t>
  </si>
  <si>
    <t>Buvo suplanuotas invazinių rūšių naikinimas, tačiau pagrindinis projekto partneris neleido jo vykdyti, kol jo pasamdytas ekspertas neapžiūrės teritorijos, kurioje turėtų vykti naikinimas. Planuota teritoriją apžiūrėti 2025 m. rudenį, bet neapžiūrėjo.</t>
  </si>
  <si>
    <t xml:space="preserve">2025-04-29 Jelgavoje vyko pirmasis partnerių susitikimas. Finansavimo sutartis pasirašyta 2025-05-29. Buvo atliktas invazinių rūšių tankumo nustatymas Šiaulių mieste paveiktose teritorijose nuotoliniu būdu su dronu. Organizuotas seminaras savivaldybių ir aplinkos apsaugos specialistams "Invazinės rūšys ir teisinis reguliavimas". Parengtas Sosnovskio barščio gausos reguliavimo Šiaulių mieste 2026-2031 m. veiksmų planas. Patvirtinta I periodo ataskaita. Buvo organizuoti mokymai žemės sklypų savininkams iš Šiaulių miesto, Šiaulių rajono, Radviliškio rajono bei Kelmės rajono savivaldybių (seminarų ciklas „Invazinės rūšys: atpažinimas, grėsmės ir valdymas“, 12 akad. val.). </t>
  </si>
  <si>
    <t>Ilgiau, nei planuota užtruko pirkime dalyvavusių tiekėjų pateiktų dokumentų vertinimas, paslaugų teikimo sutartis bus sudaryta 2026 m. I ketvirtį.</t>
  </si>
  <si>
    <t xml:space="preserve">Atliekos šalinamos pagal identifikuotą poreikį. </t>
  </si>
  <si>
    <t>2025 m. pašalinta 3,66 t nerūšiuotų atliekų (kitos biologiškai nesuyrančios atliekos) ir 1,42 t padangų. Bendras kiekis - 5,08 t.</t>
  </si>
  <si>
    <t>Nutiesti nuotekų tinklai nuo Bačiūnų g. iki Bačiūnų g. 58 F.</t>
  </si>
  <si>
    <t>Surinktas faktinis asbesto kiekis.</t>
  </si>
  <si>
    <t>Faktinė išrūšiuotų atliekų dalis nuo visų komunalinių atliekų.</t>
  </si>
  <si>
    <t>Faktinis surinktų komunalinių atliekų kiekis.</t>
  </si>
  <si>
    <t>Faktinis sutvarkytų komunalinių atliekų kiekis.</t>
  </si>
  <si>
    <t>Padaryta daugiau darbų dėl pigesnės taikomos asfaltavimo technologijos, todėl sparčiau mažėja neasfaltuotų gatvių dalis.</t>
  </si>
  <si>
    <t>Nėra tikslių duomenų apie bendrą takų ilgį, todėl fakto šiuo metu apskaičiuoti nėra galimybės.</t>
  </si>
  <si>
    <t>Šio rodiklio pasiekimas planuojamas 2033 metais. Šiuo metu įgyvendinami judumo plane numatyti sprendiniai.</t>
  </si>
  <si>
    <t>Vykdytas vietinės rinkliavos administravimas ir parkomatų priežiūra pagal sutarties sąlygas.</t>
  </si>
  <si>
    <t>Vykdomi darbai pagal faktinį poreikį.</t>
  </si>
  <si>
    <t>Vykdoma žvyruotų gatvių priežiūra (greideriavimas, papildymas medžiagomis) pagal faktinį poreikį, įvertinus realią gatvių būklę iš po žiemos.</t>
  </si>
  <si>
    <t>Rodiklis vykdomas pagal poreikį, įvertinus realią gatvių būklę ir metų eigoje mažėja prižiūrimas žvyruotų gatvių ilgis dėl jų vykdomų asfaltavimo darbų.</t>
  </si>
  <si>
    <t>Ženklinamos dangos pagal faktinį poreikį (įvertinus esamą susidėvėjimą).</t>
  </si>
  <si>
    <t>Darbai vykdomi pagal faktinį poreikį. Dalis ženklinimo darbų atlikta rangos darbų metu, tačiau atskiri duomenys apie tai nebuvo fiksuojami.</t>
  </si>
  <si>
    <t>Darbai vykdomi pagal poreikį.</t>
  </si>
  <si>
    <t>Buvo vykdomi rangos darbai pagal 2025 metų reitingo eilę. Baigti rangos darbai: Serbentų g., Tilžės g. (nuo viaduko iki Vytauto g.), Tilžės g. (nuo Aušros al. iki Aukštosios g.), Gamybos g., Spindulio g., A. Mickevičiaus g. (nuo bulvaro iki Vytauto g.), Ragainės g. (nuo Išradėjų g. iki Kreivosios g.) ir kt. Pradėti 2025 m. ir tęsiami 2026 m. rangos darbai: Žemaitės g. (nuo Dubijos g. iki Aušros al.), Vilniaus g. (nuo Žemaitės g iki Čiurlionio g.).</t>
  </si>
  <si>
    <t>Atlikti miesto takų, aikštelių remonto darbai pagal 2025 metų reitingo eilę. Takai: nuo Dainų parko iki Tilžės g., nuo Dainų g. iki Gardino g., nuo Gardino g. link Dainų parko, už K. Korsako g. 12 ir 10 (Gytarių progimnazija), nuo Aido g. iki Dainų g. 5 ir takai Beržynėlio parke. Aikštelės: tarp Dvaro g. 49, 43A, 47, 51, Draugystės pr. 25 ir kt.</t>
  </si>
  <si>
    <t xml:space="preserve">Planuota, kad bus įsigyti ir vykdomi rangos darbai Tilžės-Donelaičio g. juodojoje dėmėje, tačiau pirkimas nebuvo vykdomas, kol nebuvo gauti ir suderinti Tilžės g. viaduko sprendiniai (dėl reikalingo sprendinių suderinamumo).
III ketv. pirkimas vykdytas tris kartus, tačiau pasiūlymų negauta. Iki 2025-10-29 paskelbta rinkos konsultacija. Su Tilžės g. viaduko sprendiniais suderinta. 
Žemaitės g - Vytauto g sankryžoje darbai nupirkti 2025  metais, bus vykdomi  2026 metais. </t>
  </si>
  <si>
    <t>2025-08-19 pasirašyta projektavimo sutartis Gegužių g. "Statyk ir važiuok" aikštelei.
2025-12-23 pasirašyta projektavimo sutartis Vilniaus g. statyk ir važiuok aikštelei. Žemaitės g. aikštelei vykdomas pirkimas projektavimo paslaugai.</t>
  </si>
  <si>
    <t>Naujose vietose įrengta 11 vnt. autobusų stotelių stoginių, o 21 vietoje senos stoginės pakeistos naujomis: Serbentų g. (5), Aušros alėja nuo Žemaitės g. iki Kudirkos g. (3), Tilžės g. nuo Aušros al. iki Aukštosios g. (2) ir kt.</t>
  </si>
  <si>
    <t>Pakeisti susidėvėję suoliukai pagal faktinį poreikį.</t>
  </si>
  <si>
    <t>Registrų ir valstybės informacinių sistemų registre įregistruoti e-bilieto sistemos nuostatai, vyksta informacinės sistemos diegimo darbai.</t>
  </si>
  <si>
    <t>Išasfaltuota 17 žvyruotų gatvių: J. Žemaičio g. (nuo Paitaičių iki Noreikių g.), Troškūnų g., Ukmergės g. (nuo Kėdainių g. iki Ukmergės g. 52), Geležinkelio g. ( nuo Birutės g. iki Miško g.), Merkinės g. ir kt.</t>
  </si>
  <si>
    <t>Išasfaltuotų žvyruotų gatvių ilgis.</t>
  </si>
  <si>
    <t>Rengiamas techninis projektas.</t>
  </si>
  <si>
    <t>Atsiskaityta už faktinį aptarnaujamų šviesos taškų skaičių.</t>
  </si>
  <si>
    <t>Atsiskaityta už faktinį valdomų šviesoforų skaičių.</t>
  </si>
  <si>
    <t>Atsiskaityta už faktinį elektros sunaudojimą.</t>
  </si>
  <si>
    <t>Įrengtos saugios pėščiųjų perėjos: Pramonės g., Aušros al. nuo Žemaitės iki Kudirkos g., Serbentų g. ir Spindulio g. ir kt.</t>
  </si>
  <si>
    <t>Įrengiami pagal eismo saugumo komisijos sprendimus ir pagal poreikį.</t>
  </si>
  <si>
    <t>Pateikti skaičiai atspindi tik kelio ženklų ir signalinių stulpelių skaičių. Atitvarai neįvertinti, nes jie matuojami metrais, o ne vienetais.</t>
  </si>
  <si>
    <t>Pagal poreikį įrengtas 1 saugumo kalnelis, atnaujinta 10, o gatvių remonto metu įrengti dar 8 saugumo kalneliai: Tilžės g. nuo viaduko iki Vytauto g. (4), Spindulio g. (3), F. Vaitkaus g. (1) ir kt.</t>
  </si>
  <si>
    <t>Atnaujintos sankryžos gatvių remonto darbų metu: Sodo-Panevėžio gatvių sankryža (1 vnt.), Serbentų g. (2 vnt.) ir Tilžės g. nuo viaduko iki Vytauto g. (5 vnt.)</t>
  </si>
  <si>
    <t>Prižiūrėtas faktinis kelio ženklų skaičius.</t>
  </si>
  <si>
    <t>Įrengtas krypinis apšvietimas: Aviacijos g. 6, Dainų g. 38– Lyros g. per Dainų g., Dainų g. – Lyros g. 2 per Dainų g., Dainų g. 80 – Lyros g. per Dainų g. ir kt.</t>
  </si>
  <si>
    <t>Rengiama IV koncepcija, procesas perkeltas į 2026 m.</t>
  </si>
  <si>
    <t>Dėl papildomų koncepcijos alternatyvų parengimo užsitęsus Šiaulių miesto bendrojo plano keitimo procesui, planuojama, kad šis planas Šiaulių miesto savivaldybės tarybai tvirtinti bus pateiktas 2026 m.</t>
  </si>
  <si>
    <t>2025 m. plane buvo suplanuota patvirtinti 5 vnt. detalieji planas. Tačiau tai yra korektūros klaida - turėjo būti 15 vnt.</t>
  </si>
  <si>
    <t xml:space="preserve">VTPSI po detaliojo plano sprendinių patikrinimo pateikė pastabų, šiuo metu koreguojami sprendiniai. </t>
  </si>
  <si>
    <t>Po VTPSI patikrinimo, gauta pastabų, taisomi sprendiniai.</t>
  </si>
  <si>
    <t xml:space="preserve">Iškilo problemos su DP rengėjais. Svarstoma sutarties nutraukimo galimybė. Rengėjas pateikė vėlavimą pateisinančius faktus: dėl teritorijos sudėtingumo, kurioje įregistruota labai daug įmonių, ypatingai sunkus faktinių duomenų surinkimas ir esamos būklės nustatymas.
</t>
  </si>
  <si>
    <t>Atlikta 90%, pateikta tikrinti VTPSI.</t>
  </si>
  <si>
    <t xml:space="preserve">Detaliojo plano rengimas buvo sustabdytas, kol bus atlikti geologiniai tyrimai durpynui ištyrinėti dėl Lietuvos geologijos tarnybos prie Aplinkos ministerijos nepritarimo sprendiniams.
Vėliau durpyno tyrinėjimai atlikti, buvo laukta Lietuvos geologijos tarnybos sprendimo. </t>
  </si>
  <si>
    <t>Užsitęsė derinimai dėl LITGRID tinklų apsaugos zonoje esančių pastatų. Gavus pastatų savininkų sutikimus dėl jų nuosavybės buvimo šių tinklų apsaugos zonoje, VTPSI paprašė papildyti žemės sklypų naudojimo būdus pagal galiojantį Šiaulių miesto bendrąjį planą; rengėjas taiso sprendinius.</t>
  </si>
  <si>
    <t>Vyksta rengimo etapas - sprendinių formavimo stadija -sprendiniai pateikti architekto pritarimui.</t>
  </si>
  <si>
    <t>Baigtumas 60%. Vėluojama dėl rengėjo kaltės.</t>
  </si>
  <si>
    <t>Baigtumas 40%. Vėluojama dėl rengėjo kaltės.</t>
  </si>
  <si>
    <t>Rengėjui paprašius bei remiantis sutarties 18 p., trims mėnesiams (iki 2026-02-05) pratęstas darbų atlikimo terminas. Sprendiniai lapkričio 11 d. pateikti  viešam svarstymui, susirinkimas įvyko. Sprendiniai bus teikiami institucijų derinimui.</t>
  </si>
  <si>
    <t>Vyksta rengimo etapas - sprendinių formavimo stadija.
Kadangi vėluojama atlikti paslaugą, bus taikomos sankcijos.</t>
  </si>
  <si>
    <t>2025-06-12 pasirašyta ŽEMĖS SKLYPO IR STATINIŲ, PAIMAMŲ VISUOMENĖS POREIKIAMS , SĄNAUDŲ IR NAUDOS ANALIZĖS ATLIKIMO PASLAUGŲ PIRKIMO SUTARTIS Nr. SŽ -1132 (paslaugos įvykdymo terminas 2025-12-12, su galimybe pratęsti 1 mėn.).</t>
  </si>
  <si>
    <t>Priimtas sprendimas suspenduoti Centrinio parko paėmimo visuomenės poreikiams procedūrą iki paaiškės teismo sprendimas dėl žemės sklype Žemaitės g. 70C esančių statinių tolesnio naudojimo (tikimasi, kad statinių savininkai bus įpareigoti juos nugriauti)</t>
  </si>
  <si>
    <t>I ketv. Parengtų kadastrinių matavimų bylų - 18, žemės sklypų pertvarkymo projektų  - 9;
II ketv. Parengtų kadastrinių matavimų bylų - 15, žemės sklypų pertvarkymo projektų  - 11;
III ketv. Parengtų kadastrinių matavimų bylų - 30, žemės sklypų pertvarkymo projektų  - 21;
IV ketv. Parengtų kadastrinių matavimų bylų - 42, žemės sklypų pertvarkymo projektų  - 13.</t>
  </si>
  <si>
    <t>Nebuvo poreikio rengti urbanistinių ir architektūrinių planų.</t>
  </si>
  <si>
    <t xml:space="preserve">Paminklas nebestatomas.   2025 m. birželio 5 d. priimtas tarybos sprendimas Nr. T-278 "Dėl Šiaulių miesto savivaldybės tarybos 2006 m. birželio 29 d. sprendimo Nr. T-243 "Dėl paminklo statybos Prisikėlimo aikštėje" pripažinimo netekusiu galios.
</t>
  </si>
  <si>
    <t xml:space="preserve">Meninių akcentų, aštuoniems istorijos šimtmečiams įamžinti, architektūrinės meninės idėjos sukūrimo konkursas buvo paskelbtas. Pasiūlymą pateikė 1 tiekėjas. Viešojo pirkimo komisija išnagrinėjusi dokumentus ir nustačiusi esminius projekto konkursui pateikto pasiūlymo trūkumus atmetė tiekėjo pasiūlymą kaip neatitinkantį esminių projekto konkurso sąlygų 18.1.2. p. ir 18.1.3. p. Vadovaujantis Viešųjų pirkimų įstatymo 29 str. 2 d. 2 p. pirkimo procedūros baigtos, nes atmesti visi Projekto konkurso pasiūlymai. Naują konkursą planuojama paskelbti 2026 m. vasario mėn. </t>
  </si>
  <si>
    <t>2025 m. parengta 11 projektų: 
1. Slėptuvės Dvaro g. 78, Šiauliuose, įrengimo projektas;
2. Lopšelio-darželio “Vaikystė” Krymo g. 3, Šiauliuose, projektas;
3. Šiaulių miesto sporto gimnazijos bendrabučio ir valgyklos Vilniaus g. 197A, Šiauliuose, projektas;
4. Sporto gimnazijos Vilniaus g. 297A, Šiauliuose, lietaus nuotekų įrengimo projektas;
5. S. Daukanto gimnazijos S. Daukanto g. 71, Šiauliuose, lifto įrengimo projektas;
6. Mokslo paskirties pastato Pabalių g. 53, Šiauliuose, projektas;
7. Ragainės progimnazijos Tilžės g. 85,Šiauliuose, projektas;
8. GGN Gegužių g. 6, Šiauliuose, lietaus nuotekų projektas;
9. GGN Ramunių g. 19, Šiauliuose, lietaus nuotekų projektas;
10. GGN Energetikų g. 13, Šiauliuose, lietaus nuotekų projektas;
11. GGN Šeduvos g. 30, Šiauliuose, lietaus nuotekų projektas.</t>
  </si>
  <si>
    <t>Vėluoja Viaduko projektas (nukeltas projektavimo pabaigos terminas).</t>
  </si>
  <si>
    <t xml:space="preserve">Parengti techniniai projektai: Dariaus ir Girėno g., Sembos g., Stumbro g., Birutės g., Statybininkų g., Daukanto g., Išradėjų g., Metalistų g., Donelaičio g., Vilniaus g. nuo Vilkaviškio g. iki miesto ribos rekonstravimas (2 žiedai), Žemaitės g., Serbentų g. (nuo Vilniaus g. iki Pramonės g.), įvažiavimas ties Donelaičio kapinėmis, aikštelės įrengimas ir įvažiavimo sutvarkymas ties Tilžės g. 40, Ukmergės g., Palangos g., Tilžės viadukas, Vilniaus g. (nuo Draugystės pr. iki Vilkaviškio g.) ir kiti.
</t>
  </si>
  <si>
    <t>Viešieji pirkimai dėl monitoringo du kartus neįvyko, 2026 m. vasario 17 d. bus atplėšiami trečiojo pirkimo pasiūlymų vokai.</t>
  </si>
  <si>
    <t>Atnaujintos 2 vnt. programinės įrangos - GeoMap ir Akis programos.</t>
  </si>
  <si>
    <t xml:space="preserve">Įregistruoti trys sklypai, ketvirtam sklypui atliekami kadastriniai matavimai. </t>
  </si>
  <si>
    <t xml:space="preserve">Atliekant sklypų kadastrinio matavimo ir registravimo procedūras paaiškėjo, kad iš septynių sklypų trijų sklypų nėra galimybės įregistruoti dėl teisinių aplinkybių.
</t>
  </si>
  <si>
    <t>Įvertinus situaciją, vasaros laikotarpiu sumažintas prižiūrimų gatvių ilgis.</t>
  </si>
  <si>
    <t>Dubijos g. prieš traukinių stotį esančios žiedinės sankryžos žaliojoje zonoje (apie 300 m2 ), prie Ežero g. ir Vilniaus g. sankirtos 2 žaliuosiuose plotuose (apie 176 m2) ir kt.</t>
  </si>
  <si>
    <t>Pastatyti konteineriai viešose erdvėse pagal poreikį ir sezoniškumą (neskaidžių atliekų surinkimui).</t>
  </si>
  <si>
    <t>Faktinis pastatytų konteinerių skaičius mažesnis dėl mažesnio poreikio.</t>
  </si>
  <si>
    <t>Iš viešųjų erdvių išvežta 1 311,33 t nerūšiuotų atliekų, iš kurių: padangos – 23,59 t., biologiškai skaidžios atliekos (išskyrus šakos ir kelmai) - 38,17 t., šakų krūvų išvežimas - 403,57 t. ir  kitos biologiškai nesuyrančios atliekos - 846,00 t.</t>
  </si>
  <si>
    <t>Pagal poreikį gaudomi bešeimininkiai gyvūnai.</t>
  </si>
  <si>
    <t>Centriniame parke įrengta piramidė, Rėkyvoje – vienvietė spyruoklinė supynė (Poilsio g. gale), Vilniaus g. 233 – balansinė supynė.</t>
  </si>
  <si>
    <t>Skaičiuojant kapinių tvoros ilgį, vyko preliminarus skaičiavimas, todėl faktinis rodiklis (pagal kadastrinius matavimus) mažesnis nei planinis (pirkimas be techninio projekto).</t>
  </si>
  <si>
    <t>I ketvirtis: 28 objektai įregistruoti RC; 34 objektų atlikti kadastriniai matavimai; 10 objektų užsakyti kadastriniai matavimai. 
II ketvirtis: 37 objektai įregistruoti RC; 7 objektų atlikti kadastriniai matavimai; 10 objektų užsakyti kadastriniai matavimai.
III ketvirtis: 30 objektų įregistruota NTR, užsakyta 20 objektų kadastriniai matavimai, atlikti 4 objektų kadastriniai matavimai.
IV ketvirtis: 2025-11-25 sudaryta nuotekų tinklų vertinimo sutartis SŽ-1982, pagal kurią yra vertinami 46 objektai, tačiau mokėjimas persikelia į 2026 m. I ketvirtį. RC įregistruota 16 objektų, pateiktas prašymas dar dėl 17 objektų įregistravimo. Užsakyta 10 objektų atlikti kadastrinius matavimus, kurių apmokėjimas bus 2026 m. I ketvirtį.</t>
  </si>
  <si>
    <t>I ketvirtis: Užsakyti 5 nekilnojamojo turto vertinimai; apmokėta už 5 vnt. elektroninių aukcionų paskelbimus, 4 vnt reklaminių stendų gamybą ir 1 vnt energinio naudingumo sertifikato išdavimą.
II ketvirtis: Apmokėta už 2 vnt. elektroninių aukcionų paskelbimus, 2 vnt. energinio naudingumo sertifikatų išdavimą.
III ketvirtis: apmokėta sąskaita už 1 paskelbtą viešą aukcioną, apmokėta už 7 vnt nekilnojamojo turto vertinimus.
IV ketvirtis: apmokėta už privatizuojamo objekto Gumbinės g. 18 žemės sklypo dalių nustatymo plano parengimą; už 8 vnt viešų elektroninių aukcionų skelbimą; už UAB „Pabalių turgaus" akcijų paketo vertinimo paslaugą (2025-09-03 sutartis SŽ-1536).</t>
  </si>
  <si>
    <t>Sumokėta už Mozaikos „Šiauliai" demontavimo darbus (SŽ-65 2025-01-21). Apmokėti bešeimininkio turto griovimo darbai: tarp Lingailių g. ir Dukto g., geležinkelio vėžės esančių 5 objektų griovimo darbai (SŽ-1481 2025-08-14); ryšio bokšto griovimo darbai (SŽ-1467 2025-08-12).</t>
  </si>
  <si>
    <t>Pastatų draudimo, remonto ir komunalinės išlaidos apmokamos pagal faktą. Apmokėtas Ginkūnų kapinių vartų remonto darbų likutis, sumokėta už sporto salės „Saulė" stogo remonto darbus. Apmokėtos negyvenamųjų pastatų administravimo išlaidos, perkamo nekilnojamojo turto vertinimo išlaidos. Taip pat apmokėti avarinio vamzdyno keitimo Tilžės 126A darbai ir už atliktus tyrimus Šiaulių arenoje (2025-07-31 sutartis SŽ-1379).</t>
  </si>
  <si>
    <t>Įvykdyti sprendimai yra 7 vnt: 6 skolininkai buvo iškeldinti, o vienas nuomininkas, perdavus vykdomąjį raštą antstoliui, susimokėjo visą skolą, todėl buvo panaikintas teismo sprendimas, vykdomasis raštas skaitomas įvykdytu. Visi kiti perduoti antstoliams vykdomieji dokumentai yra tęstiniai, skolos išieškomos mažomis dalimis.</t>
  </si>
  <si>
    <t>I ketvirtis: remonto darbai buvo atlikti 18 butų;
II ketvirtis: remonto darbai buvo atlikti 17 butų;
III ketvirtis: 12 butų suremontuota, o 2025-08-18 sudaryta nauja Savivaldybės būstų remonto darbų sutartis (SŽ-1484), pagal kurią buvo atliktas remontas dar 6 butuose. Iš viso remonto darbai atlikti 18 butų;
IV ketvirtis: remonto darbų atlikta 14 butų (sutartis SŽ-1484), tačiau dalis darbų bus apmokėta 2026 m. I ketvirtį.</t>
  </si>
  <si>
    <t>Priemonė vykdoma pagal poreikį, o poreikio 2025 metais nebuvo.</t>
  </si>
  <si>
    <t xml:space="preserve">Tai tikslinės lėšos, kurios gali būti naudojamos tik kolumbariumo statybai arba jo priežiūrai. Kadangi statybos darbai jau baigti, lėšos naudojamos priežiūrai (K. Donelaičio ir Ginkūnų kapinės). Metinis poreikis yra mažesnis nei turimų lėšų suma, todėl likusios lėšos bus naudojamos ateinančiais metais iki kol bus išnaudotos. </t>
  </si>
  <si>
    <t>Informacinės sistemos diegimas baigtas, UDTS sąsaja sukurta ir ištestuota, kuriama pažymos apie palaidojimo vietą užsakymo elektroninė paslauga.</t>
  </si>
  <si>
    <t>Rodiklis nepasiektas, kadangi nebuvo pradėti rangos darbai.</t>
  </si>
  <si>
    <t xml:space="preserve">Parengta inžinerinių geologinių geotechninių tyrimų ataskaita, perduota registruoti Geologijos tarnybai. Atlikta medžių inventorizacija Signatarų alėjoje bei pagal poreikį atklikta medžių ekspertizė. 2025 m. birželio 27 d. gautas Lieporių parko techninis projektas.2025 m. rugsėjo 16 d. pasirašyta ekspertizės sutartis. Techninis projektas perduotas ekspertizei.
IV ketv. sumokėta už techninio projekto parengimą ir už ekspertizės paslaugą, gautas statybą leidžiantis dokumentas, parengti rangos darbų viešojo konkurso pirkimo dokumentai. Dokumentai 2025-12-23 peduoti CPVA išankstinei patikrai. </t>
  </si>
  <si>
    <t>Rangos darbai fiziškai baigti 2025-11 mėn.</t>
  </si>
  <si>
    <t>Atnaujinta 10 infrastruktūros objektų prie renovuotų daugiabučių (J. Basanavičiaus g. 103B, Dainų g. 40A, Dvaro g. 45, Energetikų g. 4 ir 6 ir kt.) bei atnaujinta 9 daugiabučių namų asfalto danga (Tilžės g. 80, Vytauto g. 47, Varpo g. 17, K. Korsako g. 35, 37 ir kt.).</t>
  </si>
  <si>
    <t>Kadangi A. J. Greimo-A. Mickevičiaus-Vytauto kvartale nei vienas kiemas nėra pilnai užbaigtas, tai negalima skaičiuoti kaip sutvarkytos teritorijos. Rodiklis visa kvartalo apimtimi (4,6 ha) bus priskaičiuotas prie 2026 metų. Kvartale naujai įrengtų dangų plotas 2025 metais yra – 4329 m2 (0,433 ha).</t>
  </si>
  <si>
    <t>Pasirašytos savivaldybės infrastruktūros plėtros sutartys: Serbentų g. 121 (susisiekimo), Purienų g. 45 (tinklų), Paukščių takas 1B (šilumos tiekimo tinklų, vandens tiekimo ir buitinių nuotekų), Latvių g. 30 (susisiekimo), L. Rėzos g. 4-4E (vandens tiekimo ir buitinių nuotekų tinklai (prijungiant nuosavų namų gatvę)) ir kt.</t>
  </si>
  <si>
    <t>II ketv. įvyko INOSTART programų konkursas, atrinktos 5 programos.
III ketv., prasidėjus mokslo metams (2025 m. rugsėjo 29 d. ), su atrinktais INOSTART programų vykdytojais pasirašytos sutartys dėl programų įgyvendinimo.</t>
  </si>
  <si>
    <t xml:space="preserve">Programos įgyvendinamos per vienerius mokslo metus, t. y. 2025/2026 m. </t>
  </si>
  <si>
    <t xml:space="preserve">2025 m. buvo parengti 7 daugiabučių namų atnaujinimo investicijų planai ir 6 investicijų projektai/kiti finansavimui gauti aktualūs dokumentai. </t>
  </si>
  <si>
    <t xml:space="preserve">2025 m. buvo parengti visi reikiami dokumentai, siekiant pritraukti finansavimo lėšas. </t>
  </si>
  <si>
    <t>Valymo ir tvarkymo darbai atlikti sklype adresu Petro Motiekaičio g. 18, Šiauliai.</t>
  </si>
  <si>
    <t xml:space="preserve">Iki sutarties pasirašymo 2025 m. buvo organizuotos dvi viešojo pirkimo procedūros, kurios neįvyko. </t>
  </si>
  <si>
    <t>Vykdomas projektavimas pagal 2025 m. rugsėjo 26 d. pasirašytą sutartį.</t>
  </si>
  <si>
    <t xml:space="preserve">I ketv. Atliktas mokėjimas UAB Geležinkelio tiesimo centrui už dokumentacijos tvarkymą baigiant rangos darbus.
II ketv. veiklos baigtos
III ketv. bendradarbiaujant su AB "LTG INFRA" vykdomas įrengtos geležinkelio infrastruktūros vertinimas dėl atitikimo techniniams ir saugumo reikalavimams.
IV ketv.  buvo tęsiamas reikiamų dokumentų rengimas. NOBO (infrastruktūros atitikimo) dokumentai pateikti UAB "Bureau Veritas" vertinimui. </t>
  </si>
  <si>
    <t>Nebuvo užbaigtos vertinimo procedūros, iškilo poreikis į procesą įtraukti ir trečiąsias šalis, todėl nepasiektas rodiklis.</t>
  </si>
  <si>
    <t>Neįvyko ir pakartotinai vykdomos viešojo pirkimo procedūros.</t>
  </si>
  <si>
    <t>Lėšos panaudotos aviacijos saugumo įsipareigojimų funkcijos užtikrinimui. Gautomis lėšomis buvo mokamas darbuotojų darbo užmokestis.</t>
  </si>
  <si>
    <t xml:space="preserve">Angarų griovimo darbai įvykdyti. 
</t>
  </si>
  <si>
    <t>II ketv.: 2025 m. gegužės 7 d. įvyko nuotolinis renginys „Paramos verslui galimybės Šiauliuose“.
III ketv: rugsėjo 11 d. įvyko tradicinė Ch. Frenkelio konferencija. Organizuotas renginys – atvirų durų dienos „Pažink Šiaulių verslą“.
IV ketv: spalio 10-11 d. įvyko renginys „Pažink Šiaulių verslą“. Spalio 28 d. įvyko renginys su viešinimu dirbantiems savivaldybės bei jai pavaldžių įstaigų darbuotojams, LiMA Šiaulių skyriaus nariams „Rinkodaros dirbtuvės“. Įvyko informacinis renginys verslo bendruomenei (nuotoliu).</t>
  </si>
  <si>
    <t>I ketv: straipsnis apie Šiauliečio kortelę spaudoje „Etaplius“ ir „Šiaulių kraštas“. II ketv: straipsniai: žurnaluose „Lietuvos pajūris“, „Reitingai“, „The Baltic Times“. IV ketv: paramos aukštos profesinės kvalifikacijos specialistams reklama žurnale „Reitingai“, straipsnis gruodžio mėn. „Air Baltic“ lėktuvuose platinamuose žurnaluose „Baltic Outlook“.</t>
  </si>
  <si>
    <t xml:space="preserve">Spalio mėn. įvyko vaikų piešinių konkursas „Aš ir mano ateities Šiauliai“. </t>
  </si>
  <si>
    <t>II ketv: sėkmės istorija, grupė „Katarsis“ (grupės nario iš Šiaulių vykdoma Šiaulių reklama socialiniuose tinkluose „Eurovizijos“ konkurso metu);
III ketv: užsakyta Šiaulių miesto reklama populiarioje tinklalaidėje Youtube tinkle (Basket News).</t>
  </si>
  <si>
    <t>Apklausa atlikta, spalio 30 d. įvyko apklausos rezultatų pristatymas.</t>
  </si>
  <si>
    <t>I ketv: reklama radijo stoties M-1 laidoje (5 kartai). 
II ketv: karjeros Šiauliuose galimybių reklama miesto autobusuose Panevėžyje, Mažeikiuose, Utenoje; aukcionų žemėlapio banerinė reklama „Verslo žinių“ portale; Šiaulių miesto reklama jaunimui Power hit radio. Vykdytos 3 mokamos reklaminės kampanijos Šiaulių miesto savivaldybės Facebook paskyroje (aukcionų žemėlapio, paramos aukštos profesinės kvalifikacijos specialistams, Šiauliečio kortelės).
IV ketv: gruodžio mėn. įvykdyta savaitės trukmės Šiaulių reklaminė kampanija Rygoje (mieste esančiuose 30 dvipusių ekranų); vykdyta keturių savaičių trukmės reklaminė kampanija Kauno mieste prie judrių gatvių esančiuose 6 ekranuose („Gyvenimas nestovi: kam stovėti spūstyse? Laukiame tavęs Šiauliuose!“).</t>
  </si>
  <si>
    <t>Lėšos mokamos pagal poreikį.</t>
  </si>
  <si>
    <t>I ketv. išmokėta parama 1 specialistui.  II ketv. išmokėta 1 specialistui ir išmokėta pagal 2024 m. sutartį dalis  nuomos išlaidų.
IV ketv. išmokėta 1 specialistui pagal 2025 m. sutartį dalis lėšų (nuomos išlaidoms – avansas).</t>
  </si>
  <si>
    <t>Per metus iš viso organizuoti 3 susitikimai užsienyje su diasporos atstovais (du susitikimai Junginėje Karalystėje ir vienas Danijoje).</t>
  </si>
  <si>
    <t>Lankytojų skaičius: "Globalūs Šiauliai" - 2,7 tūkst., www.karjerasiauliuose. lt – 15,0 tūkst.</t>
  </si>
  <si>
    <t>I ketvirtis: apmokėti 3 prašymai dėl išlaidų kompensavimo.
II ketvirtis: apmokėti 6 prašymai dėl išlaidų kompensavimo.
III ketvirtis: nebuvo gauta prašymų.
IV ketv. apmokėti 5 prašymai dėl išlaidų kompensavimo.</t>
  </si>
  <si>
    <t xml:space="preserve">Kompensuojama pagal faktą. </t>
  </si>
  <si>
    <t>1. Kartu su šešiomis Šiaulių regiono savivaldybėmis atnaujintas ir išleistas leidinys Šiaulių regiono turizmo gidas „Saulės žemės turtai“ (LT, LV ir EN kalbomis); 2. Bendradarbiaujant su Šiaulių miesto kultūros, sporto, švietimo, verslo ir kitomis įstaigomis, miesto fotografais, parengtas ir išleistas „Šiaulių miesto 2026 metų kalendorius“ (LT/EN kalbomis); 3. Atnaujintas ir išleistas „Šiaulių miesto turizmo gidas“ (LT, LV, EN ir RU kalbomis); 4. Išleistas papildomas Stalo žaidimo-maršruto „Šiauliai“ tiražas; 5. Išleisti papildomi leidinių „Gatvių zoologijos sodas“  ir „Šiauliai su meile šeimai“ tiražai (LT, LV, EN ir RU kalbomis); 6. Įsigytos fotografavimo, brėžinių parengimo, leidinio redagavimo, Šiaulių miesto žemėlapio ir schemos parengimo paslaugos leidiniui „Pastatai kalba. Šiaulių architektūros gidas“.</t>
  </si>
  <si>
    <t>Užsakymai vykdomi pagal poreikį.</t>
  </si>
  <si>
    <t>I ketv. užsakyta 18 mokamų viešinimo turinio vienetų; 
II ketv. užsakyta 18 mokamų viešinimo turinio vienetų; 
III ketv. užsakyta 18 mokamų viešinimo turinio vienetų;
IV ketv. užsakyta 12 mokamų viešinimo turinio vienetų.</t>
  </si>
  <si>
    <t>II ketv. vykdyta Šiauliečio kortelės viešinimo kampanija: reklaminis video autobusų stoties perone, garso reklama „Saulės radijuje“, Šiauliuose trijose vietose iškabintos afišos su reklama;
III ketv. tęsta „Šiauliečio kortelės“ reklama afišose. Apmokėta aukštos profesinės kvalifikacijos reklama puslapyje cv online, Facebook tinkle. Įgyvendinta reklaminė kampanija Vilniaus miesto ekranuose;
IV ketv. reklaminės „Basket News“ laidos Šiauliuose filmavimas, taip pat Šiaulių miesto reklama dar poroje šių laidų; renginio „Tavo Pin Kodas“ metu įgyvendinta karjeros galimybių Šiauliuose pasirinkimo skatinimo veikla (interaktyvi fotosienelė su renginio dalyvių nuotraukomis ir užrašu); parengtos Šiaulių miesto viešinimui reikalingos priemonės (atvirutės, vaizdo reklama Kalėdiniam laikotarpiui).</t>
  </si>
  <si>
    <t>Socialinių paslaugų centre aptarnautų asmenų (šeimų) skaičius nuo metų pradžios  - 25700.</t>
  </si>
  <si>
    <t>Kompleksinių paslaugų namuose "Alka" paslaugų gavėjų skaičius nuo metų pradžios - 114.</t>
  </si>
  <si>
    <t>Šeimos centre paslaugų gavėjų skaičius nuo metų pradžios - 491.</t>
  </si>
  <si>
    <t>2025 m. sumažėjo Šeimos centro socialinės priežiūros ir pagalbos paslaugų šeimoms (atvejo vadybos) gavėjų skaičius.</t>
  </si>
  <si>
    <t>Soc. paslaugų įstaigose įgyvendinamų projektų skaičius - 11.</t>
  </si>
  <si>
    <t>Globos centrai veikia Šiaulių miesto socialinių paslaugų centre ir Šiaulių miesto šeimos centre.</t>
  </si>
  <si>
    <t>GIMK mokymus baigusių asmenų skaičius nuo metų pradžios - 37, iš jų 34 - Socialinių paslaugų centre ir 3 - Šeimos centre.</t>
  </si>
  <si>
    <t>Globėjų (rūpintojų) skaičius 176 (Socialinių paslaugų centras).</t>
  </si>
  <si>
    <t xml:space="preserve">Asmenų, gavusių laikino atokvėpio paslaugas nuo metų pradžios 34, iš jų 12 asmens namuose, 22 įstaigoje. </t>
  </si>
  <si>
    <t>Laikino atokvėpio paslaugų asmenims poreikis patenkintas 100 procentų.</t>
  </si>
  <si>
    <t xml:space="preserve">Dienos socialinės globos paslaugas institucijoje gaunančių asmenų iš viso 110, iš jų Spindulio ugdymo centre - 24, Šiaulių miesto savivaldybės globos namai (dienos centre GODA) - 86. </t>
  </si>
  <si>
    <t xml:space="preserve">Už soc. globos paslaugas asmenims su negalia finansuojama pagal pateiktas įstaigų ataskaitas ir faktinį gavėjų skaičių kas mėnesį. </t>
  </si>
  <si>
    <t>Nuo metų pradžios iš viso 355 (unikalūs) asmenys.</t>
  </si>
  <si>
    <t>Nuo metų pradžios iš viso 95 (unikalūs) asmenys.</t>
  </si>
  <si>
    <t>Poreikis patenkintas 100 proc., nes per visus metus buvo  95 asmenys su negalia, pateikę prašymus dėl ilgalaikės ir trumpalaikės globos paslaugų.</t>
  </si>
  <si>
    <t>Nuo metų pradžios iš viso 445 asmenys (unikalūs).</t>
  </si>
  <si>
    <t>Nuo metų pradžios Užimtumo didinimo programos dalyvių skaičius (darbo rinkai besirengiantys asmenys) iš viso 122, baigusių dalyvauti asmenų 81, iš kurių įsidarbinusių 9 asmenys, 1 pradėjo vykdyti individualią veiklą, 1 pradėjo mokytis.</t>
  </si>
  <si>
    <t>Bendradarbiaujant su kūrybine laidos „Vasara prie piliakalnio“ komanda, parengta TV laida „Vasara prie piliakalnio“ –  turinio kūrimas ir transliacija per „Lietuvos ryto“ televiziją. Vaizdo klipo, pristatančio kultūros kelius ir kitus turistinius išteklius Šiaulių mieste, sukūrimas ir viešinimo bei transliavimo kampanija Lietuvos nacionalinio transliuotojo (LRT) TV kanale.</t>
  </si>
  <si>
    <t>Smurtinio elgesio keitimo programos Šiaulių miesto savivaldybės teritorijos gyventojams paslaugas teikia VšĮ Žmogiškųjų išteklių stebėsenos ir plėtros biuras. Smurto artimoje aplinkoje pavojų keliančių asmenų, savanoriškai dalyvaujančių Smurtinio elgesio artimoje aplinkoje keitimo programoje, skaičius nuo metų pradžios 24 asmenys.</t>
  </si>
  <si>
    <t>Darbai vykdomi pagal rangos sutartis. Per 2025 m. iš viso visiškai pritaikytų būstų 59, iš jų 16 asmenų, kurie būstą prisitaikė savarankiškai, iš dalies pritaikytų būstų, kurių dalis darbų perkelta į kitus metus -  21, eksploatuotų keltuvų (liftų) skaičius - 53. 
Nuo metų pradžios pasirašyta 30 savarankiško būsto pritaikymo sutarčių. 2025 m. gautų naujų prašymų pritaikyti būstą skaičius - 87.</t>
  </si>
  <si>
    <t>Prūdelio teritorijos lietaus nuotekų surinkimo ir drenažo projekto parengimo viešojo pirkimo  konkursas kartotas kelis kartus - neįvyko. Keičiama teritorija ir reikalingas kompleksinis kvartalo dalies LV sprendinys nuo Vytauto g. ir Strazdelio g. iki Vilniaus g.  tinklų (šalia automobilių aikštelės). Papildomai buvo planuotas Lieporių parko techninio projekto parengimas, ekspertizė ir  įgyvendinimo priežiūra, bet užbaigimas nukeltas į 2026 metus.</t>
  </si>
  <si>
    <t>Šiaulių miesto ambasadorių užsienyje skaičius - 9: Kopenhaga, Danija; Izmiras, Turkija; Dublinas, Airija; Nikosija, Kipras; Londonas, Jungtinė Karalystė; Bad Kissingenas, Vokietija; Milton Keynes, Jungtinė Karalystė; Niujorkas, JAV; Stokholmas, Švedija.</t>
  </si>
  <si>
    <t>1, 2. Dėl trumpalaikės ir ilgalaikės soc. globos paslaugų finansavimo Savivaldybė yra sudariusi sutartis su 52 įstaigomis. 3. Dienos soc. globa teikiama Šiaulių miesto sav. globos namų dienos globos padalinyje „Goda“, Kompleksinių paslaugų namuose „Alka" ir Šiaulių „Spindulio" ugdymo centre. 4. Integralios pagalbos ir dienos socialinės globos paslaugas asmens namuose teikia Šiaulių miesto sav. globos namai, Šiaulių miesto sav. socialinių paslaugų centras, Šiaulių vyskupijos Caritas, VšĮ Globos ir slaugos centras Sidabražolė, VšĮ Paliatyviosios pagalbos klinika, UAB Paliatyvios medicinos klinika, VšĮ Sidabrinė pieva, VšĮ Nacionalinis socialinės integracijos institutas. 5. Laikino atokvėpio paslaugas teikia Šiaulių miesto sav. globos namai, Kompleksinių paslaugų namai „Alka".</t>
  </si>
  <si>
    <t>Iš viso per 2025 m. specializuotos kompleksinės pagalbos centro (SKPC) pagalba suteikta 1106 unikaliems asmenims. Iš jų 896 buvo moterys, o 210 – vyrai. 104 asmenys kreipėsi savarankiškai. 78 asm. atliktas ekspertinis vertinimas.  SKPC II lygio (psichologo, teisininko) pagalba suteikta 386 unikaliems asmenims: tik psichologo – 139 asm., tik teisininko – 161 asm., ir psichologo, ir teisininko – 86 asm.                                                               Suteikta 717 vnt. II lygio SKPC pagalbos paslaugų/kartų:  289 vnt. psichologo paslaugų ir 428 vnt. teisininko paslaugų, taip pat 2458 SKPC Konsultanto (I lygio) pagalbos paslaugos ir 314 pagalbos/paslaugų vnt.  pagal kitus projektus.</t>
  </si>
  <si>
    <t>I ketv. jaunuolių, gaunančių paslaugas atvirame jaunimo centre ar atviroje jaunimo erdvėje, skaičius 338, iš jų Jaunimo centre - 246, Jaunimo erdvėje - 92;
II ketv. jaunuolių, gaunančių paslaugas atvirame jaunimo centre ar atviroje jaunimo erdvėje, skaičius 545, iš jų Jaunimo centre - 390, Jaunimo erdvėje – 155 (unikalūs jaunuoliai);
III ketv. jaunuolių, gaunančių paslaugas atvirame jaunimo centre ar atviroje jaunimo erdvėje, skaičius 407, iš jų Jaunimo centre - 303, Jaunimo erdvėje – 104 (unikalūs jaunuoliai);
IV ketv. jaunuolių, gaunančių paslaugas atvirame jaunimo centre ar atviroje jaunimo erdvėje 952, iš jų Jaunimo centre - 480, Jaunimo erdvėje – 472 (unikalūs jaunuoliai). 
Iš viso nuo metų pradžios 2242 jaunuoliai: Jaunimo centre – 1419, Jaunimo erdvėje - 823.</t>
  </si>
  <si>
    <t>Asmeninės pagalbos paslaugų teikėjas - Šiaulių miesto savivaldybės Socialinių paslaugų centras.  Asmeninės pagalbos paslaugų teikimas yra finansuojamas valstybės biudžeto lėšomis.
Asmeninės pagalbos paslaugos nuo metų pradžios suteiktos 36 asmenims su negalia, iš kurių 1 Ukrainos pilietis. 4 asmenys gavo pagalbą nemokamai. Asmeninę pagalbą teikusių asistentų skaičius nuo metų pradžios 19.</t>
  </si>
  <si>
    <t>Akredituotas soc. priežiūros paslaugas - intensyvios krizių įveikimo pagalbos paslaugas teikia VšĮ Motinos Teresės šeimų namai, per I ketv. paslaugos suteiktos 3 asmenims. Intensyvios krizių įveikimo pagalbos paslaugas Šeimos centre gavo 9 asmenys. 
Per II ketv. paslaugos suteiktos 6 šeimoms (7 suaugę asmenys ir 11 vaikų). Intensyvios krizių įveikimo pagalbos paslaugas Šeimos centre gavo 4 šeimos (5 suaugę asmenys ir 7 vaikai), VšĮ „Motinos Teresės šeimų namai“ gavo 2 šeimos (2 suaugę asmenys ir 4 vaikai). 
Per III ketv. paslaugos suteiktos 9 šeimoms (iš jų 11 suaugę asmenys ir 17 vaikų). Intensyvios krizių įveikimo pagalbos paslaugas Šeimos centre gavo 7 šeimos (iš jų 9 suaugę asmenys ir 13 vaikų), VšĮ „Motinos Teresės šeimų namai“ gavo 2 šeimos (iš jų 2 suaugę asmenys ir 4 vaikai). 
Per IV ketv. paslaugos suteiktos 14 šeimų (iš jų 16 suaugę asmenys ir 24 vaikai). Intensyvios krizių įveikimo pagalbos paslaugas Šeimos centre gavo 8 šeimos (iš jų 10 suaugę asmenys ir 14 vaikų), VšĮ „Motinos Teresės šeimų namai“ gavo 6 šeimos (iš jų 6 suaugę asmenys ir 10 vaikų).</t>
  </si>
  <si>
    <t>Krizių centruose apgyvendinama vadovaujantis Valstybės vaiko teisių apsaugos ir įvaikinimo tarnybos prie SADM Šiaulių apskrities vaiko teisių apsaugos skyriaus vaiko laikinosios priežiūros organizavimo socialinę priežiūrą teikiančioje socialinių paslaugų įstaigoje aktu.</t>
  </si>
  <si>
    <t>Prašymai dėl apsaugoto būsto, socialinės globos paslaugoms grupinio gyvenimo namuose ir socialinėse dirbtuvėse patenkinti 100 proc.</t>
  </si>
  <si>
    <t xml:space="preserve">Socialinės reabilitacijos paslaugos asmenims su negalia bendruomenėje yra finansuojamos pagal įstaigose akredituotų vietų skaičių. 2 įstaigos nutraukė paslaugų teikimą 2025 m. 11 -oje paslaugas teikiančių nevyriausybinių organizacijų, veikiančių Šiaulių mieste, akredituotų vietų skaičius buvo 434.  Faktiškai nuo metų pradžios paslaugos suteiktos 443 (unikaliems) gavėjams. </t>
  </si>
  <si>
    <t>Vaikų, lankančių dienos centrus (unikalių) nuo metų pradžios buvo 316.</t>
  </si>
  <si>
    <t>Patenkinta 100 proc. tėvų prašymų dėl 36 vaikų su negalia vaikų dienos socialinės priežiūros paslaugų teikimo vaikų dienos centruose.</t>
  </si>
  <si>
    <t>4-iose soc. paslaugas teikiančiose biudžetinėse įstaigose pritrauktų reikiamos kvalifikacijos socialinės srities specialistų skaičius nuo metų pradžios - 33.</t>
  </si>
  <si>
    <t>Soc. paslaugas teikiančios biudžetinės įstaigos yra pasirašiusios 14 partnerysčių ir (ar) bendradarbiavimo sutarčių su socialinės srities specialistus rengiančiomis mokymo įstaigomis.</t>
  </si>
  <si>
    <t>Įgyvendinant priemonę „Plėtoti neinstitucinės globos paslaugas vaikams" mokami pagalbos pinigai globėjams, kai Savivaldybės nustatytais atvejais vaikus prižiūri ar juos globoja šeimos ar budintys globotojai. Nuo metų pradžios globėjų, globojančių vaikus iš viso buvo 174.</t>
  </si>
  <si>
    <t>Per 2025 m. globojamų vaikų skaičius iš viso 216, iš jų 29 vaikai iš Ukrainos.</t>
  </si>
  <si>
    <t xml:space="preserve">Poreikis patenkintas 100 proc. </t>
  </si>
  <si>
    <t xml:space="preserve">Šiaulių miesto savivaldybė finansuoja 5 šeimynas, iš jų:
- 2 šeimynose buvo globojami 12 vaikų, iš jų 2 pilnamečiai, 1 pilnametis metų eigoje išsikraustė. Šeimynos nuauginamos, naujų vaikų priimti nebegali;
- 1 šeimynoje buvo globojami 3 vaikai, vienas iš jų pilnametis.  Šeimyna užpildyta, nes globoja vaikus iš kitos savivaldybės;
- 1 naujoje šeimynoje buvo globojami 4 vaikai, šeimyna pilna;
- 1 naujoje šeimynoje globojami 4 vaikai, laisva 1 vieta.
</t>
  </si>
  <si>
    <t xml:space="preserve">Šiaulių miesto savivaldybės teritorijoje veikiančiose 5 šeimynose  globojami 23 vaikai.  </t>
  </si>
  <si>
    <t>Per 2025 m. 11 budinčių globotojų iš viso globojo 57 vaikus.</t>
  </si>
  <si>
    <t>Per I ketv. nupirkta 80 vnt. kūdikių kraitelių;
Per II ketv. nupirkta 70 vnt. kūdikių kraitelių; 
Per III ketv. nupirkta 70 vnt. kūdikių kraitelių;
Per IV ketv. nupirkta 280 vnt. kraitelių. Iš viso nuo metų pradžios  nupirkta 500 vnt. kraitelių, kurie įteikti visoms šeimoms, susilaukusioms kūdikio.</t>
  </si>
  <si>
    <t xml:space="preserve">Kūdikių kraiteliai perkami pagal poreikį. </t>
  </si>
  <si>
    <t>Paslaugas teikia 2 partneriai: VŠĮ Socialinių inovacijų centras ir Šiaurės Lietuvos Kolegija. Paslaugų gavėjams suteiktos šios kompleksinės paslaugos: 
- individualios ir grupinės psichologo konsultacijos (pagal individualią asmens (šeimos) situaciją, kurie susiduria su iššūkiais, patiria sunkumų asmeniniame ir (ar) šeimoje);
- savitarpio pagalbos grupės (emocinės sveikatos stiprinimo grupės moterims, vyrams; asmenims, patiriantiems nerimą ar depresiją; asmenims, išgyvenantiems santykių krizę);
- socialinių įgūdžių grupės vaikams, paaugliams (jausmų atpažinimas ir emocinių įgūdžių ugdymas);
- tėvystės mokymų grupės (tobulinami tėvystės įgūdžiai, siekiama ugdyti geriausias tėvų ir vaikų savybes, padėti jiems atskleisti savo gebėjimus ir galimybes);
- šeimos mediacijos konsultacijos (padeda spręsti tarpusavio santykių konfliktus; išgryninti skirtingus interesus, poreikius, sąlyčio taškus, kurie padeda spręsti konfliktinius šeimos narių, skyriumi gyvenančių tėvų, tėvų-vaikų senelių ginčus);
- vaikų priežiūros paslauga (paslauga teikiama, kai tėvams teikiamos kitos kompleksinės paslaugos).
Per 2025 metus unikalių paslaugų gavėjų skaičius iš viso 975 asmenys: VŠĮ Socialinių inovacijų centras (334 asm.) ir VšĮ Šiaurės Lietuvos Kolegija (641 asm.).</t>
  </si>
  <si>
    <t>Dirbo 2 bendruomeninių šeimos namų darbuotojai, organizuojantys kompleksinių paslaugų teikimą šeimai, iš jų VšĮ Socialinių inovacijų centre - 1  ir Šiaurės Lietuvos kolegijoje - 1.</t>
  </si>
  <si>
    <t>Šiaulių globos namai I ketvirtyje pateikė paraišką projekto ,,Socialinės įtraukties ir įgalinimo stiprinimas pažeidžiamoms grupėms per integruotą ir kūrybingą metodiką“ finansavimui gauti (LAT-LIT projektas). Sutartis pasirašyta 2025 m. balandžio mėn. Įsigyti krosnis keramikos dirbiniams ir lauko muzikos instrumentai.</t>
  </si>
  <si>
    <t>Projekto vykdytojas Šiaulių miesto savivaldybės Socialinių paslaugų centras. Nuo metų pradžios šeimų, gaunančių paramą, skaičius - 6744. Savivaldybei už faktiškai įvykdytas veiklas iš ESFA kompensuojama iki 9,5 proc. lėšų nuo faktiškai projekto dalyvių kortelėse panaudotų lėšų.</t>
  </si>
  <si>
    <t xml:space="preserve">I ketv. Pasirašyta 13 sutikimų dalyvauti atvejo vadybos modelio taikyme su asmenims, turinčiais psichikos ir (ar) intelekto negalią. 
Projekte dirba 2 atvejo vadybininkai. Per II ketv. pasirašyti 5 nauji sutikimai dalyvauti atvejo vadybos modelio taikyme. 
Per III ketv. pasirašyta 10 naujų sutikimų dalyvauti atvejo vadybos modelio taikyme su asmenimis, turinčiais psichikos ir (ar) intelekto negalią. 
IV ketv. pasirašyti 8 nauji sutikimai dalyvauti atvejo vadybos modelio taikyme su asmenimis, turinčiais psichikos ir (ar) intelekto negalią. Nuo metų pradžios iš viso 35 sutikimai. </t>
  </si>
  <si>
    <t>Rodiklis nepasiektas dėl poreikio nebuvimo, nes paslauga teikiama intelekto ir psichinę negalią turintiems asmenims.</t>
  </si>
  <si>
    <t>Teritorijų planavimo dokumentai, kuriuose numatyta pramoninių teritorijų konversija, parengti privačiomis lėšomis.</t>
  </si>
  <si>
    <t>Architektūriniai konkursai konversinėse terotorijose parengti privačiomis lėšomis.</t>
  </si>
  <si>
    <t>Gauti 2 pasiūlymai pirkti 3 kambarių butus.</t>
  </si>
  <si>
    <t xml:space="preserve">Įsigytas vienas butas (vieno kambario). 
</t>
  </si>
  <si>
    <t>Buvo paskelbti dar 2 būstų pirkimai, tačiau pasiūlymų negauta.</t>
  </si>
  <si>
    <t>Per 2025 metus buvo gauti 4 pasiūlymai pirkti butus, bet visi neatitiko butų pirkimų sąlygų.</t>
  </si>
  <si>
    <t>Fiziniai darbai baigti, tvarkoma teisinė registracija.</t>
  </si>
  <si>
    <t>Teisinė registracija dar nebaigta (dėl aikštelės).</t>
  </si>
  <si>
    <t>9,7 proc. nuo Šiaulių miesto gyventojų skaičiaus - 2 818 sportininkų rengimo centrų sportininkai, 8 060 sporto klubo nariai (viso 10 878 asmenys, 111 971 nuolatinių gyventojų skaičius).</t>
  </si>
  <si>
    <t>Šalies čempionatuose/taurės varžybose prizines vietas laimėjo šios komandos: 
1. Šiaulių vyrų regbio komanda „Baltrex-Šiauliai“ R7 – 2 v.;                         2.Šiaulių moterų regbio komanda „Baltrex-Šiauliai“ R7 – 3 v.;
3. Šiaulių moterų regbio komanda „Vairas" R7 – 1 v.;
4. Šiaulių moterų futbolo komanda „Gintra“ – 1 v.;
5. Šiaulių moterų žolės riedulio komanda „Ginstrektė – Akademija“ (lauko) – 1v.;
6. Šiaulių moterų žolės riedulio komanda „Ginstrektė – Akademija“ (uždarų patalpų) – 1 v.;
7. Šiaulių vyrų žolės riedulio komanda „Ginstrektė“ (lauko) – 1 v.;
8. Šiaulių vyrų žolės riedulio komanda „Ginstrektė“ (uždarų patalpų) – 3 v.;
9. Šiaulių vyrų tinklinio komanda „Elga - Grafaitė – S-Sportas“ (LT čempionatas) – 1 v;                                                                                                    10. Šiaulių vyrų rankinio komanda „RK Šiauliai"  - 1 v.;                                        11. Šiaulių vyrų tinklinio komanda - 1 v.</t>
  </si>
  <si>
    <t>2025 m. įvyko šie reprezentaciniai sporto renginiai: 
 1.Tarptautinės sportinių šokių varžybos „Sun City Cup“;
 2. UEFA moterų čempionų lyga ir Moterų futbolo Baltijos lyga; 
 3. Lietuvos krepšinio lyga ir Karaliaus Mindaugo Taurė; 
 4. Šiaulių dviračių diena; 
 5. Europos regbio čempionatai;
 6. Europos šalių klubų žolės riedulio čempionatai;
 7. Daviso taurės mačas ir Tarptautinės teniso federacijos antros kategorijos jaunių (iki 18) metų turnyras;                                                                                     8. Šiaulių bėgimas.</t>
  </si>
  <si>
    <t>Tyrimas nebuvo atliekamas.</t>
  </si>
  <si>
    <t>Švietimo įstaigų sporto salėse ir lauko aikštynuose sportuoja bendruomenės.  Atsižvelgiant į gyventojų poreikį sportuoti ilgiau, 2025 metais padarytas aprašo pakeitimas - aikštynai bus atverti nuo kovo 1 d. iki gruodžio 1 d. (buvo nuo balandžio 1 d. iki spalio 31 d.)</t>
  </si>
  <si>
    <t>Negautas finansavimas iš valstybės biudžeto.</t>
  </si>
  <si>
    <t>Nepriimtas savivaldybės administracijos sprendimas dėl Rėkyvos pakrantės išvystymo koncepcijos.</t>
  </si>
  <si>
    <t>Dėl projektavimo užduoties keitimo, pratęstas laikas techninio projekto parengimui. Šiaulių teniso akademijos pastato techninis projektas bus parengtas 2026 m. vasario - kovo mėn.</t>
  </si>
  <si>
    <t>Regbio stadione, adresu Gardino g. 14, nupirktos ir įrengtos 500 vietų žiūrovų tribūnos.</t>
  </si>
  <si>
    <t>Oficialiuose tarptautinėse varžybose laimėjo 1–3 vietą šios komandos:
1. Šiaulių regbio komanda „Baltrex-Šiauliai“ (Baltijos čempionatas R15) – 1 v.;
2. Šiaulių regbio komanda „Baltrex-Šiauliai“ (Šiauliai 7s tarptautinis turnyras) 1v.;
3. Šiaulių vyrų regbio komanda „Vairas-Kalvis-Jupoja-Šiauliai“ (Baltijos čempionatas R15) – 2 v.;
4. Šiaulių vyrų paplūdimio tinklinio komanda (BPT Futures etapas Varšuvoje) – 1 v.;
5. Šiaulių vyrų tinklinio komanda „Elga - Grafaitė – S-Sportas“ – 1 v.;                6. Šiaulių moterų futbolo komanda „Gintra“ - 2 v..;                                                7. Šiaulių vyrų žolės riedulio komanda „Ginstrektė“(lauko) - 1 v.</t>
  </si>
  <si>
    <t>,,Pirmoko krepšelis“ įteiktas miesto mokyklų pirmokams.</t>
  </si>
  <si>
    <t xml:space="preserve">Vietoj planuotų 1 300 pirmokų (planuota pagal praėjusių metų registro duomenis) į pirmąsias klases 2025-09-01 atvyko 1 179 pirmokai. </t>
  </si>
  <si>
    <t>Įgyvendintos 27 STEAM programos (45 grupės), 13 STEAM JUNIOR programų (30 grupių), 1 STEAM+ programa.</t>
  </si>
  <si>
    <t>Konkurso būdu atrinktos ir finansuotos trys Šiaulių miesto savivaldybės ir Šiaulių miesto teritorijoje veikiančių aukštųjų mokyklų bendradarbiavimo programos: dvi Šiaulių valstybinės kolegijos programos: “Inovacijų laboratorija – ROBIT” ir „Valgiaraščių optimizavimo sistema Šiaulių ikimokyklinio ugdymo įstaigoms“ ir viena Vilniaus universiteto Šiaulių akademijos programa “Gamtos mokslai, technologijos, inžinerija, menai, matematika (STEAM): UGDYMAS LYDERYSTEI (septintoji dalis)“.</t>
  </si>
  <si>
    <t>Planuojant buvo padaryta techninė klaida, kuri buvo pastebėta tik metų pabaigoje: į planą turėjo būti įrašytas rodiklis 100.</t>
  </si>
  <si>
    <t>Projekte dalyvavo 122 vaikai, kuriems buvo teikiamos papildomo ugdymo paslaugos, dalį švietimo pagalbos paslaugų teikė PPT specialistė, buvo perkamos kanceliarinės prekės, apmokamos kultūros išlaidos, NVŠ paslaugos.</t>
  </si>
  <si>
    <t>Sunku suplanuoti, kiek turėsime vaikų, kuriems bus taikoma atvejo vadyba ir jie galės dalyvauti projekto veiklose bei kiek ilgai jiems atvejo vadyba bus taikoma.</t>
  </si>
  <si>
    <t>Švietimo įstaigų, atnaujinusių  virtuves ir įrangą, preliminarus skaičius, iš jų: 2025 m. - Medelyno</t>
  </si>
  <si>
    <t>Įstaigų, kurių pastatams apšiltintos sienos, skaičius, iš jų: 2025 m. - „Dagilėlio" dainavimo mokykla, l/d „Vaikystė"</t>
  </si>
  <si>
    <t>Įstaigų, kuriose atliktas vamzdynų ir patalpų remontas, įsigyta įranga, skaičius, iš jų: 2025 m. - lopšeliai-darželiai „Ežerėlis", „Dainelė", „Berželis", „Gluosnis", J. Janonio, Didždvario gimnazijos, Menų mokykla</t>
  </si>
  <si>
    <t>Įstaigų, kuriose atliktas elektros instaliacijos remontas, skaičius, iš jų:  2025 m. - l/d ,,Drugelis“, Lieporių gimnazija</t>
  </si>
  <si>
    <t>Įstaigų, kuriose atnaujinti arba suremontuoti stogai, skaičius, iš jų: 2025 m. - „Dagilėlio“ dainavimo mokykla, J. Janonio gimnazija</t>
  </si>
  <si>
    <t>Įstaigų, kuriose atnaujinti arba suremontuoti fasadai ir nuogrindos, skaičius, iš jų: 2025 m. - l/d „Vaikystė"</t>
  </si>
  <si>
    <t>Švietimo įstaigų, kuriose atnaujintos teritorijų dangos ir įvažiavimai, skaičius pagal 2024 m. kovo 27 d. Administracijos direktoriaus įsakymu Nr. A-150  sudarytą eilę.</t>
  </si>
  <si>
    <t>Švietimo įstaigų, kuriose atnaujinti lauko įrenginiai ir aptvertos teritorijos, skaičius, iš jų: Dailės mokykla</t>
  </si>
  <si>
    <t>Suremontuotų  sporto salių (ir pagalbinių patalpų) švietimo įstaigose skaičius, iš jų: 2025 m. - "Romuvos" g., Salduvės prog., l/d "Berželis, "Dainelė", "Sigutė", Jaunųjų turistų centras</t>
  </si>
  <si>
    <t>Įrengti liftai ir kitas pritaikymas neįgaliesiems švietimo įstaigose (Dailės mokykla, Salduvės, Romuvos, Gytarių)</t>
  </si>
  <si>
    <t>Įdiegta kondicionavimo įranga švietimo įstaigose (J. Janonio, Lieporių , St. Šalkauskio , ŠUG, Sporto, "Santarvės", "Romuvos" gimn., Gegužių ,  Dainų, "Juventos", Gytarių , "Romuvos", „Sandoros", Medelyno, Zoknių prog., Centro pradinė)</t>
  </si>
  <si>
    <t>Bendrojo ugdymo įstaigos, kurių patalpoms taikoma „saugios mokyklos"  aplinka („Juventos", Salduvės, „Rasos", Zoknių progimnazijos ir  kt.)</t>
  </si>
  <si>
    <t>Atliktų I etapo (vidaus įrengimas) rangos darbų dalis</t>
  </si>
  <si>
    <t>Suremontuota elektros instaliacija l/d „Drugelis“ ir Lieporių gimnazijoje.</t>
  </si>
  <si>
    <t>Atnaujinti vamzdynai, atliktas patalpų remontas Juliaus Janonio gimnazijoje, l/d  „Ežerėlis“, „Dainelė“, „Berželis“, „Gluosnis“, Menų mokykloje, atnaujinta virtuvės įranga Medelyno progimnazijoje.</t>
  </si>
  <si>
    <t>Suremontuotas dainavimo mokyklos ,,Dagilėlis“ stogas.</t>
  </si>
  <si>
    <t xml:space="preserve">Atnaujinta virtuvės įranga Medelyno progimnazijoje.                              
</t>
  </si>
  <si>
    <t xml:space="preserve">Sumokėtos Korsako g. sporto aikštyno sulaikytos  sumos . </t>
  </si>
  <si>
    <t xml:space="preserve">I ketv.  Zoknių ir Rasos progimnazijos nusipirko nešiojamus kompiuterius. Centro pradinė mokykla nusipirko vienviečius stalus. Sandoros progimnazija - mokyklinius baldus. Saulės pradinė mokykla atliko sporto salės remonto darbus. 
II ketv. Šiaulių „Centro“ pradinėje mokykloje nupirkti meno zonos (baldai) ir kitos prekės, Šiaulių Rasos progimnazija nusipirko dalį baldų ir įrangos, Šiaulių „Juventos“ progimnazijoje sudarytas sensorinės įrangos ir baldų pirkimo sąrašas, parengtas techninis projektas, nupirkti rangos darbai, Šiaulių „Romuvos“ progimnazija įvykdė kompiuterių pirkimą, Šiaulių Gytarių progimnazija įvykdė kompiuterių ir planšetinių kompiuterių pirkimus. </t>
  </si>
  <si>
    <t>Vykdytas rangos darbų pirkimas, pirkimo dokumentai perduoti CPVA vertinimui iki sutarties pasirašymo.</t>
  </si>
  <si>
    <t xml:space="preserve">Nesudaryta rangos sutartis. </t>
  </si>
  <si>
    <t>2025 m. rangos darbų viešojo pirkimo procedūros nebuvo užbaigtos (tęsiamos 2026 m.) ir rangos sutartis nesudaryta.</t>
  </si>
  <si>
    <t xml:space="preserve">Buvo baigti rengti rangos darbų viešojo pirkimo dokumentai ir 2025 m. lapkričio 17 d. paskelbtas rangos darbų viešojo pirkimo konkursas. </t>
  </si>
  <si>
    <t xml:space="preserve">Baigtos visos projekto "minkštosios" veiklos. Projekto veiklos pilnai baigtos Gytarių, Salduvės ir Ragainės progimanzijose. 
</t>
  </si>
  <si>
    <t>Vėlavo projektavimo darbai Šiaulių universitetinėje gimnazijoje ir S. Šalkauskio gimnazijoje, todėl nebuvo galima pradėti rangos darbų pirkimų.  Projekto veiklų pabaiga perkelta į 2026 m. II ketv.</t>
  </si>
  <si>
    <t>Įrangos ir baldų pirkimai nebuvo vykdomi tol, kol nebuvo sudarytos rangos darbų sutartys.</t>
  </si>
  <si>
    <t>Parengtas techninis projektas pagal atnaujintą projektavimo užduotį, atlikta ekspertizė, rengiami viešojo pirkimo dokumentai rangos darbų pirkimui.</t>
  </si>
  <si>
    <t>Dėl vėluojančio projektavimo rangos darbai nebuvo vykdomi.</t>
  </si>
  <si>
    <t>Tikslinamas techninis projektas pagal KPD pastabas.</t>
  </si>
  <si>
    <t>Techninis projektas baigtas rengti, gauta teigiama ekspertizės išvada, rengiami rangos darbų pirkimo dokumentai.</t>
  </si>
  <si>
    <t>Mokėjimas už projektavimo paslaugas neatliktas, nes dar negautas statybą leidžiantis dokumentas.</t>
  </si>
  <si>
    <t>Vykdyti rangos darbai Dainų, Salduvės progimnazijų stadionuose ir Didždvario gimnazijos stadionuose. Lieporių gimnazijoje ir Romuvos progimnazijoje vykdytos rangos darbų pirkimo procedūros.</t>
  </si>
  <si>
    <t>Ilgai rengti ir tikslinti viešųjų pirkimų dokumentai, užsitęsė viešųjų pirkimų procedūros. Iš planuotų 5 objektų 2025 metais rangos darbai vyko tik 2 (Salduvės progimnazijos aikštyne ir Dainų progimnazijos aikštyne).</t>
  </si>
  <si>
    <t>Vykdant neformalųjį ugdymą ir švietimą, 2025 m. didėjo programų skaičius ir įvairovė. 65 neformalaus vaikų švietimo teikėjai vykdė 139 programas, kurias lankė apie 4 000 mokinių, o visose neformaliojo švietimo veiklose veiklose dalyvaujančių mokinių dalis (81,63 proc.) 12,27 proc. viršija Lietuvos vidurkį.</t>
  </si>
  <si>
    <t>Pristatyta į mokyklas labaratorijos įranga (2 komp.) bei kompiuteriai (885 vnt.). Pasirašytos panaudos sutartys dėl gautos įrangos bei kompiuterių</t>
  </si>
  <si>
    <t>Rodiklis nepasiektas, kadangi stringa pirkimai (užtrunka paruošti technines specifikacijas perkamai įrangai). Pirkimus vykdo ESFA.</t>
  </si>
  <si>
    <t xml:space="preserve">Faktinis lovų skaičius 186, vidutinis gyventojų skaičius 111518 rodiklio reikšmė 1,7. Nepasiekta rodiklio reikšmė nes:
1. vykdomas projektas „VšĮ Šiaulių ilgalaikio gydymo ir geriatrijos centro pastatų rekonstravimas, aktyvios ventiliacijos įrengimas, kiemo gerbūvio sutvarkymas ir maisto gamybos skyriaus modernizavimas", remontuojami skyriai ir faktinis lovų skaičius yra mažesnis;
2. didėjantis vidutinis gyventojų skaičius;
3. dėl pasikeitusio teisės akto, reglamentuojančio palatos kvadratinių metrų skaičių vienai lovai, mažėja galimas lovų skaičius palatoje. </t>
  </si>
  <si>
    <t xml:space="preserve">Nebuvo paslaugos teikėjo. </t>
  </si>
  <si>
    <t xml:space="preserve">Paslaugos planuojamos teikti nuo 2026 m. I ketv. </t>
  </si>
  <si>
    <t>Kultūros įstaigų lankytojų skaičius</t>
  </si>
  <si>
    <t xml:space="preserve">OPA programos 100 užsiėmimų dalyvavo 2001 dalyvis, t. y. 43 proc. visų, 2025-09-01 mokyklose registruotų 1-4 klasių mokinių. EPIPS programoje numatytas rodiklis, kad programoje dalyvautų 30 proc. mokinių. </t>
  </si>
  <si>
    <t>Išvestiniai statistiniai duomenys (ŠVIS).</t>
  </si>
  <si>
    <t>Civilinės metrikacijos skyriui  nupirkti 3 spausdintuvai.</t>
  </si>
  <si>
    <t>Neįsigyta, nes duomenys naujoms kuriamoms sistemoms buvo iškelti į LRTC duomenų centrą.</t>
  </si>
  <si>
    <t>2025-04-22 sudaryta pirkimo sutartis  „Šiaulių ir Panevėžio miestų savivaldybių turto valdymo veiklos procesų peržiūra, techninės specifikacijos turto valdymo sistemai įsigyti parengimas ir techninė priežiūra".
2025-08-18  įvyko susipažinimas su gautais pasiūlymais dėl "Efektyvaus miesto atliekų valdymo ir dirbtinio intelekto, pritaikant bepiločius orlaivius, mašininio mokymosi ir dirbtinio intelekto įrankius, paslauga" pirkimo. Gautas vienintelis tiekėjo pasiūlymas, kuris buvo atmestas dėl per didelės kainos.
2025-09-03 pirkimas paskelbtas pakartotinai. 
2025-10-09 įvyko susipažinimas su gautais pasiūlymais Gautas vienintelis tiekėjo pasiūlymas, kuris buvo atmestas kaip neatitinkantis pirkimo dokumentuose nustatytų reikalavimų.
2025-10-09  įvyko susipažinimas su gautais pasiūlymais dėl pirkimo "Kibernetinės saugumo priemonės". Pirkimas skaidytas į 5 pirkimo dalis. 2025-11-05 sudarytos pirkimo sutartys dėl 1 – 4 pirkimo dalių. 2025-11-13 sudaryta pirkimo sutartis dėl 5 pirkimo dalies.</t>
  </si>
  <si>
    <t>Išmokos mokamos pagal poreikį ir besikreipiančių asmenų skaičių, turinčių teisę į socialinę paramą.</t>
  </si>
  <si>
    <t xml:space="preserve">Įdarbinti ir atlyginimai mokami antrajam mokytojui ir dviems mokytojo padėjėjams (dirbo 4 asmenys po 0,5 etato).
</t>
  </si>
  <si>
    <t>Pasirašytos 5 sutartys dėl kibernetinio saugumo iniciatyvų diegimo Šiaulių m. savivaldybės administracijoje, įsigyta 100 vnt. NordPass licencijų.</t>
  </si>
  <si>
    <t>L/d „Ežerėlis" fiziniai darbai pilnai baigti, tačiau nebaigta tvarkyti dokumentacija.</t>
  </si>
  <si>
    <t>Fiziniai darbai užbaigti, defektai ištaisyti. Baigus teisinę registraciją bus išmokėtos sulaikytos sumos.</t>
  </si>
  <si>
    <t>Įrengta apie 3,8 km dviračių takų (skaičiuojama kartu su dviračių pervažomis), įrengta apie 1 km dviračių gatvių; rekonstruota apie 0,1 km bendrų takų, įrengta apie 0,7 km bendrų takų.</t>
  </si>
  <si>
    <t>Planuota, kad bus atlikta daugiau darbų objektuose, taip pat Serbentų g. objekte atsiradus KPP lėšoms 2025 m. susitaupė projekto lėšų, kurios bus paskirstytos kitiems objektams, kurių vertė didesnė, nei buvo planuota.</t>
  </si>
  <si>
    <t>II ketv. surengti 4 mokymai: „2025 metų iššūkiai apskaitos ir mokesčių srityje“; „Verslo augimui ribų nėra“; „Aktyvūs pardavimai verslas verslui (B2B)“; „Resursai permainų metu: kaip išlikti veikliam (-ai) ir atsinaujinti kasdien“;                                                                                                                      III ketv. 1 mokymai „Prezentacija KITAIP, arba pamirškite migdančias skaidres“;                                                                                                                    IV ketv. suorganizuoti 1 mokymai „Iš ko susideda efektyvumas – ir kodėl nepakanka vien produktyvumo“.</t>
  </si>
  <si>
    <t xml:space="preserve">II ketv. suorganizuoti 2 renginiai: „Užimtumo tarnybos paslaugos darbdaviams“; „Verslo augimas su ES parama: naujos galimybės, kuriomis verta pasinaudoti“;                                                                                                    III ketv. 1 renginys „ILTE finansavimo priemonių pristatymas“;                      IV ketv. suorganizuoti 3 renginiai: „Paskolos „Startuok“ verslo plano rengimo ir paraiškos pateikimo praktinės dirbtuvės“.                     </t>
  </si>
  <si>
    <t xml:space="preserve">II ketv. suteikta 122 val. konsultacijų. Grupinės konsultacijos: „Alternatyvūs verslo ginčų sprendimai“ – 6 dalyviai; „Tvarumo ataskaitos“ – 14 dalyvių; „Teisinės grėsmės vadovams: kaip užtikrinti savo finansinį saugumą ir ramybę“ – 6 dalyviai; „Reklama ir komunikacija versle“ – 17 dalyvių;              III ketv. 180 val. konsultacijų. Grupinės konsultacijos: „Verslas ir darbdavys. Kaip laimima konkurencinėje kovoje“ – 35 dalyviai; Susitikimas su Consulte Baltic įkūrėja Vaida Strazda – 25 dalyviai, „ILTE finansavimo priemonių pristatymas ir individualios konsultacijos – 10 dalyvių. Konsultuotų asmenų – 4;                                                                                                                                 IV ketv. 30 val. konsultacijų. Įsteigti verslo subjektai: Flumen tech, MB; Saugumas darbe, MB; Iskara, MB; Lumiblu, MB; Bendora, MB; UAB „Nirlita LT“; Arunta, MB; Codeo, MB; 4Gas, MB; Erra magic ads, MB. Konsultuotų asmenų – 5. </t>
  </si>
  <si>
    <t xml:space="preserve">II ketv. konsultuoti 7 asmenys. Suteikta grupinė konsultacija „Kaip efektyviai panaudoti įmonės pelną: nuo rizikos iki investicijų?“– 14 dalyvių.
III ketv. konsultuoti 5 asmenys. 
IV ketv. konsultuoti 23 asmenys. Suteikta grupinė konsultacija „Užimtumo tarnybos paslaugos darbdaviams“  – 23 dalyviai. Įsteigti verslo subjektai: IFY, MB; Skaitmeninė pažanga, MB. </t>
  </si>
  <si>
    <t xml:space="preserve">II ketv. suorganizuota 12 renginių: „Alternatyvūs verslo ginčų sprendimai“; „Teisinės grėsmės vadovams: kaip užtikrinti savo finansinį saugumą ir ramybę“; Mokinių ir jaunimo ekonominių žinių švietimo renginys – „Jaunųjų verslo kūrėjų Expo 2025“ „Kaip pradėti ir pasiekti finansinę laisvę?“; „Pardavimai LinkedIn“; „Laiko planavimas ir valdymas. Prioritetų nustatymas“; 5 reginių ciklas „Reklama ir komunikacija versle“; mokymų ciklas “Supakuok verslo idėją ir startuok“;
III ketv. suorganizuotas 1 renginys „Darbas su kasos aparatais po gegužės 1-osios – kaip prievolę paversti nauda?“; 
IV ketv. 6 renginiai ir 4 mokymai. Renginiai: „Inžinerinės pramonės ateities tendencijos“ (renginys moksleiviams su LINPRA); verslumo skatinimo festivalis Makeathon; „Išskirtinumas versle, kodėl tai svarbu?“; „Socialinių tinklų svarba“; „Įrankių panaudojimas reklaminių žinučių kūrime“, kelias link verslo, „Socialinės reklamos kūrimas praktiškai“. Mokymai: „Pardavimai per socialinius tinklus“ ir 3 mokymų ciklas  „Pažink, Sustiprink, Veik: Nuo savęs pažinimo iki rezultatyvių veiksmų verslo kelyje“.
</t>
  </si>
  <si>
    <t>I ketv. atlikta 10 dalyvių atranka;
I ketv. – IV ketv. vykdytos projekto veiklos: individualios konsultacijos: su mentoriais, rinkodaros specialistais, pardavimo specialistais, verslo plėtojimo specialistais, programos koordinatore; bendruomenės susitikimai su projekto dalyviais; grupinės konsultacijos su koučeriais, rinkodaros ir pardavimų specialistais;  tinklaveikos renginys; mentorių klubo renginiai.</t>
  </si>
  <si>
    <t xml:space="preserve">Priemonėms „Komercinės paskirties patalpų nuomos dalinis išlaidų padengimas“, „Infrastruktūros pritaikymo asmenims su judėjimo negalia SVV subjekto teritorijoje dalinis išlaidų kompensavimas“ ir  „Dalyvavimo verslo pristatymo parodoje, vykstančioje tiek užsienyje, tiek Lietuvoje, išlaidų dalinis padengimas“ negauta paraiškų. </t>
  </si>
  <si>
    <t>Asmenų, baigusių Širdies ir kraujagyslių ligų ir cukrinio diabeto prevencinę sveikatos stiprinimo programą, skaičius: I ketv. 18, II ketv. 77, IV ketv. 49, iš viso 144 asmenys baigė programą.</t>
  </si>
  <si>
    <t>Miesto gyventojų, dalyvavusių sveikatinimo veiklose: I ketv. 7 487, II ketv. 10 520, III ketv. 3 327, IV ketv. 8 342, viso  dalyvavo 29 676 gyventojai.</t>
  </si>
  <si>
    <t>Mokinių, dalyvavusių sveikatinimo veiklose ugdymo įstaigose: I ketv. 31 374, II ketv. 28 850, III ketv. 12 241, IV ketv. 23 442, viso dalyvavo 95 905 mokiniai.</t>
  </si>
  <si>
    <t>Paslaugų suteikta I ketv. 18 asmenų, II ketv. 543 asmenims, III ketv. 696, IV ketv. 2 100 asmenų, viso suteikta -  3 451 asmeniui.</t>
  </si>
  <si>
    <t>Paslaugų suteikta I ketv. 3 790, II ketv. 1 624, III ketv. 1 380, IV ketv. 1 706 asmenims. Viso paslaugų 2025 m. suteikta 8 500 asmenų (neunikalūs).</t>
  </si>
  <si>
    <t>Paslaugų suteikta I ketv. 3 274, II ketv. 3 087, III ketv. 3 033, IV ketv. 3 085 asmenims. Viso suteikta 12 479 paslaugos.</t>
  </si>
  <si>
    <t>Iš viso finansuota 16 studentų: 6 rezidentai, 3 slaugytojai, 7 visuomenės sveikatos specialistai.</t>
  </si>
  <si>
    <t>Sudarytos 23 sveikatinimo projektų vykdymo sutartys. 
9 561 asmuo dalyvavo sveikatinimo iniciatyvose.</t>
  </si>
  <si>
    <t>Paslaugos teikiamos pagal poreikį.</t>
  </si>
  <si>
    <t>Viso suteiktos 3 patalpų valymo paslaugos.</t>
  </si>
  <si>
    <t>Maudymosi sezono metu buvo stebimos 2 maudyklos - Prūdelio tvenkinio ir Rėkyvos ežero. 
Maudymosi sezonas truko iki 2025-08-31. Iš viso per maudymosi sezoną atlikti 56 vandens kokybės tyrimai.</t>
  </si>
  <si>
    <t>Kompensuojama pagal poreikį.</t>
  </si>
  <si>
    <t>Suteikta 3 000 ortodonto paslaugų; Šiaulių ilgalaikio gydymo ir geriatrijos centre buvo gydomi 3 tikslinės grupės pacientai, pasirašytos 3 dantų protezavimo paslaugų kompensavimo sutartys.</t>
  </si>
  <si>
    <t>Pateiktos ir įvertintos 5 sveikatos įstaigų paraiškos dėl priemonės „Gerinti medicinos srities įvaizdį visuomenėje“ vykdymo ir finansavimo. Sudarytos 2 finansavimo sutartys. Viso dalyvavo 17 švietimo įstaigų sveikatos srities patrauklumo didinimo renginiuose ir veiklose.</t>
  </si>
  <si>
    <t>Organizuotas 1 daugiašalis medikų bendruomenės renginys, dalyvauta 2 studentų kontaktų mugėse; sudarytos 3 sutartys dėl mokymų komunikacijos ir bendradarbiavimo kompetencijoms stiprinti finansavimo, organizuoti mokymai. 
Viso įgyvendinta 20 iniciatyvų, kurių veiklose dalyvavo 17 švietimo įstaigų.</t>
  </si>
  <si>
    <t>Projekto partneriai vėluoja vykdyti medicininės įrangos pirkimus. Be įrangos negalima stebėti pacientų sergančių lėtinėmis ligomis. Neturint stebimų pacientų negalima įdarbinti vadybininkų daugadalykėje komandoje.</t>
  </si>
  <si>
    <t>Rodiklis nepasiektas, nes partneriai nėra įsigiję visos reikiamos įrangos pacientų stebėjimui.</t>
  </si>
  <si>
    <t>Rodiklis nepasiektas nes dar nėra pakeista pastato paskirtis ir negautas naujas unikalus pastato numeris, be jo nėra galimybės kreiptis į Nacionalinį visuomenės sveikatos centrą prie Sveikatos apsaugos ministerijos dėl higienos paso išdavimo. Be higienos paso dienos  centras negali veikti.</t>
  </si>
  <si>
    <t xml:space="preserve">Įgyvendintos projekto veiklos: baigti rangos darbai ilgalaikės priežiūros dienos centre, ruošiami dokumentai higienos pasui gauti, įsigyta visa numatyta įranga, atlikti rangos darbai. </t>
  </si>
  <si>
    <t>Atlikti Rėkyvos poliklinikos stogo ir fasado remonto darbai.</t>
  </si>
  <si>
    <t xml:space="preserve">Partneriai vėluoja vykdyti pirkimus dėl įrangos įsigijimo, todėl nepilnai pasiektas projekto rodiklis. </t>
  </si>
  <si>
    <t>Tikslintas projekto pirkimų planas, inicijuotas finansavimo sutarties keitimas, teikiamos veiklos ataskaitos.</t>
  </si>
  <si>
    <t>Darbai bus baigiami 2026 m. I ketv.</t>
  </si>
  <si>
    <t xml:space="preserve">1. užbaigti (100 proc.) aktyvios ventiliacijos 2.2. skyriaus įrengimo darbai (UAB „Konig“ 2024-08-01 rangos darbų sutartis Nr. GS-202-2024) (SB sutartis Nr. SŽ-299);
2. užbaigti (100 proc.) aktyvios ventiliacijos 1.2. skyriaus sistemų įrengimo užbaigimo darbai (UAB „Santjana“ 2025-01-16 rangos darbų sutartis Nr. GS-11-2025) (SB sutartis Nr. SŽ-299);                                                                             3. užbaigti (90 proc.) aktyvios ventiliacijos 3 skyriaus, administracinių patalpų ir rūsio įrengimo darbai (UAB „Konig“ 2025-08-07 rangos darbų sutartis Nr. GS-293-2025) (SB sutartis Nr. SŽ-379). </t>
  </si>
  <si>
    <t>Pagal 2025-03-06 sutartį Nr. SŽ-353 įrengtas (100 proc.) elektros generatorius.</t>
  </si>
  <si>
    <t>2025-09 mėn. gautas sutikimas iš bendrasavininko, tvarkoma trūkstama dokumentacija, parengtas projektas, 2025.11.04 gautas statybos leidimas,  atliktas rangos darbų viešasis pirkimas, 2025.12.16 sudaryta rangos darbų sutartis.</t>
  </si>
  <si>
    <t>Darbai bus pradėti 2026 m.</t>
  </si>
  <si>
    <t>Laiptus planuojama remontuoti po naujo pastato statybos, kadangi šiuo metu žinoma būsimo pastato vieta ir per šiuos laiptus jungsis naujas pastatas. Darbai planauojami 2028 m.</t>
  </si>
  <si>
    <t>Projektavimo darbai 2025 m. neužbaigti, nes vyksta teisiniai procesai dėl viešojo intereso gynimo, negaunamas UAB Vaiteksa  sutikimas.</t>
  </si>
  <si>
    <t>Parengti projektiniai pasiūlymai ir rengiamas techninis darbo projektas. Projektas bus parengtas 2026 m.</t>
  </si>
  <si>
    <t>Buvo sutvarkyta daugiau įstaigų nei planuota.</t>
  </si>
  <si>
    <t>Įdiegta kondicionavimo įranga švietimo įstaigose pagal planą.</t>
  </si>
  <si>
    <t>Visi rangos darbai atlikti.</t>
  </si>
  <si>
    <t xml:space="preserve">Įvykdytas „Saugios mokykos" projektui vykdyti. "Rasos", "Juventos", Salduvės, Zoknių progimnazijos - "Saugios mokyklos" apsaugai užtikrinti.  </t>
  </si>
  <si>
    <t>Pabaigtas „Romuvos" gimnazijos sporto salės remontas. Atnaujintos sporto veiklai skirtos aplinkos Jaunųjų turistų centre, l/d ,,Berželis“, ,,Dainelė“, ,,Dvi lapės“, ,,Žiogelis“, Gytarių ir Salduvės progimnazijose.</t>
  </si>
  <si>
    <t xml:space="preserve">Sutvarkytos kiemų ir įvažiavimų dangos l/d „Pasaka", „Dvi lapės", „Kregždutė", „Bitė", „Pelėdžiukas", „Žiogelis",  „Berželis", Petro Avižonio ugdymo centre, „Juventos",  Gegužių, Gytarių progimnazijose, J. Janonio, „Saulėtekio", Universitetinėje gimnazijose. </t>
  </si>
  <si>
    <t>Atliktas žaidimo aikštelių atnaujinimas l-d „Gintarėlis, „Gluosnis, „Berželis, „Salduvė, „Ežerėlis, „Drugelis,  „Bitė.</t>
  </si>
  <si>
    <t>Atlikti dainavimo mokyklos „Dagilėlis" modernizavimo darbai (sutvarkytas stogas, sienos, keltuvas).</t>
  </si>
  <si>
    <t>Dėl užsitęsusių viešųjų pirkimų procedūrų l/d „Vaikystė pastato atnaujinimas nukeltas į 2026 m.</t>
  </si>
  <si>
    <t>L/d „Vaikystė" - tik rugsėjo mėnesį gauta teigiama projekto ekspertizė, rangos pirkimas inicijuotas. Ranga 2026 m.</t>
  </si>
  <si>
    <t xml:space="preserve">Parengtas virtuvės atnaujinimo projektas „Santarvės" gimnazijoje.                              </t>
  </si>
  <si>
    <t>Įvyko XVIII tarptautinis šokio festivalis-konkursas „Aušrinė žvaigždė". Renginiuose dalyvavo šokėjai iš Lietuvos, Latvijos, Estijos, Ukrainos, Danijos, Čekijos, JAV (93 kolektyvai, 2 447 atlikėjai). Visuose festivalio-konkurso renginiuose apsilankė apie 4 300 lankytojų. Įvyko švietimo, mokslo ir verslo partnerystės renginių ciklas „Šiauliai SMART“; galimybių festivalis „Tavo PIN kodas“.</t>
  </si>
  <si>
    <t>2 kartus buvo paskelbti konkursai „Šiaulių miesto centrinio stadiono apšvietimo atnaujinimo darbai" ir abu konkursai buvo nutraukti.</t>
  </si>
  <si>
    <t>Oficialiose tarptautinėse varžybose dalyvavo šios komandos:
1. Šiaulių moterų futbolo komanda „Gintra“;
2. Šiaulių regbio komanda „Baltrex-Šiauliai“ (Baltijos čempionatas R15);
3. Šiaulių vyrų regbio komanda „Vairas-Kalvis-Jupoja-Šiauliai“ (Baltijos čempionatas R15);
4. Šiaulių vyrų regbio komanda „Šiauliai“ (Baltijos čempionatas R15);
5. Šiaulių moterų žolės riedulio komanda „Ginstrektė-ŠSG“(lauko); 
6. Šiaulių moterų žolės riedulio komanda „Ginstrektė-ŠSG“(uždarų patalpų);
7. Šiaulių vyrų žolės riedulio komanda „Ginstrektė“(lauko);
8. Šiaulių moterų krepšinio komanda „Šiauliai-Vilmers";
9. Šiaulių krepšinio komanda „Šiauliai";
10. Šiaulių vyrų paplūdimio tinklinio komanda;                                                     11. Šiaulių vyrų tinklinio komanda „Elga - Grafaitė – S-Sportas“.</t>
  </si>
  <si>
    <t>Šalies čempionatuose dalyvavo šios komandos: 
1. Šiaulių regbio komanda „Baltrex – Šiauliai“  R7;
2. Šiaulių moterų regbio komanda „Baltrex" R7;
3. Šiaulių vyrų regbio komanda „Vairas – Kalvis – Jupoja – Šiauliai“ R7;
4. Šiaulių moterų regbio komanda „Vairas" R7;
5. Šiaulių vyrų regbio komanda „Šiauliai“ R7;
6.  Šiaulių moterų futbolo komanda „Gintra“ ; 
7. Šiaulių moterų žolės riedulio komanda „Ginstrektė – Akademija“ (lauko); 
8. Šiaulių moterų žolės riedulio komanda „Ginstrektė – Akademija“(uždarų patalpų);
9. Šiaulių vyrų žolės riedulio komanda „Ginstrektė“ (lauko);
10. Šiaulių vyrų žolės riedulio komanda „Ginstrektė“ (uždarų patalpų);
11. Šiaulių vyrų tinklinio komanda „Elga - Grafaitė – S-Sportas“; 
12. Šiaulių vyrų rankinio komanda „RK Šiauliai“;                                                13. Šiaulių moterų rankinio komanda;
14. Šiaulių moterų krepšinio komanda „Šiauliai-Vilmers“; 
15. Šiaulių vyrų krepšinio komanda „Šiauliai“;
16. Šiaulių vyrų paplūdimio tinklinio komanda ;                                                   17. Šiaulių vyrų krepšinio komanda RKL B div. „KA Saulė/Šiaulių sporto gimnazija";                                                                                                                   18. Šiaulių vyrų ledo ritulio komanda.</t>
  </si>
  <si>
    <t>11 asmenų su negalia sportuoja aukšto meistriškumo grupėse Šiaulių lengvosios atletikos ir sveikatingumo centre, 6 asmenys su negalia - Šiaulių sporto centre „Dubysa".</t>
  </si>
  <si>
    <t>Nupirkti 2 apsaugoti būstai (sudarytos butų pirkimo - pardavimo sutartys). Butai patikėjimo teise perduoti projekto partneriui - Kompleksinių paslaugų namai „Alka".  Vyko grupinio gyvenimo namų techninio projekto parengimas.</t>
  </si>
  <si>
    <t>2 partneriai vykdė socialinių dirbtuvių veiklą  - VšĮ Socialinių inovacijų centras ir Kompleksinių paslaugų namai „Alka".</t>
  </si>
  <si>
    <t xml:space="preserve">2025-05-28 pasirašyta finansavimo sutartis su nauja šeimyna „Stebuklas". Šiaulių miesto savivaldybėje 2025 m. veikė 5 šeimynos.
</t>
  </si>
  <si>
    <t xml:space="preserve">Akredituotas soc. priežiūros paslaugas - palydėjimo paslaugas jaunuoliams teikia Kompleksinių paslaugų namai „Alka" ir VšĮ Vilniaus SOS vaikų kaimas. 
Per 2025 m. paslaugas gavo 19 jaunuolių. </t>
  </si>
  <si>
    <t>Akredituotas soc. priežiūros paslaugas - pagalbos į namus paslaugas - teikia Šiaulių vyskupijos „Caritas", VšĮ „Nuoširdus rūpestis", VšĮ Nacionalinis socialinės Integracijos institutas ir VšĮ „Sidabrinė pieva", kurie per 2025 m. paslaugas suteikė 297 asmenims. Šiaulių socialinių paslaugų centre pagalbos į namus paslaugas gavo iš viso 294 asmenys. 
2025 m. poreikis patenkintas 82 proc.</t>
  </si>
  <si>
    <t>Nebuvo gauta daugiau prašymų iš reikiamos kvalifikacijos sveikatos srities specialistų.</t>
  </si>
  <si>
    <t xml:space="preserve">Ne visi projekto partneriai 2025 m. pritraukė planuotą sveikatos specialistų skaičių. </t>
  </si>
  <si>
    <t>Platformoje „siauliai.lt” realizuota galimybė teikti informaciją gestų kalba ir lengvai suprantama kalba. Sukelta visa turima informacija: tekstai ir video įrašai. Buvo dirbama ties patogesniu video įrašų meniu išdėstymu bei apjungiančios kelis svetainės tekstus talpinimu, atlikti patobulinimai „siauliai.lt” meniu punktams ir įgalinta funkcija valdymui rankiniu būdu bei vartotojui patogesniu būdu.</t>
  </si>
  <si>
    <t>Lygių galimybių, lyčių lygybės ir apsaugos nuo smurto artimoje aplinkoje fukcijos įgyvendinimas yra spendžiamas kitais būdais.</t>
  </si>
  <si>
    <t xml:space="preserve">2025-04-01 sudaryta Savivaldybės biudžeto lėšų naudojimo gaisrų prevencijos programos priemonėms įgyvendinti sutartis Nr. SŽ-565 su PAGD prie VRM Šiaulių priešgaisrine valdyba. </t>
  </si>
  <si>
    <t>I ketv. buvo įvykdytas viešasis pirkimas „Žmonių su negalia panduso tarp Tilžės g. 140 ir 144, Šiauliai, techninio darbo projekto parengimas“. II ketv. buvo pasirašyta sutartis su architektų įmone dėl neįgaliųjų panduso techninio darbo projekto parengimo. Tačiau 2025-06-30 įstaiga nutraukė sutartį su architektų įmone šalių susitarimu.</t>
  </si>
  <si>
    <t>Kadangi nebuvo parengtas techninis darbo projektas, darbai nebuvo vykdomi.</t>
  </si>
  <si>
    <t xml:space="preserve">III ketv. Palaidojimo vietos antžeminės dalies sutvarkymo projektas parengtas.
IV ketv. Sėkmingai užbaigtas Antrojo pasaulinio karo Sovietų Sąjungos karių palaikų perkėlimo ir laidojimo vietos pažymėjimo projektinės dokumentacijos parengimas. Įgyvendinant archeologinių tyrimų atlikimo ir žmonių palaikų ekshumavimo paslaugos sutartį, archeologai parengė archeologinių tyrimų projektą.  2025 m. rugpjūčio 27 d. priimtas Lietuvos Respublikos vyriausybės nutarimas reglamentuojantis Antrojo pasaulinio karo Sovietų Sąjungos ir kitų šalių, propaguojančių totalitarinius, autoritarinius režimus ir jų ideologiją, karių palaikų perkėlimo ir laidojimo vietos paženklinimo tvarką. Vadovaujantis minėtu nutarimu parengtas Šiaulių miesto savivaldybės tarybos sprendimas dėl Laikinosios karių palaikų perkėlimo ir laidojimo vietos paženklinimo komisijos sudarymo ir nuostatų patvirtinimo. 2025 09 05 įvyko minėtos komisijos posėdis, po kurio parengtas Šiaulių miesto savivaldybės tarybos sprendimas "Dėl karių palaikų perkėlimo ir karių palaikų laidojimo vietos paženklinimo". Archeologai sėkmingai gavo leidimą atlikti archeologinius tyrimus. </t>
  </si>
  <si>
    <t>Archeologiniai tyrimai buvo pradėti esamoje palaikų palaidojimo vietoje Prisikėlimo aikštėje, tačiau susidarius nepalankioms klimato sąlygoms, žiemos laikotarpiu jie sustabdyti ir bus tęsiami 2026 m. pavasarį.</t>
  </si>
  <si>
    <t xml:space="preserve">Dalinis finansavimas buvo skiriamas 5 projektų paraiškų teikėjams, tačiau viena organizacija atsisakė skiriamo dalinio finansavimo, nes lėšų nepakako tinkamam projekto įgyvendinimui. </t>
  </si>
  <si>
    <t xml:space="preserve">Įsigyta dalis įrangos pacientų būklei stebėti. </t>
  </si>
  <si>
    <t>I ketv. apmokėtas likutis už priedangos įrengimą Dainų muzikos mokykloje, išvežtos atliekos iš priedangų, įsigytas palydovinis telefonas.
II ketv. apmokėta už 500 vnt. sulankstomų lovų ir 500 vnt. miegmaišių KAS, už nupirktų generatorių pajungimo projektavimo paslaugas, nupirkta: 60 vnt. gesintuvų, 50 vnt. biotualetų su užpildu ir 127 vnt. radijo imtuvų,  60 vnt. šiukšlių maišų rulonų,  60 vnt. vaistinėlių priedangoms ir 76 vnt. vaistinėlių KAS, baigtos vežti atliekos iš priedangų.
III ketv. nupirkta: 60 vnt. kibirų, 1 520 vnt. vandens talpų, 60 vnt.  prožektorių, Lietuvos Raudonojo Kryžiaus draugijai kompensuota pagal pagalbos sutartį.
IV ketv. Nupirktos visos planuotos smulkios priemonės priedangoms, kurios bus dalinamos 2026 m.</t>
  </si>
  <si>
    <t>I ketv. palūkanų mokėjimas už paskolas įvykdytas 80%;
II ketv. palūkanų mokėjimas už paskolas įvykdytas 76,2%;
III ketv. palūkanų mokėjimas už paskolas įvykdytas 68,2%; 
IV ketv. palūkanų mokėjimas už paskolas už metus įvykdytas 62,2 %. Palūkanos mokamos nuo faktinio paskolų likučio.</t>
  </si>
  <si>
    <r>
      <t xml:space="preserve"> 2025 m. pavasarį parengta techninio darbo projekto užduotis ir  reikalingi dokumentai pirkimui, CVP IS paskelbtas techninio darbo projekto parengimo ir projekto vykdymo priežiūros atviras konkursas (supaprastintas). Pirkimą vykdė ŠAC.</t>
    </r>
    <r>
      <rPr>
        <sz val="10"/>
        <rFont val="Times New Roman"/>
        <family val="1"/>
        <charset val="186"/>
      </rPr>
      <t xml:space="preserve"> Konkursas neįvyko – </t>
    </r>
    <r>
      <rPr>
        <sz val="10"/>
        <color rgb="FF000000"/>
        <rFont val="Times New Roman"/>
        <family val="1"/>
        <charset val="186"/>
      </rPr>
      <t xml:space="preserve">negauta nei vieno pasiūlymo. Po neįvykusio konkurso buvo vykdyta rinkos apklausa, irgi negauta nei vieno pasiūlymo. Nuspręsta pirkti architektūrinę idėją – mažos vertės pirkimas apklausos raštu būdu, pagal kurią galima būtų parengti tikslesnę techninės užduoties specifikaciją. </t>
    </r>
  </si>
  <si>
    <t>Parengta architektūrinė idėja Šiaulių dailės galerijos renovacijos vizijos plėtrai  ir tikslesnės techninės dokumentacijos  parengimui 2026 m.</t>
  </si>
  <si>
    <t xml:space="preserve">Atlikti mokėjimai už darbus juodojoje dėmėje  V. Kudirkos g. ruože (prie sankryžos su Aušros al.). Fiziniai darbai šioje juodojoje dėmėje pilnai baigti, tačiau nebaigta tvarkyti dokumentacija. </t>
  </si>
  <si>
    <t>Dažniausiai TIC veiklos statistiniai rezultatai išlieka už įstaigos ribų, o ne jos viduje. Taip TIC nebeturi teisės statistiškai fiksuoti turistų.</t>
  </si>
  <si>
    <t>Buvo atlikta Futbolo ir regbio maniežo (J. Jablonskio g. 14, Šiauliai) statybos darbų: žemės darbai, pamatų įrengimas, laikančiųjų konstrukcijų montavimas, pagrindinio pastato administracinės dalies konstrukcijų įrengimas, fasado apdaila, stiklinių vitrinų įrengimas, stogo konstrukcijų įrengimąas. Taip pat įrengtos vidaus inžinerinės sistemos: elektros, vandentiekio, nuotekų, šildymo, vėdinimo ir priešgaisrinės saugos sistemos bei atlikta dalis vidaus apdailos darbų.</t>
  </si>
  <si>
    <r>
      <t xml:space="preserve">Lėšų užteko tik 8 įstaigoms. Centro pradinės mokyklos  aikštelės darbai perkelti į 2026 m. dėl </t>
    </r>
    <r>
      <rPr>
        <i/>
        <sz val="10"/>
        <color rgb="FF000000"/>
        <rFont val="Times New Roman"/>
        <family val="1"/>
        <charset val="186"/>
      </rPr>
      <t>„force majeure"</t>
    </r>
    <r>
      <rPr>
        <sz val="10"/>
        <color rgb="FF000000"/>
        <rFont val="Times New Roman"/>
        <family val="1"/>
        <charset val="186"/>
      </rPr>
      <t xml:space="preserve"> aplinkybių.</t>
    </r>
  </si>
  <si>
    <t xml:space="preserve">Įrengtas laiptų pritaikymas regos negalią turintiems vaikams ,,Romuvos" progimnazijoje; lifto įrengimo darbai baigti Salduvės progimnazijoje;  įrengta panduso ir pagalbinė aikštelė Gytarių progimnazijoje. 
</t>
  </si>
  <si>
    <t>Dailės mokykloje lifto įrengimas beveik pabaigtas, baigiamieji darbai bus atlikti kartu su kitais pritaikymo neįgaliesiems darbais 2026 m.</t>
  </si>
  <si>
    <t xml:space="preserve">II ketv. Šiauliai buvo tapę Anglijos lietuvių diasporai skirto renginio „Didžiosios Joninės UK 2025“ generaliniais rėmėjas. Informacija ir renginio afišos buvo skelbiamos tarptautiniame internetiniame žurnale www.londoniete.com;
III ketv. užsakyta Šiaulių miesto reklama Rygos miesto ekranuose. Šiaulių reklama – du skirtingo tipo ir vaizdinio turinio klipai transliuoti Rygos mieste prekybos centrų vidaus ekranuose, didelio formato lauko ekrane ir mieste esančiuose el. afišų stenduose;
IV ketv. Šiaulių miesto atstovai dalyvavo Lietuvos ambasadoje Londone vykusiame renginyje „Back to Lithuania“. Informacija ir renginio afišos buvo skelbiamos tarptautiniame internetiniame žurnale www.londoniete.com.
</t>
  </si>
  <si>
    <t>Nepilnamečių, įtariamų padarius nusikalstamas veikas, skaičius, tenkantis 100 tūkst. 14-17 metų amžiaus vaikų</t>
  </si>
  <si>
    <t>Viso 01 programos priemonių</t>
  </si>
  <si>
    <t>Priemonė buvo įvykdyta pagal planą</t>
  </si>
  <si>
    <t>Vykdant priemonę buvo pasiekta vertinimo kriterijų reikšmių mažiau nei 50 %</t>
  </si>
  <si>
    <t>Vykdant priemonę buvo pasiekta vertinimo kriterijų reikšmių 50 % ir daugiau</t>
  </si>
  <si>
    <t>Vykdant priemonę buvo pasiekta daugiau vertinimo kriterijų reikšmių nei planuota</t>
  </si>
  <si>
    <t>Priemonė neįvykdyta, t.y. nepasiekta planuota vertinimo kriterijų reikšmė</t>
  </si>
  <si>
    <t>Viso priemonių:</t>
  </si>
  <si>
    <t>Viso 02 programos priemonių</t>
  </si>
  <si>
    <t>Viso 03 programos priemonių</t>
  </si>
  <si>
    <t>Viso 04 programos priemonių</t>
  </si>
  <si>
    <t>Viso 05 programos priemonių</t>
  </si>
  <si>
    <t>Viso 06 programos priemonių</t>
  </si>
  <si>
    <t>Viso 07 programos priemonių</t>
  </si>
  <si>
    <t>Viso 08 programos priemonių</t>
  </si>
  <si>
    <t>Viso 09 programos priemonių</t>
  </si>
  <si>
    <t>tūkst. Eur</t>
  </si>
  <si>
    <t>ŠIAULIŲ MIESTO SAVIVALDYBĖS 2025-2027 M. STRATEGINIO VEIKLOS PLANO PRIEMONIŲ ĮGYVENDINIMO 2025 M. ATASKAITA</t>
  </si>
  <si>
    <t>2025 metų patikslinti asignavimai metų</t>
  </si>
  <si>
    <t>Asignavimų likutis nuo 2025 metų patikslintų asignavimų metų</t>
  </si>
  <si>
    <t>Nėra statistinių duomenų už 2025 m.</t>
  </si>
  <si>
    <t xml:space="preserve">Šiaulių miesto savivaldybės 2025 metų veiklos ataskaitos priedas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</si>
</sst>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2" x14ac:knownFonts="1">
    <font>
      <sz val="11"/>
      <color rgb="FF000000"/>
      <name val="Calibri"/>
      <family val="2"/>
    </font>
    <font>
      <sz val="10"/>
      <color rgb="FF000000"/>
      <name val="Times New Roman"/>
      <family val="1"/>
      <charset val="186"/>
    </font>
    <font>
      <b/>
      <sz val="11"/>
      <color rgb="FF000000"/>
      <name val="Times New Roman"/>
      <family val="1"/>
      <charset val="186"/>
    </font>
    <font>
      <sz val="11"/>
      <color rgb="FF000000"/>
      <name val="Times New Roman"/>
      <family val="1"/>
      <charset val="186"/>
    </font>
    <font>
      <b/>
      <sz val="9"/>
      <color rgb="FF000000"/>
      <name val="Times New Roman"/>
      <family val="1"/>
      <charset val="186"/>
    </font>
    <font>
      <b/>
      <sz val="10"/>
      <color rgb="FF000000"/>
      <name val="Times New Roman"/>
      <family val="1"/>
      <charset val="186"/>
    </font>
    <font>
      <sz val="10"/>
      <color rgb="FFFF0000"/>
      <name val="Times New Roman"/>
      <family val="1"/>
      <charset val="186"/>
    </font>
    <font>
      <sz val="10"/>
      <name val="Times New Roman"/>
      <family val="1"/>
      <charset val="186"/>
    </font>
    <font>
      <sz val="10"/>
      <color rgb="FFED0000"/>
      <name val="Times New Roman"/>
      <family val="1"/>
      <charset val="186"/>
    </font>
    <font>
      <sz val="10"/>
      <color theme="1"/>
      <name val="Times New Roman"/>
      <family val="1"/>
      <charset val="186"/>
    </font>
    <font>
      <b/>
      <sz val="10"/>
      <color rgb="FFFF0000"/>
      <name val="Times New Roman"/>
      <family val="1"/>
      <charset val="186"/>
    </font>
    <font>
      <sz val="11"/>
      <name val="Times New Roman"/>
      <family val="1"/>
      <charset val="186"/>
    </font>
    <font>
      <b/>
      <sz val="10"/>
      <name val="Times New Roman"/>
      <family val="1"/>
      <charset val="186"/>
    </font>
    <font>
      <sz val="10"/>
      <color rgb="FF7030A0"/>
      <name val="Times New Roman"/>
      <family val="1"/>
      <charset val="186"/>
    </font>
    <font>
      <sz val="11"/>
      <color rgb="FFDE0000"/>
      <name val="Times New Roman"/>
      <family val="1"/>
      <charset val="186"/>
    </font>
    <font>
      <i/>
      <sz val="10"/>
      <color rgb="FF000000"/>
      <name val="Times New Roman"/>
      <family val="1"/>
      <charset val="186"/>
    </font>
    <font>
      <sz val="11"/>
      <color rgb="FF000000"/>
      <name val="Calibri"/>
      <family val="2"/>
    </font>
    <font>
      <sz val="12"/>
      <color rgb="FF000000"/>
      <name val="Calibri"/>
      <family val="2"/>
      <charset val="186"/>
    </font>
    <font>
      <b/>
      <sz val="12"/>
      <name val="Times New Roman"/>
      <family val="1"/>
      <charset val="186"/>
    </font>
    <font>
      <sz val="12"/>
      <name val="Times New Roman"/>
      <family val="1"/>
      <charset val="186"/>
    </font>
    <font>
      <b/>
      <sz val="12"/>
      <color rgb="FF000000"/>
      <name val="Times New Roman"/>
      <family val="1"/>
      <charset val="186"/>
    </font>
    <font>
      <sz val="9.6999999999999993"/>
      <color rgb="FF000000"/>
      <name val="Times New Roman"/>
      <family val="1"/>
      <charset val="186"/>
    </font>
  </fonts>
  <fills count="15">
    <fill>
      <patternFill patternType="none"/>
    </fill>
    <fill>
      <patternFill patternType="gray125"/>
    </fill>
    <fill>
      <patternFill patternType="none">
        <fgColor rgb="FF000000"/>
        <bgColor rgb="FF000000"/>
      </patternFill>
    </fill>
    <fill>
      <patternFill patternType="solid">
        <fgColor rgb="FFD8FAD4"/>
        <bgColor rgb="FFD8FAD4"/>
      </patternFill>
    </fill>
    <fill>
      <patternFill patternType="solid">
        <fgColor rgb="FFFAEE80"/>
        <bgColor rgb="FFFAEE80"/>
      </patternFill>
    </fill>
    <fill>
      <patternFill patternType="solid">
        <fgColor rgb="FFEBEBEB"/>
        <bgColor rgb="FFEBEBEB"/>
      </patternFill>
    </fill>
    <fill>
      <patternFill patternType="solid">
        <fgColor rgb="FFD8FAD4"/>
        <bgColor indexed="64"/>
      </patternFill>
    </fill>
    <fill>
      <patternFill patternType="solid">
        <fgColor theme="0" tint="-0.14999847407452621"/>
        <bgColor indexed="64"/>
      </patternFill>
    </fill>
    <fill>
      <patternFill patternType="solid">
        <fgColor rgb="FFE2EFDA"/>
        <bgColor indexed="64"/>
      </patternFill>
    </fill>
    <fill>
      <patternFill patternType="solid">
        <fgColor theme="9" tint="0.79998168889431442"/>
        <bgColor indexed="64"/>
      </patternFill>
    </fill>
    <fill>
      <patternFill patternType="solid">
        <fgColor rgb="FFFFC000"/>
        <bgColor indexed="64"/>
      </patternFill>
    </fill>
    <fill>
      <patternFill patternType="solid">
        <fgColor rgb="FFD4D4D4"/>
        <bgColor indexed="64"/>
      </patternFill>
    </fill>
    <fill>
      <patternFill patternType="solid">
        <fgColor rgb="FFFFCCCC"/>
        <bgColor indexed="64"/>
      </patternFill>
    </fill>
    <fill>
      <patternFill patternType="solid">
        <fgColor rgb="FFFFC6C6"/>
        <bgColor indexed="64"/>
      </patternFill>
    </fill>
    <fill>
      <patternFill patternType="solid">
        <fgColor rgb="FFFCE4D6"/>
        <bgColor indexed="64"/>
      </patternFill>
    </fill>
  </fills>
  <borders count="114">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style="thin">
        <color rgb="FF000000"/>
      </left>
      <right style="thin">
        <color rgb="FF000000"/>
      </right>
      <top/>
      <bottom style="medium">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style="medium">
        <color rgb="FF000000"/>
      </right>
      <top style="medium">
        <color rgb="FF000000"/>
      </top>
      <bottom/>
      <diagonal/>
    </border>
    <border>
      <left style="thin">
        <color rgb="FF000000"/>
      </left>
      <right style="medium">
        <color rgb="FF000000"/>
      </right>
      <top/>
      <bottom/>
      <diagonal/>
    </border>
    <border>
      <left style="thin">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medium">
        <color rgb="FF000000"/>
      </top>
      <bottom/>
      <diagonal/>
    </border>
    <border>
      <left/>
      <right style="medium">
        <color rgb="FF000000"/>
      </right>
      <top style="medium">
        <color rgb="FF000000"/>
      </top>
      <bottom/>
      <diagonal/>
    </border>
    <border>
      <left style="thin">
        <color rgb="FF000000"/>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rgb="FF000000"/>
      </right>
      <top style="thin">
        <color rgb="FF000000"/>
      </top>
      <bottom style="medium">
        <color indexed="64"/>
      </bottom>
      <diagonal/>
    </border>
    <border>
      <left style="thin">
        <color rgb="FF000000"/>
      </left>
      <right/>
      <top/>
      <bottom/>
      <diagonal/>
    </border>
    <border>
      <left/>
      <right style="medium">
        <color rgb="FF000000"/>
      </right>
      <top/>
      <bottom/>
      <diagonal/>
    </border>
    <border>
      <left style="thin">
        <color rgb="FF000000"/>
      </left>
      <right style="thin">
        <color indexed="64"/>
      </right>
      <top style="medium">
        <color rgb="FF000000"/>
      </top>
      <bottom/>
      <diagonal/>
    </border>
    <border>
      <left style="thin">
        <color rgb="FF000000"/>
      </left>
      <right style="thin">
        <color indexed="64"/>
      </right>
      <top/>
      <bottom style="medium">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medium">
        <color rgb="FF000000"/>
      </top>
      <bottom style="thin">
        <color indexed="64"/>
      </bottom>
      <diagonal/>
    </border>
    <border>
      <left/>
      <right style="thin">
        <color rgb="FF000000"/>
      </right>
      <top style="thin">
        <color rgb="FF000000"/>
      </top>
      <bottom/>
      <diagonal/>
    </border>
    <border>
      <left/>
      <right style="thin">
        <color rgb="FF000000"/>
      </right>
      <top/>
      <bottom/>
      <diagonal/>
    </border>
    <border>
      <left style="thin">
        <color rgb="FF000000"/>
      </left>
      <right style="thin">
        <color rgb="FF000000"/>
      </right>
      <top style="thin">
        <color indexed="64"/>
      </top>
      <bottom style="medium">
        <color indexed="64"/>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medium">
        <color indexed="64"/>
      </top>
      <bottom style="medium">
        <color indexed="64"/>
      </bottom>
      <diagonal/>
    </border>
    <border>
      <left style="thin">
        <color rgb="FF000000"/>
      </left>
      <right style="thin">
        <color rgb="FF000000"/>
      </right>
      <top style="medium">
        <color indexed="64"/>
      </top>
      <bottom/>
      <diagonal/>
    </border>
    <border>
      <left style="thin">
        <color rgb="FF000000"/>
      </left>
      <right style="thin">
        <color rgb="FF000000"/>
      </right>
      <top style="medium">
        <color indexed="64"/>
      </top>
      <bottom style="thin">
        <color indexed="64"/>
      </bottom>
      <diagonal/>
    </border>
    <border>
      <left style="thin">
        <color rgb="FF000000"/>
      </left>
      <right style="thin">
        <color rgb="FF000000"/>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top style="medium">
        <color rgb="FF000000"/>
      </top>
      <bottom style="thin">
        <color rgb="FF000000"/>
      </bottom>
      <diagonal/>
    </border>
    <border>
      <left style="thin">
        <color rgb="FF000000"/>
      </left>
      <right style="medium">
        <color rgb="FF000000"/>
      </right>
      <top/>
      <bottom style="thin">
        <color rgb="FF000000"/>
      </bottom>
      <diagonal/>
    </border>
    <border>
      <left style="thin">
        <color indexed="64"/>
      </left>
      <right/>
      <top style="medium">
        <color rgb="FF000000"/>
      </top>
      <bottom style="medium">
        <color rgb="FF000000"/>
      </bottom>
      <diagonal/>
    </border>
    <border>
      <left/>
      <right style="medium">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thin">
        <color rgb="FF000000"/>
      </right>
      <top style="medium">
        <color rgb="FF000000"/>
      </top>
      <bottom style="medium">
        <color indexed="64"/>
      </bottom>
      <diagonal/>
    </border>
    <border>
      <left style="medium">
        <color rgb="FF000000"/>
      </left>
      <right style="thin">
        <color rgb="FF000000"/>
      </right>
      <top/>
      <bottom style="thin">
        <color rgb="FF000000"/>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rgb="FF000000"/>
      </right>
      <top/>
      <bottom style="medium">
        <color indexed="64"/>
      </bottom>
      <diagonal/>
    </border>
    <border>
      <left style="thin">
        <color rgb="FF000000"/>
      </left>
      <right/>
      <top style="thin">
        <color rgb="FF000000"/>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medium">
        <color indexed="64"/>
      </right>
      <top style="medium">
        <color indexed="64"/>
      </top>
      <bottom/>
      <diagonal/>
    </border>
    <border>
      <left style="medium">
        <color indexed="64"/>
      </left>
      <right style="thin">
        <color rgb="FF000000"/>
      </right>
      <top/>
      <bottom/>
      <diagonal/>
    </border>
    <border>
      <left style="thin">
        <color indexed="64"/>
      </left>
      <right style="medium">
        <color indexed="64"/>
      </right>
      <top style="thin">
        <color indexed="64"/>
      </top>
      <bottom style="thin">
        <color indexed="64"/>
      </bottom>
      <diagonal/>
    </border>
    <border>
      <left style="thin">
        <color rgb="FF000000"/>
      </left>
      <right style="medium">
        <color indexed="64"/>
      </right>
      <top/>
      <bottom style="medium">
        <color indexed="64"/>
      </bottom>
      <diagonal/>
    </border>
    <border>
      <left style="thin">
        <color rgb="FF000000"/>
      </left>
      <right style="medium">
        <color rgb="FF000000"/>
      </right>
      <top style="medium">
        <color rgb="FF000000"/>
      </top>
      <bottom style="thin">
        <color indexed="64"/>
      </bottom>
      <diagonal/>
    </border>
    <border>
      <left/>
      <right/>
      <top style="medium">
        <color rgb="FF000000"/>
      </top>
      <bottom/>
      <diagonal/>
    </border>
    <border>
      <left style="thin">
        <color rgb="FF000000"/>
      </left>
      <right style="medium">
        <color indexed="64"/>
      </right>
      <top style="thin">
        <color rgb="FF000000"/>
      </top>
      <bottom style="medium">
        <color indexed="64"/>
      </bottom>
      <diagonal/>
    </border>
    <border>
      <left style="thin">
        <color rgb="FF000000"/>
      </left>
      <right style="thin">
        <color indexed="64"/>
      </right>
      <top style="medium">
        <color rgb="FF000000"/>
      </top>
      <bottom style="thin">
        <color rgb="FF000000"/>
      </bottom>
      <diagonal/>
    </border>
    <border>
      <left style="thin">
        <color rgb="FF000000"/>
      </left>
      <right style="thin">
        <color indexed="64"/>
      </right>
      <top style="thin">
        <color rgb="FF000000"/>
      </top>
      <bottom style="thin">
        <color rgb="FF000000"/>
      </bottom>
      <diagonal/>
    </border>
    <border>
      <left/>
      <right style="thin">
        <color rgb="FF000000"/>
      </right>
      <top style="medium">
        <color rgb="FF000000"/>
      </top>
      <bottom/>
      <diagonal/>
    </border>
    <border>
      <left/>
      <right style="thin">
        <color rgb="FF000000"/>
      </right>
      <top/>
      <bottom style="medium">
        <color rgb="FF000000"/>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medium">
        <color rgb="FF000000"/>
      </bottom>
      <diagonal/>
    </border>
    <border>
      <left style="thin">
        <color rgb="FF000000"/>
      </left>
      <right style="medium">
        <color indexed="64"/>
      </right>
      <top style="medium">
        <color indexed="64"/>
      </top>
      <bottom style="thin">
        <color rgb="FF000000"/>
      </bottom>
      <diagonal/>
    </border>
    <border>
      <left/>
      <right/>
      <top/>
      <bottom style="medium">
        <color indexed="64"/>
      </bottom>
      <diagonal/>
    </border>
    <border>
      <left/>
      <right style="thin">
        <color rgb="FF000000"/>
      </right>
      <top style="medium">
        <color indexed="64"/>
      </top>
      <bottom/>
      <diagonal/>
    </border>
    <border>
      <left style="thin">
        <color rgb="FF000000"/>
      </left>
      <right style="medium">
        <color rgb="FF000000"/>
      </right>
      <top style="medium">
        <color indexed="64"/>
      </top>
      <bottom/>
      <diagonal/>
    </border>
    <border>
      <left style="medium">
        <color indexed="64"/>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rgb="FF000000"/>
      </left>
      <right style="medium">
        <color indexed="64"/>
      </right>
      <top style="thin">
        <color rgb="FF000000"/>
      </top>
      <bottom style="thin">
        <color rgb="FF000000"/>
      </bottom>
      <diagonal/>
    </border>
    <border>
      <left/>
      <right style="thin">
        <color rgb="FF000000"/>
      </right>
      <top/>
      <bottom style="medium">
        <color indexed="64"/>
      </bottom>
      <diagonal/>
    </border>
    <border>
      <left style="thin">
        <color rgb="FF000000"/>
      </left>
      <right style="medium">
        <color indexed="64"/>
      </right>
      <top style="thin">
        <color rgb="FF000000"/>
      </top>
      <bottom/>
      <diagonal/>
    </border>
    <border>
      <left style="thin">
        <color rgb="FF000000"/>
      </left>
      <right style="thin">
        <color rgb="FF000000"/>
      </right>
      <top style="thin">
        <color indexed="64"/>
      </top>
      <bottom/>
      <diagonal/>
    </border>
    <border>
      <left style="medium">
        <color rgb="FF000000"/>
      </left>
      <right/>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rgb="FF000000"/>
      </left>
      <right style="medium">
        <color indexed="64"/>
      </right>
      <top/>
      <bottom style="thin">
        <color rgb="FF000000"/>
      </bottom>
      <diagonal/>
    </border>
    <border>
      <left/>
      <right style="medium">
        <color indexed="64"/>
      </right>
      <top style="thin">
        <color rgb="FF000000"/>
      </top>
      <bottom style="medium">
        <color indexed="64"/>
      </bottom>
      <diagonal/>
    </border>
    <border>
      <left style="thin">
        <color rgb="FF000000"/>
      </left>
      <right style="medium">
        <color indexed="64"/>
      </right>
      <top style="medium">
        <color indexed="64"/>
      </top>
      <bottom style="thin">
        <color indexed="64"/>
      </bottom>
      <diagonal/>
    </border>
    <border>
      <left/>
      <right/>
      <top/>
      <bottom style="medium">
        <color rgb="FF000000"/>
      </bottom>
      <diagonal/>
    </border>
    <border>
      <left style="thin">
        <color rgb="FF000000"/>
      </left>
      <right style="thin">
        <color indexed="64"/>
      </right>
      <top style="medium">
        <color indexed="64"/>
      </top>
      <bottom style="thin">
        <color rgb="FF000000"/>
      </bottom>
      <diagonal/>
    </border>
    <border>
      <left/>
      <right style="medium">
        <color indexed="64"/>
      </right>
      <top style="medium">
        <color indexed="64"/>
      </top>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top style="medium">
        <color indexed="64"/>
      </top>
      <bottom/>
      <diagonal/>
    </border>
    <border>
      <left/>
      <right style="medium">
        <color indexed="64"/>
      </right>
      <top/>
      <bottom/>
      <diagonal/>
    </border>
    <border>
      <left style="thin">
        <color rgb="FF000000"/>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s>
  <cellStyleXfs count="2">
    <xf numFmtId="0" fontId="0" fillId="0" borderId="0" applyBorder="0"/>
    <xf numFmtId="0" fontId="16" fillId="2" borderId="0" applyBorder="0"/>
  </cellStyleXfs>
  <cellXfs count="538">
    <xf numFmtId="0" fontId="0" fillId="0" borderId="0" xfId="0"/>
    <xf numFmtId="0" fontId="1" fillId="0" borderId="0" xfId="0" applyFont="1" applyBorder="1" applyAlignment="1">
      <alignment wrapText="1"/>
    </xf>
    <xf numFmtId="0" fontId="2" fillId="2" borderId="0" xfId="0" applyFont="1" applyFill="1" applyAlignment="1">
      <alignment horizontal="center"/>
    </xf>
    <xf numFmtId="0" fontId="3" fillId="2" borderId="0" xfId="0" applyFont="1" applyFill="1" applyAlignment="1">
      <alignment horizontal="center"/>
    </xf>
    <xf numFmtId="0" fontId="3" fillId="0" borderId="0" xfId="0" applyFont="1"/>
    <xf numFmtId="0" fontId="4" fillId="0" borderId="3" xfId="0" applyFont="1" applyBorder="1" applyAlignment="1">
      <alignment horizontal="center" readingOrder="1"/>
    </xf>
    <xf numFmtId="0" fontId="1" fillId="4" borderId="7" xfId="0" applyFont="1" applyFill="1" applyBorder="1" applyAlignment="1" applyProtection="1">
      <alignment vertical="top" readingOrder="1"/>
      <protection locked="0"/>
    </xf>
    <xf numFmtId="0" fontId="1" fillId="4" borderId="8" xfId="0" applyFont="1" applyFill="1" applyBorder="1" applyAlignment="1" applyProtection="1">
      <alignment horizontal="left" vertical="top" readingOrder="1"/>
      <protection locked="0"/>
    </xf>
    <xf numFmtId="164" fontId="1" fillId="4" borderId="8" xfId="0" applyNumberFormat="1" applyFont="1" applyFill="1" applyBorder="1" applyAlignment="1">
      <alignment horizontal="right" vertical="top" readingOrder="1"/>
    </xf>
    <xf numFmtId="0" fontId="1" fillId="3" borderId="7" xfId="0" applyFont="1" applyFill="1" applyBorder="1" applyAlignment="1" applyProtection="1">
      <alignment vertical="top" readingOrder="1"/>
      <protection locked="0"/>
    </xf>
    <xf numFmtId="0" fontId="1" fillId="3" borderId="8" xfId="0" applyFont="1" applyFill="1" applyBorder="1" applyAlignment="1" applyProtection="1">
      <alignment horizontal="left" vertical="top" readingOrder="1"/>
      <protection locked="0"/>
    </xf>
    <xf numFmtId="164" fontId="1" fillId="3" borderId="8" xfId="0" applyNumberFormat="1" applyFont="1" applyFill="1" applyBorder="1" applyAlignment="1">
      <alignment horizontal="right" vertical="top" readingOrder="1"/>
    </xf>
    <xf numFmtId="0" fontId="1" fillId="3" borderId="8" xfId="0" applyFont="1" applyFill="1" applyBorder="1" applyAlignment="1" applyProtection="1">
      <alignment horizontal="center" vertical="top" readingOrder="1"/>
      <protection locked="0"/>
    </xf>
    <xf numFmtId="0" fontId="1" fillId="0" borderId="7" xfId="0" applyFont="1" applyBorder="1" applyAlignment="1" applyProtection="1">
      <alignment vertical="top" readingOrder="1"/>
      <protection locked="0"/>
    </xf>
    <xf numFmtId="0" fontId="1" fillId="0" borderId="8" xfId="0" applyFont="1" applyBorder="1" applyAlignment="1" applyProtection="1">
      <alignment horizontal="left" vertical="top" readingOrder="1"/>
      <protection locked="0"/>
    </xf>
    <xf numFmtId="164" fontId="1" fillId="0" borderId="8" xfId="0" applyNumberFormat="1" applyFont="1" applyBorder="1" applyAlignment="1">
      <alignment horizontal="right" vertical="top" readingOrder="1"/>
    </xf>
    <xf numFmtId="0" fontId="1" fillId="0" borderId="8" xfId="0" applyFont="1" applyBorder="1" applyAlignment="1" applyProtection="1">
      <alignment horizontal="center" vertical="top" readingOrder="1"/>
      <protection locked="0"/>
    </xf>
    <xf numFmtId="0" fontId="1" fillId="0" borderId="8" xfId="0" applyFont="1" applyBorder="1" applyAlignment="1" applyProtection="1">
      <alignment horizontal="right" vertical="top" readingOrder="1"/>
      <protection locked="0"/>
    </xf>
    <xf numFmtId="0" fontId="1" fillId="0" borderId="5" xfId="0" applyFont="1" applyBorder="1" applyAlignment="1" applyProtection="1">
      <alignment vertical="top" readingOrder="1"/>
      <protection locked="0"/>
    </xf>
    <xf numFmtId="0" fontId="1" fillId="0" borderId="1" xfId="0" applyFont="1" applyBorder="1" applyAlignment="1" applyProtection="1">
      <alignment vertical="top" readingOrder="1"/>
      <protection locked="0"/>
    </xf>
    <xf numFmtId="0" fontId="1" fillId="0" borderId="1" xfId="0" applyFont="1" applyBorder="1" applyAlignment="1" applyProtection="1">
      <alignment horizontal="left" vertical="top" readingOrder="1"/>
      <protection locked="0"/>
    </xf>
    <xf numFmtId="164" fontId="1" fillId="0" borderId="1" xfId="0" applyNumberFormat="1" applyFont="1" applyBorder="1" applyAlignment="1" applyProtection="1">
      <alignment horizontal="right" vertical="top" readingOrder="1"/>
      <protection locked="0"/>
    </xf>
    <xf numFmtId="0" fontId="1" fillId="0" borderId="1" xfId="0" applyFont="1" applyBorder="1" applyAlignment="1" applyProtection="1">
      <alignment horizontal="center" vertical="top" readingOrder="1"/>
      <protection locked="0"/>
    </xf>
    <xf numFmtId="0" fontId="1" fillId="0" borderId="1" xfId="0" applyFont="1" applyBorder="1" applyAlignment="1" applyProtection="1">
      <alignment horizontal="right" vertical="top" readingOrder="1"/>
      <protection locked="0"/>
    </xf>
    <xf numFmtId="164" fontId="1" fillId="0" borderId="8" xfId="0" applyNumberFormat="1" applyFont="1" applyBorder="1" applyAlignment="1" applyProtection="1">
      <alignment horizontal="right" vertical="top" readingOrder="1"/>
      <protection locked="0"/>
    </xf>
    <xf numFmtId="0" fontId="1" fillId="2" borderId="0" xfId="0" applyFont="1" applyFill="1" applyAlignment="1" applyProtection="1">
      <alignment vertical="top" readingOrder="1"/>
      <protection locked="0"/>
    </xf>
    <xf numFmtId="0" fontId="1" fillId="2" borderId="0" xfId="0" applyFont="1" applyFill="1" applyAlignment="1" applyProtection="1">
      <alignment horizontal="left" vertical="top" readingOrder="1"/>
      <protection locked="0"/>
    </xf>
    <xf numFmtId="164" fontId="1" fillId="2" borderId="0" xfId="0" applyNumberFormat="1" applyFont="1" applyFill="1" applyAlignment="1" applyProtection="1">
      <alignment horizontal="right" vertical="top" readingOrder="1"/>
      <protection locked="0"/>
    </xf>
    <xf numFmtId="0" fontId="1" fillId="2" borderId="0" xfId="0" applyFont="1" applyFill="1" applyAlignment="1" applyProtection="1">
      <alignment horizontal="center" vertical="top" readingOrder="1"/>
      <protection locked="0"/>
    </xf>
    <xf numFmtId="0" fontId="1" fillId="2" borderId="0" xfId="0" applyFont="1" applyFill="1" applyAlignment="1" applyProtection="1">
      <alignment horizontal="right" vertical="top" readingOrder="1"/>
      <protection locked="0"/>
    </xf>
    <xf numFmtId="0" fontId="3" fillId="2" borderId="0" xfId="0" applyFont="1" applyFill="1"/>
    <xf numFmtId="164" fontId="1" fillId="0" borderId="1" xfId="0" applyNumberFormat="1" applyFont="1" applyBorder="1" applyAlignment="1">
      <alignment horizontal="right" vertical="top" readingOrder="1"/>
    </xf>
    <xf numFmtId="0" fontId="5" fillId="5" borderId="1" xfId="0" applyFont="1" applyFill="1" applyBorder="1" applyAlignment="1" applyProtection="1">
      <alignment vertical="top" readingOrder="1"/>
      <protection locked="0"/>
    </xf>
    <xf numFmtId="164" fontId="5" fillId="5" borderId="1" xfId="0" applyNumberFormat="1" applyFont="1" applyFill="1" applyBorder="1" applyAlignment="1">
      <alignment horizontal="right" vertical="top" readingOrder="1"/>
    </xf>
    <xf numFmtId="0" fontId="3" fillId="0" borderId="0" xfId="0" applyFont="1" applyAlignment="1">
      <alignment wrapText="1"/>
    </xf>
    <xf numFmtId="0" fontId="1" fillId="4" borderId="8" xfId="0" applyFont="1" applyFill="1" applyBorder="1" applyAlignment="1" applyProtection="1">
      <alignment vertical="top" wrapText="1" readingOrder="1"/>
      <protection locked="0"/>
    </xf>
    <xf numFmtId="0" fontId="1" fillId="3" borderId="8" xfId="0" applyFont="1" applyFill="1" applyBorder="1" applyAlignment="1" applyProtection="1">
      <alignment vertical="top" wrapText="1" readingOrder="1"/>
      <protection locked="0"/>
    </xf>
    <xf numFmtId="0" fontId="1" fillId="0" borderId="8" xfId="0" applyFont="1" applyBorder="1" applyAlignment="1" applyProtection="1">
      <alignment vertical="top" wrapText="1" readingOrder="1"/>
      <protection locked="0"/>
    </xf>
    <xf numFmtId="0" fontId="1" fillId="0" borderId="1" xfId="0" applyFont="1" applyBorder="1" applyAlignment="1" applyProtection="1">
      <alignment vertical="top" wrapText="1" readingOrder="1"/>
      <protection locked="0"/>
    </xf>
    <xf numFmtId="0" fontId="1" fillId="2" borderId="0" xfId="0" applyFont="1" applyFill="1" applyAlignment="1" applyProtection="1">
      <alignment vertical="top" wrapText="1" readingOrder="1"/>
      <protection locked="0"/>
    </xf>
    <xf numFmtId="0" fontId="5" fillId="5" borderId="1" xfId="0" applyFont="1" applyFill="1" applyBorder="1" applyAlignment="1" applyProtection="1">
      <alignment horizontal="right" vertical="top" wrapText="1" readingOrder="1"/>
      <protection locked="0"/>
    </xf>
    <xf numFmtId="0" fontId="1" fillId="0" borderId="8" xfId="0" applyFont="1" applyBorder="1" applyAlignment="1" applyProtection="1">
      <alignment horizontal="left" vertical="top" wrapText="1" readingOrder="1"/>
      <protection locked="0"/>
    </xf>
    <xf numFmtId="0" fontId="1" fillId="0" borderId="9" xfId="0" applyFont="1" applyBorder="1" applyAlignment="1" applyProtection="1">
      <alignment horizontal="left" vertical="top" wrapText="1" readingOrder="1"/>
      <protection locked="0"/>
    </xf>
    <xf numFmtId="0" fontId="1" fillId="0" borderId="1" xfId="0" applyFont="1" applyBorder="1" applyAlignment="1" applyProtection="1">
      <alignment horizontal="left" vertical="top" wrapText="1" readingOrder="1"/>
      <protection locked="0"/>
    </xf>
    <xf numFmtId="0" fontId="1" fillId="0" borderId="6" xfId="0" applyFont="1" applyBorder="1" applyAlignment="1" applyProtection="1">
      <alignment horizontal="left" vertical="top" wrapText="1" readingOrder="1"/>
      <protection locked="0"/>
    </xf>
    <xf numFmtId="0" fontId="1" fillId="3" borderId="8" xfId="0" applyFont="1" applyFill="1" applyBorder="1" applyAlignment="1" applyProtection="1">
      <alignment horizontal="left" vertical="top" wrapText="1" readingOrder="1"/>
      <protection locked="0"/>
    </xf>
    <xf numFmtId="2" fontId="3" fillId="0" borderId="0" xfId="0" applyNumberFormat="1" applyFont="1"/>
    <xf numFmtId="2" fontId="4" fillId="0" borderId="3" xfId="0" applyNumberFormat="1" applyFont="1" applyBorder="1" applyAlignment="1">
      <alignment horizontal="center" readingOrder="1"/>
    </xf>
    <xf numFmtId="2" fontId="1" fillId="0" borderId="8" xfId="0" applyNumberFormat="1" applyFont="1" applyBorder="1" applyAlignment="1" applyProtection="1">
      <alignment horizontal="right" vertical="top" readingOrder="1"/>
      <protection locked="0"/>
    </xf>
    <xf numFmtId="2" fontId="1" fillId="2" borderId="0" xfId="0" applyNumberFormat="1" applyFont="1" applyFill="1" applyAlignment="1" applyProtection="1">
      <alignment horizontal="right" vertical="top" readingOrder="1"/>
      <protection locked="0"/>
    </xf>
    <xf numFmtId="0" fontId="1" fillId="3" borderId="8" xfId="0" applyFont="1" applyFill="1" applyBorder="1" applyAlignment="1" applyProtection="1">
      <alignment horizontal="right" vertical="top" readingOrder="1"/>
      <protection locked="0"/>
    </xf>
    <xf numFmtId="164" fontId="1" fillId="3" borderId="8" xfId="0" applyNumberFormat="1" applyFont="1" applyFill="1" applyBorder="1" applyAlignment="1" applyProtection="1">
      <alignment horizontal="right" vertical="top" readingOrder="1"/>
      <protection locked="0"/>
    </xf>
    <xf numFmtId="0" fontId="1" fillId="3" borderId="9" xfId="0" applyFont="1" applyFill="1" applyBorder="1" applyAlignment="1" applyProtection="1">
      <alignment horizontal="left" vertical="top" wrapText="1" readingOrder="1"/>
      <protection locked="0"/>
    </xf>
    <xf numFmtId="3" fontId="1" fillId="0" borderId="8" xfId="0" applyNumberFormat="1" applyFont="1" applyBorder="1" applyAlignment="1" applyProtection="1">
      <alignment horizontal="right" vertical="top" readingOrder="1"/>
      <protection locked="0"/>
    </xf>
    <xf numFmtId="3" fontId="1" fillId="0" borderId="1" xfId="0" applyNumberFormat="1" applyFont="1" applyBorder="1" applyAlignment="1" applyProtection="1">
      <alignment horizontal="right" vertical="top" readingOrder="1"/>
      <protection locked="0"/>
    </xf>
    <xf numFmtId="0" fontId="1" fillId="6" borderId="1" xfId="0" applyFont="1" applyFill="1" applyBorder="1" applyAlignment="1" applyProtection="1">
      <alignment horizontal="left" vertical="top" wrapText="1" readingOrder="1"/>
      <protection locked="0"/>
    </xf>
    <xf numFmtId="0" fontId="1" fillId="6" borderId="1" xfId="0" applyFont="1" applyFill="1" applyBorder="1" applyAlignment="1" applyProtection="1">
      <alignment horizontal="center" vertical="top" readingOrder="1"/>
      <protection locked="0"/>
    </xf>
    <xf numFmtId="0" fontId="1" fillId="6" borderId="1" xfId="0" applyFont="1" applyFill="1" applyBorder="1" applyAlignment="1" applyProtection="1">
      <alignment horizontal="right" vertical="top" readingOrder="1"/>
      <protection locked="0"/>
    </xf>
    <xf numFmtId="0" fontId="1" fillId="0" borderId="30" xfId="0" applyFont="1" applyBorder="1" applyAlignment="1" applyProtection="1">
      <alignment horizontal="left" vertical="top" readingOrder="1"/>
      <protection locked="0"/>
    </xf>
    <xf numFmtId="164" fontId="1" fillId="0" borderId="30" xfId="0" applyNumberFormat="1" applyFont="1" applyBorder="1" applyAlignment="1" applyProtection="1">
      <alignment horizontal="right" vertical="top" readingOrder="1"/>
      <protection locked="0"/>
    </xf>
    <xf numFmtId="0" fontId="1" fillId="0" borderId="30" xfId="0" applyFont="1" applyBorder="1" applyAlignment="1" applyProtection="1">
      <alignment horizontal="left" vertical="top" wrapText="1" readingOrder="1"/>
      <protection locked="0"/>
    </xf>
    <xf numFmtId="0" fontId="1" fillId="0" borderId="30" xfId="0" applyFont="1" applyBorder="1" applyAlignment="1" applyProtection="1">
      <alignment horizontal="center" vertical="top" readingOrder="1"/>
      <protection locked="0"/>
    </xf>
    <xf numFmtId="0" fontId="1" fillId="0" borderId="30" xfId="0" applyFont="1" applyBorder="1" applyAlignment="1" applyProtection="1">
      <alignment horizontal="right" vertical="top" readingOrder="1"/>
      <protection locked="0"/>
    </xf>
    <xf numFmtId="0" fontId="1" fillId="0" borderId="31" xfId="0" applyFont="1" applyBorder="1" applyAlignment="1" applyProtection="1">
      <alignment horizontal="left" vertical="top" wrapText="1" readingOrder="1"/>
      <protection locked="0"/>
    </xf>
    <xf numFmtId="3" fontId="1" fillId="3" borderId="8" xfId="0" applyNumberFormat="1" applyFont="1" applyFill="1" applyBorder="1" applyAlignment="1" applyProtection="1">
      <alignment horizontal="right" vertical="top" readingOrder="1"/>
      <protection locked="0"/>
    </xf>
    <xf numFmtId="3" fontId="1" fillId="6" borderId="1" xfId="0" applyNumberFormat="1" applyFont="1" applyFill="1" applyBorder="1" applyAlignment="1" applyProtection="1">
      <alignment horizontal="right" vertical="top" readingOrder="1"/>
      <protection locked="0"/>
    </xf>
    <xf numFmtId="0" fontId="1" fillId="6" borderId="6" xfId="0" applyFont="1" applyFill="1" applyBorder="1" applyAlignment="1" applyProtection="1">
      <alignment horizontal="left" vertical="top" wrapText="1" readingOrder="1"/>
      <protection locked="0"/>
    </xf>
    <xf numFmtId="164" fontId="1" fillId="0" borderId="38" xfId="0" applyNumberFormat="1" applyFont="1" applyBorder="1" applyAlignment="1" applyProtection="1">
      <alignment horizontal="right" vertical="top" readingOrder="1"/>
      <protection locked="0"/>
    </xf>
    <xf numFmtId="0" fontId="1" fillId="0" borderId="39" xfId="0" applyFont="1" applyBorder="1" applyAlignment="1" applyProtection="1">
      <alignment horizontal="left" vertical="top" wrapText="1" readingOrder="1"/>
      <protection locked="0"/>
    </xf>
    <xf numFmtId="164" fontId="1" fillId="0" borderId="44" xfId="0" applyNumberFormat="1" applyFont="1" applyBorder="1" applyAlignment="1" applyProtection="1">
      <alignment horizontal="right" vertical="top" readingOrder="1"/>
      <protection locked="0"/>
    </xf>
    <xf numFmtId="0" fontId="1" fillId="0" borderId="10" xfId="0" applyFont="1" applyBorder="1" applyAlignment="1" applyProtection="1">
      <alignment horizontal="left" vertical="top" wrapText="1" readingOrder="1"/>
      <protection locked="0"/>
    </xf>
    <xf numFmtId="0" fontId="1" fillId="0" borderId="19" xfId="0" applyFont="1" applyBorder="1" applyAlignment="1" applyProtection="1">
      <alignment horizontal="left" vertical="top" wrapText="1" readingOrder="1"/>
      <protection locked="0"/>
    </xf>
    <xf numFmtId="0" fontId="1" fillId="0" borderId="16" xfId="0" applyFont="1" applyBorder="1" applyAlignment="1" applyProtection="1">
      <alignment horizontal="left" vertical="top" wrapText="1" readingOrder="1"/>
      <protection locked="0"/>
    </xf>
    <xf numFmtId="0" fontId="1" fillId="0" borderId="10" xfId="0" applyFont="1" applyBorder="1" applyAlignment="1" applyProtection="1">
      <alignment horizontal="center" vertical="top" readingOrder="1"/>
      <protection locked="0"/>
    </xf>
    <xf numFmtId="0" fontId="1" fillId="0" borderId="10" xfId="0" applyFont="1" applyBorder="1" applyAlignment="1" applyProtection="1">
      <alignment horizontal="right" vertical="top" readingOrder="1"/>
      <protection locked="0"/>
    </xf>
    <xf numFmtId="0" fontId="1" fillId="0" borderId="19" xfId="0" applyFont="1" applyBorder="1" applyAlignment="1" applyProtection="1">
      <alignment horizontal="center" vertical="top" readingOrder="1"/>
      <protection locked="0"/>
    </xf>
    <xf numFmtId="0" fontId="1" fillId="0" borderId="19" xfId="0" applyFont="1" applyBorder="1" applyAlignment="1" applyProtection="1">
      <alignment horizontal="right" vertical="top" readingOrder="1"/>
      <protection locked="0"/>
    </xf>
    <xf numFmtId="0" fontId="6" fillId="0" borderId="6" xfId="0" applyFont="1" applyBorder="1" applyAlignment="1" applyProtection="1">
      <alignment horizontal="left" vertical="top" wrapText="1" readingOrder="1"/>
      <protection locked="0"/>
    </xf>
    <xf numFmtId="164" fontId="6" fillId="0" borderId="1" xfId="0" applyNumberFormat="1" applyFont="1" applyBorder="1" applyAlignment="1" applyProtection="1">
      <alignment horizontal="right" vertical="top" readingOrder="1"/>
      <protection locked="0"/>
    </xf>
    <xf numFmtId="9" fontId="7" fillId="0" borderId="36" xfId="0" applyNumberFormat="1" applyFont="1" applyBorder="1" applyAlignment="1">
      <alignment horizontal="right" vertical="top" readingOrder="1"/>
    </xf>
    <xf numFmtId="9" fontId="7" fillId="0" borderId="30" xfId="0" applyNumberFormat="1" applyFont="1" applyBorder="1" applyAlignment="1">
      <alignment horizontal="right" vertical="top" readingOrder="1"/>
    </xf>
    <xf numFmtId="164" fontId="8" fillId="0" borderId="1" xfId="0" applyNumberFormat="1" applyFont="1" applyBorder="1" applyAlignment="1" applyProtection="1">
      <alignment horizontal="right" vertical="top" readingOrder="1"/>
      <protection locked="0"/>
    </xf>
    <xf numFmtId="0" fontId="1" fillId="3" borderId="52" xfId="0" applyFont="1" applyFill="1" applyBorder="1" applyAlignment="1" applyProtection="1">
      <alignment horizontal="right" vertical="top" readingOrder="1"/>
      <protection locked="0"/>
    </xf>
    <xf numFmtId="0" fontId="1" fillId="6" borderId="38" xfId="0" applyFont="1" applyFill="1" applyBorder="1" applyAlignment="1" applyProtection="1">
      <alignment horizontal="right" vertical="top" readingOrder="1"/>
      <protection locked="0"/>
    </xf>
    <xf numFmtId="0" fontId="1" fillId="0" borderId="36" xfId="0" applyFont="1" applyBorder="1" applyAlignment="1" applyProtection="1">
      <alignment horizontal="left" vertical="top" wrapText="1" readingOrder="1"/>
      <protection locked="0"/>
    </xf>
    <xf numFmtId="0" fontId="1" fillId="0" borderId="53" xfId="0" applyFont="1" applyBorder="1" applyAlignment="1" applyProtection="1">
      <alignment horizontal="left" vertical="top" wrapText="1" readingOrder="1"/>
      <protection locked="0"/>
    </xf>
    <xf numFmtId="0" fontId="1" fillId="3" borderId="50" xfId="0" applyFont="1" applyFill="1" applyBorder="1" applyAlignment="1" applyProtection="1">
      <alignment vertical="top" wrapText="1" readingOrder="1"/>
      <protection locked="0"/>
    </xf>
    <xf numFmtId="0" fontId="1" fillId="3" borderId="49" xfId="0" applyFont="1" applyFill="1" applyBorder="1" applyAlignment="1" applyProtection="1">
      <alignment vertical="top" wrapText="1" readingOrder="1"/>
      <protection locked="0"/>
    </xf>
    <xf numFmtId="0" fontId="1" fillId="0" borderId="10" xfId="0" applyFont="1" applyBorder="1" applyAlignment="1" applyProtection="1">
      <alignment vertical="top" wrapText="1" readingOrder="1"/>
      <protection locked="0"/>
    </xf>
    <xf numFmtId="0" fontId="1" fillId="3" borderId="55" xfId="0" applyFont="1" applyFill="1" applyBorder="1" applyAlignment="1" applyProtection="1">
      <alignment horizontal="left" vertical="top" wrapText="1" readingOrder="1"/>
      <protection locked="0"/>
    </xf>
    <xf numFmtId="0" fontId="1" fillId="6" borderId="56" xfId="0" applyFont="1" applyFill="1" applyBorder="1" applyAlignment="1" applyProtection="1">
      <alignment horizontal="left" vertical="top" wrapText="1" readingOrder="1"/>
      <protection locked="0"/>
    </xf>
    <xf numFmtId="0" fontId="1" fillId="3" borderId="37" xfId="0" applyFont="1" applyFill="1" applyBorder="1" applyAlignment="1" applyProtection="1">
      <alignment vertical="top" wrapText="1" readingOrder="1"/>
      <protection locked="0"/>
    </xf>
    <xf numFmtId="0" fontId="1" fillId="0" borderId="57" xfId="0" applyFont="1" applyBorder="1" applyAlignment="1" applyProtection="1">
      <alignment horizontal="left" vertical="top" wrapText="1" readingOrder="1"/>
      <protection locked="0"/>
    </xf>
    <xf numFmtId="0" fontId="1" fillId="0" borderId="13" xfId="0" applyFont="1" applyBorder="1" applyAlignment="1" applyProtection="1">
      <alignment vertical="top" readingOrder="1"/>
      <protection locked="0"/>
    </xf>
    <xf numFmtId="0" fontId="1" fillId="0" borderId="10" xfId="0" applyFont="1" applyBorder="1" applyAlignment="1" applyProtection="1">
      <alignment horizontal="left" vertical="top" readingOrder="1"/>
      <protection locked="0"/>
    </xf>
    <xf numFmtId="164" fontId="1" fillId="0" borderId="10" xfId="0" applyNumberFormat="1" applyFont="1" applyBorder="1" applyAlignment="1" applyProtection="1">
      <alignment horizontal="right" vertical="top" readingOrder="1"/>
      <protection locked="0"/>
    </xf>
    <xf numFmtId="0" fontId="1" fillId="0" borderId="58" xfId="0" applyFont="1" applyBorder="1" applyAlignment="1" applyProtection="1">
      <alignment vertical="top" readingOrder="1"/>
      <protection locked="0"/>
    </xf>
    <xf numFmtId="0" fontId="1" fillId="0" borderId="36" xfId="0" applyFont="1" applyBorder="1" applyAlignment="1" applyProtection="1">
      <alignment vertical="top" wrapText="1" readingOrder="1"/>
      <protection locked="0"/>
    </xf>
    <xf numFmtId="0" fontId="1" fillId="0" borderId="36" xfId="0" applyFont="1" applyBorder="1" applyAlignment="1" applyProtection="1">
      <alignment horizontal="left" vertical="top" readingOrder="1"/>
      <protection locked="0"/>
    </xf>
    <xf numFmtId="164" fontId="1" fillId="0" borderId="36" xfId="0" applyNumberFormat="1" applyFont="1" applyBorder="1" applyAlignment="1">
      <alignment horizontal="right" vertical="top" readingOrder="1"/>
    </xf>
    <xf numFmtId="0" fontId="1" fillId="0" borderId="36" xfId="0" applyFont="1" applyBorder="1" applyAlignment="1" applyProtection="1">
      <alignment horizontal="center" vertical="top" readingOrder="1"/>
      <protection locked="0"/>
    </xf>
    <xf numFmtId="0" fontId="1" fillId="0" borderId="36" xfId="0" applyFont="1" applyBorder="1" applyAlignment="1" applyProtection="1">
      <alignment horizontal="right" vertical="top" readingOrder="1"/>
      <protection locked="0"/>
    </xf>
    <xf numFmtId="0" fontId="1" fillId="3" borderId="60" xfId="0" applyFont="1" applyFill="1" applyBorder="1" applyAlignment="1" applyProtection="1">
      <alignment horizontal="left" vertical="top" wrapText="1" readingOrder="1"/>
      <protection locked="0"/>
    </xf>
    <xf numFmtId="0" fontId="1" fillId="3" borderId="60" xfId="0" applyFont="1" applyFill="1" applyBorder="1" applyAlignment="1" applyProtection="1">
      <alignment horizontal="center" vertical="top" readingOrder="1"/>
      <protection locked="0"/>
    </xf>
    <xf numFmtId="0" fontId="1" fillId="3" borderId="60" xfId="0" applyFont="1" applyFill="1" applyBorder="1" applyAlignment="1" applyProtection="1">
      <alignment horizontal="right" vertical="top" readingOrder="1"/>
      <protection locked="0"/>
    </xf>
    <xf numFmtId="0" fontId="1" fillId="3" borderId="61" xfId="0" applyFont="1" applyFill="1" applyBorder="1" applyAlignment="1" applyProtection="1">
      <alignment horizontal="right" vertical="top" readingOrder="1"/>
      <protection locked="0"/>
    </xf>
    <xf numFmtId="0" fontId="1" fillId="3" borderId="62" xfId="0" applyFont="1" applyFill="1" applyBorder="1" applyAlignment="1" applyProtection="1">
      <alignment vertical="top" wrapText="1" readingOrder="1"/>
      <protection locked="0"/>
    </xf>
    <xf numFmtId="0" fontId="1" fillId="3" borderId="63" xfId="0" applyFont="1" applyFill="1" applyBorder="1" applyAlignment="1" applyProtection="1">
      <alignment vertical="top" wrapText="1" readingOrder="1"/>
      <protection locked="0"/>
    </xf>
    <xf numFmtId="0" fontId="1" fillId="6" borderId="30" xfId="0" applyFont="1" applyFill="1" applyBorder="1" applyAlignment="1" applyProtection="1">
      <alignment horizontal="left" vertical="top" wrapText="1" readingOrder="1"/>
      <protection locked="0"/>
    </xf>
    <xf numFmtId="0" fontId="1" fillId="6" borderId="30" xfId="0" applyFont="1" applyFill="1" applyBorder="1" applyAlignment="1" applyProtection="1">
      <alignment horizontal="center" vertical="top" readingOrder="1"/>
      <protection locked="0"/>
    </xf>
    <xf numFmtId="0" fontId="1" fillId="6" borderId="30" xfId="0" applyFont="1" applyFill="1" applyBorder="1" applyAlignment="1" applyProtection="1">
      <alignment horizontal="right" vertical="top" readingOrder="1"/>
      <protection locked="0"/>
    </xf>
    <xf numFmtId="0" fontId="1" fillId="6" borderId="65" xfId="0" applyFont="1" applyFill="1" applyBorder="1" applyAlignment="1" applyProtection="1">
      <alignment horizontal="right" vertical="top" readingOrder="1"/>
      <protection locked="0"/>
    </xf>
    <xf numFmtId="0" fontId="1" fillId="3" borderId="66" xfId="0" applyFont="1" applyFill="1" applyBorder="1" applyAlignment="1" applyProtection="1">
      <alignment vertical="top" wrapText="1" readingOrder="1"/>
      <protection locked="0"/>
    </xf>
    <xf numFmtId="0" fontId="1" fillId="0" borderId="19" xfId="0" applyFont="1" applyBorder="1" applyAlignment="1" applyProtection="1">
      <alignment horizontal="left" vertical="top" readingOrder="1"/>
      <protection locked="0"/>
    </xf>
    <xf numFmtId="164" fontId="1" fillId="0" borderId="19" xfId="0" applyNumberFormat="1" applyFont="1" applyBorder="1" applyAlignment="1" applyProtection="1">
      <alignment horizontal="right" vertical="top" readingOrder="1"/>
      <protection locked="0"/>
    </xf>
    <xf numFmtId="0" fontId="1" fillId="3" borderId="67" xfId="0" applyFont="1" applyFill="1" applyBorder="1" applyAlignment="1" applyProtection="1">
      <alignment vertical="top" wrapText="1" readingOrder="1"/>
      <protection locked="0"/>
    </xf>
    <xf numFmtId="0" fontId="1" fillId="3" borderId="69" xfId="0" applyFont="1" applyFill="1" applyBorder="1" applyAlignment="1" applyProtection="1">
      <alignment vertical="top" wrapText="1" readingOrder="1"/>
      <protection locked="0"/>
    </xf>
    <xf numFmtId="0" fontId="1" fillId="0" borderId="71" xfId="0" applyFont="1" applyBorder="1" applyAlignment="1" applyProtection="1">
      <alignment horizontal="left" vertical="top" wrapText="1" readingOrder="1"/>
      <protection locked="0"/>
    </xf>
    <xf numFmtId="0" fontId="1" fillId="4" borderId="13" xfId="0" applyFont="1" applyFill="1" applyBorder="1" applyAlignment="1" applyProtection="1">
      <alignment vertical="top" readingOrder="1"/>
      <protection locked="0"/>
    </xf>
    <xf numFmtId="0" fontId="1" fillId="4" borderId="10" xfId="0" applyFont="1" applyFill="1" applyBorder="1" applyAlignment="1" applyProtection="1">
      <alignment vertical="top" wrapText="1" readingOrder="1"/>
      <protection locked="0"/>
    </xf>
    <xf numFmtId="0" fontId="1" fillId="4" borderId="10" xfId="0" applyFont="1" applyFill="1" applyBorder="1" applyAlignment="1" applyProtection="1">
      <alignment horizontal="left" vertical="top" readingOrder="1"/>
      <protection locked="0"/>
    </xf>
    <xf numFmtId="164" fontId="1" fillId="4" borderId="10" xfId="0" applyNumberFormat="1" applyFont="1" applyFill="1" applyBorder="1" applyAlignment="1">
      <alignment horizontal="right" vertical="top" readingOrder="1"/>
    </xf>
    <xf numFmtId="3" fontId="1" fillId="0" borderId="36" xfId="0" applyNumberFormat="1" applyFont="1" applyBorder="1" applyAlignment="1" applyProtection="1">
      <alignment horizontal="right" vertical="top" readingOrder="1"/>
      <protection locked="0"/>
    </xf>
    <xf numFmtId="0" fontId="1" fillId="6" borderId="73" xfId="0" applyFont="1" applyFill="1" applyBorder="1" applyAlignment="1" applyProtection="1">
      <alignment horizontal="left" vertical="top" wrapText="1" readingOrder="1"/>
      <protection locked="0"/>
    </xf>
    <xf numFmtId="0" fontId="7" fillId="0" borderId="8" xfId="0" applyFont="1" applyBorder="1" applyAlignment="1" applyProtection="1">
      <alignment horizontal="left" vertical="top" wrapText="1" readingOrder="1"/>
      <protection locked="0"/>
    </xf>
    <xf numFmtId="0" fontId="7" fillId="0" borderId="9" xfId="0" applyFont="1" applyBorder="1" applyAlignment="1" applyProtection="1">
      <alignment horizontal="left" vertical="top" wrapText="1" readingOrder="1"/>
      <protection locked="0"/>
    </xf>
    <xf numFmtId="0" fontId="7" fillId="6" borderId="1" xfId="0" applyFont="1" applyFill="1" applyBorder="1" applyAlignment="1" applyProtection="1">
      <alignment horizontal="right" vertical="top" readingOrder="1"/>
      <protection locked="0"/>
    </xf>
    <xf numFmtId="0" fontId="7" fillId="6" borderId="1" xfId="0" applyFont="1" applyFill="1" applyBorder="1" applyAlignment="1" applyProtection="1">
      <alignment horizontal="left" vertical="top" wrapText="1" readingOrder="1"/>
      <protection locked="0"/>
    </xf>
    <xf numFmtId="0" fontId="10" fillId="3" borderId="62" xfId="0" applyFont="1" applyFill="1" applyBorder="1" applyAlignment="1" applyProtection="1">
      <alignment vertical="top" wrapText="1" readingOrder="1"/>
      <protection locked="0"/>
    </xf>
    <xf numFmtId="0" fontId="7" fillId="3" borderId="63" xfId="0" applyFont="1" applyFill="1" applyBorder="1" applyAlignment="1" applyProtection="1">
      <alignment vertical="top" wrapText="1" readingOrder="1"/>
      <protection locked="0"/>
    </xf>
    <xf numFmtId="0" fontId="1" fillId="3" borderId="74" xfId="0" applyFont="1" applyFill="1" applyBorder="1" applyAlignment="1" applyProtection="1">
      <alignment horizontal="left" vertical="top" wrapText="1" readingOrder="1"/>
      <protection locked="0"/>
    </xf>
    <xf numFmtId="0" fontId="1" fillId="6" borderId="75" xfId="0" applyFont="1" applyFill="1" applyBorder="1" applyAlignment="1" applyProtection="1">
      <alignment horizontal="left" vertical="top" wrapText="1" readingOrder="1"/>
      <protection locked="0"/>
    </xf>
    <xf numFmtId="0" fontId="7" fillId="3" borderId="9" xfId="0" applyFont="1" applyFill="1" applyBorder="1" applyAlignment="1" applyProtection="1">
      <alignment horizontal="left" vertical="top" wrapText="1" readingOrder="1"/>
      <protection locked="0"/>
    </xf>
    <xf numFmtId="0" fontId="9" fillId="0" borderId="6" xfId="0" applyFont="1" applyBorder="1" applyAlignment="1" applyProtection="1">
      <alignment horizontal="left" vertical="top" wrapText="1" readingOrder="1"/>
      <protection locked="0"/>
    </xf>
    <xf numFmtId="0" fontId="1" fillId="7" borderId="1" xfId="0" applyFont="1" applyFill="1" applyBorder="1" applyAlignment="1" applyProtection="1">
      <alignment horizontal="right" vertical="top" readingOrder="1"/>
      <protection locked="0"/>
    </xf>
    <xf numFmtId="0" fontId="1" fillId="8" borderId="1" xfId="0" applyFont="1" applyFill="1" applyBorder="1" applyAlignment="1" applyProtection="1">
      <alignment horizontal="right" vertical="top" readingOrder="1"/>
      <protection locked="0"/>
    </xf>
    <xf numFmtId="0" fontId="1" fillId="8" borderId="8" xfId="0" applyFont="1" applyFill="1" applyBorder="1" applyAlignment="1" applyProtection="1">
      <alignment horizontal="right" vertical="top" readingOrder="1"/>
      <protection locked="0"/>
    </xf>
    <xf numFmtId="0" fontId="1" fillId="9" borderId="8" xfId="0" applyFont="1" applyFill="1" applyBorder="1" applyAlignment="1" applyProtection="1">
      <alignment horizontal="right" vertical="top" readingOrder="1"/>
      <protection locked="0"/>
    </xf>
    <xf numFmtId="0" fontId="1" fillId="9" borderId="1" xfId="0" applyFont="1" applyFill="1" applyBorder="1" applyAlignment="1" applyProtection="1">
      <alignment horizontal="right" vertical="top" readingOrder="1"/>
      <protection locked="0"/>
    </xf>
    <xf numFmtId="0" fontId="3" fillId="9" borderId="0" xfId="0" applyFont="1" applyFill="1"/>
    <xf numFmtId="0" fontId="1" fillId="10" borderId="1" xfId="0" applyFont="1" applyFill="1" applyBorder="1" applyAlignment="1" applyProtection="1">
      <alignment horizontal="right" vertical="top" readingOrder="1"/>
      <protection locked="0"/>
    </xf>
    <xf numFmtId="0" fontId="1" fillId="7" borderId="78" xfId="0" applyFont="1" applyFill="1" applyBorder="1" applyAlignment="1" applyProtection="1">
      <alignment horizontal="right" vertical="top" readingOrder="1"/>
      <protection locked="0"/>
    </xf>
    <xf numFmtId="0" fontId="1" fillId="11" borderId="8" xfId="0" applyFont="1" applyFill="1" applyBorder="1" applyAlignment="1" applyProtection="1">
      <alignment horizontal="right" vertical="top" readingOrder="1"/>
      <protection locked="0"/>
    </xf>
    <xf numFmtId="0" fontId="1" fillId="10" borderId="8" xfId="0" applyFont="1" applyFill="1" applyBorder="1" applyAlignment="1" applyProtection="1">
      <alignment horizontal="right" vertical="top" readingOrder="1"/>
      <protection locked="0"/>
    </xf>
    <xf numFmtId="0" fontId="1" fillId="11" borderId="1" xfId="0" applyFont="1" applyFill="1" applyBorder="1" applyAlignment="1" applyProtection="1">
      <alignment horizontal="right" vertical="top" readingOrder="1"/>
      <protection locked="0"/>
    </xf>
    <xf numFmtId="9" fontId="11" fillId="0" borderId="0" xfId="0" applyNumberFormat="1" applyFont="1" applyAlignment="1">
      <alignment horizontal="right"/>
    </xf>
    <xf numFmtId="9" fontId="7" fillId="4" borderId="8" xfId="0" applyNumberFormat="1" applyFont="1" applyFill="1" applyBorder="1" applyAlignment="1">
      <alignment horizontal="right" vertical="top" readingOrder="1"/>
    </xf>
    <xf numFmtId="9" fontId="7" fillId="6" borderId="8" xfId="0" applyNumberFormat="1" applyFont="1" applyFill="1" applyBorder="1" applyAlignment="1">
      <alignment horizontal="right" vertical="top" readingOrder="1"/>
    </xf>
    <xf numFmtId="9" fontId="7" fillId="0" borderId="10" xfId="0" applyNumberFormat="1" applyFont="1" applyBorder="1" applyAlignment="1">
      <alignment horizontal="right" vertical="top" readingOrder="1"/>
    </xf>
    <xf numFmtId="9" fontId="7" fillId="0" borderId="37" xfId="0" applyNumberFormat="1" applyFont="1" applyBorder="1" applyAlignment="1">
      <alignment horizontal="right" vertical="top" readingOrder="1"/>
    </xf>
    <xf numFmtId="9" fontId="7" fillId="0" borderId="1" xfId="0" applyNumberFormat="1" applyFont="1" applyBorder="1" applyAlignment="1" applyProtection="1">
      <alignment horizontal="right" vertical="top" readingOrder="1"/>
      <protection locked="0"/>
    </xf>
    <xf numFmtId="9" fontId="7" fillId="0" borderId="40" xfId="0" applyNumberFormat="1" applyFont="1" applyBorder="1" applyAlignment="1">
      <alignment horizontal="right" vertical="top" readingOrder="1"/>
    </xf>
    <xf numFmtId="9" fontId="7" fillId="0" borderId="11" xfId="0" applyNumberFormat="1" applyFont="1" applyBorder="1" applyAlignment="1">
      <alignment horizontal="right" vertical="top" readingOrder="1"/>
    </xf>
    <xf numFmtId="9" fontId="7" fillId="0" borderId="8" xfId="0" applyNumberFormat="1" applyFont="1" applyBorder="1" applyAlignment="1" applyProtection="1">
      <alignment horizontal="right" vertical="top" readingOrder="1"/>
      <protection locked="0"/>
    </xf>
    <xf numFmtId="9" fontId="7" fillId="0" borderId="8" xfId="0" applyNumberFormat="1" applyFont="1" applyBorder="1" applyAlignment="1">
      <alignment horizontal="right" vertical="top" readingOrder="1"/>
    </xf>
    <xf numFmtId="9" fontId="7" fillId="0" borderId="43" xfId="0" applyNumberFormat="1" applyFont="1" applyBorder="1" applyAlignment="1">
      <alignment horizontal="right" vertical="top" readingOrder="1"/>
    </xf>
    <xf numFmtId="9" fontId="7" fillId="0" borderId="29" xfId="0" applyNumberFormat="1" applyFont="1" applyBorder="1" applyAlignment="1">
      <alignment horizontal="right" vertical="top" readingOrder="1"/>
    </xf>
    <xf numFmtId="9" fontId="7" fillId="6" borderId="29" xfId="0" applyNumberFormat="1" applyFont="1" applyFill="1" applyBorder="1" applyAlignment="1">
      <alignment horizontal="right" vertical="top" readingOrder="1"/>
    </xf>
    <xf numFmtId="9" fontId="7" fillId="0" borderId="45" xfId="0" applyNumberFormat="1" applyFont="1" applyBorder="1" applyAlignment="1">
      <alignment horizontal="right" vertical="top" readingOrder="1"/>
    </xf>
    <xf numFmtId="9" fontId="7" fillId="0" borderId="46" xfId="0" applyNumberFormat="1" applyFont="1" applyBorder="1" applyAlignment="1">
      <alignment horizontal="right" vertical="top" readingOrder="1"/>
    </xf>
    <xf numFmtId="9" fontId="7" fillId="0" borderId="47" xfId="0" applyNumberFormat="1" applyFont="1" applyBorder="1" applyAlignment="1">
      <alignment horizontal="right" vertical="top" readingOrder="1"/>
    </xf>
    <xf numFmtId="9" fontId="7" fillId="6" borderId="45" xfId="0" applyNumberFormat="1" applyFont="1" applyFill="1" applyBorder="1" applyAlignment="1">
      <alignment horizontal="right" vertical="top" readingOrder="1"/>
    </xf>
    <xf numFmtId="9" fontId="7" fillId="0" borderId="48" xfId="0" applyNumberFormat="1" applyFont="1" applyBorder="1" applyAlignment="1">
      <alignment horizontal="right" vertical="top" readingOrder="1"/>
    </xf>
    <xf numFmtId="9" fontId="7" fillId="3" borderId="8" xfId="0" applyNumberFormat="1" applyFont="1" applyFill="1" applyBorder="1" applyAlignment="1">
      <alignment horizontal="right" vertical="top" readingOrder="1"/>
    </xf>
    <xf numFmtId="9" fontId="7" fillId="0" borderId="49" xfId="0" applyNumberFormat="1" applyFont="1" applyBorder="1" applyAlignment="1">
      <alignment horizontal="right" vertical="top" readingOrder="1"/>
    </xf>
    <xf numFmtId="9" fontId="7" fillId="0" borderId="10" xfId="0" applyNumberFormat="1" applyFont="1" applyBorder="1" applyAlignment="1" applyProtection="1">
      <alignment horizontal="right" vertical="top" readingOrder="1"/>
      <protection locked="0"/>
    </xf>
    <xf numFmtId="9" fontId="7" fillId="0" borderId="50" xfId="0" applyNumberFormat="1" applyFont="1" applyBorder="1" applyAlignment="1">
      <alignment horizontal="right" vertical="top" readingOrder="1"/>
    </xf>
    <xf numFmtId="9" fontId="7" fillId="0" borderId="37" xfId="0" applyNumberFormat="1" applyFont="1" applyBorder="1" applyAlignment="1" applyProtection="1">
      <alignment horizontal="right" vertical="top" readingOrder="1"/>
      <protection locked="0"/>
    </xf>
    <xf numFmtId="9" fontId="7" fillId="0" borderId="43" xfId="0" applyNumberFormat="1" applyFont="1" applyBorder="1" applyAlignment="1" applyProtection="1">
      <alignment horizontal="right" vertical="top" readingOrder="1"/>
      <protection locked="0"/>
    </xf>
    <xf numFmtId="9" fontId="7" fillId="0" borderId="36" xfId="0" applyNumberFormat="1" applyFont="1" applyBorder="1" applyAlignment="1" applyProtection="1">
      <alignment horizontal="right" vertical="top" readingOrder="1"/>
      <protection locked="0"/>
    </xf>
    <xf numFmtId="9" fontId="7" fillId="0" borderId="11" xfId="0" applyNumberFormat="1" applyFont="1" applyBorder="1" applyAlignment="1" applyProtection="1">
      <alignment horizontal="right" vertical="top" readingOrder="1"/>
      <protection locked="0"/>
    </xf>
    <xf numFmtId="9" fontId="7" fillId="0" borderId="51" xfId="0" applyNumberFormat="1" applyFont="1" applyBorder="1" applyAlignment="1">
      <alignment horizontal="right" vertical="top" readingOrder="1"/>
    </xf>
    <xf numFmtId="9" fontId="7" fillId="4" borderId="10" xfId="0" applyNumberFormat="1" applyFont="1" applyFill="1" applyBorder="1" applyAlignment="1">
      <alignment horizontal="right" vertical="top" readingOrder="1"/>
    </xf>
    <xf numFmtId="9" fontId="7" fillId="0" borderId="30" xfId="0" applyNumberFormat="1" applyFont="1" applyBorder="1" applyAlignment="1" applyProtection="1">
      <alignment horizontal="right" vertical="top" readingOrder="1"/>
      <protection locked="0"/>
    </xf>
    <xf numFmtId="9" fontId="7" fillId="2" borderId="0" xfId="0" applyNumberFormat="1" applyFont="1" applyFill="1" applyAlignment="1" applyProtection="1">
      <alignment horizontal="right" vertical="top" readingOrder="1"/>
      <protection locked="0"/>
    </xf>
    <xf numFmtId="0" fontId="3" fillId="10" borderId="0" xfId="0" applyFont="1" applyFill="1"/>
    <xf numFmtId="0" fontId="1" fillId="7" borderId="8" xfId="0" applyFont="1" applyFill="1" applyBorder="1" applyAlignment="1" applyProtection="1">
      <alignment horizontal="right" vertical="top" readingOrder="1"/>
      <protection locked="0"/>
    </xf>
    <xf numFmtId="0" fontId="1" fillId="0" borderId="56" xfId="0" applyFont="1" applyBorder="1" applyAlignment="1" applyProtection="1">
      <alignment horizontal="left" vertical="top" wrapText="1" readingOrder="1"/>
      <protection locked="0"/>
    </xf>
    <xf numFmtId="0" fontId="1" fillId="0" borderId="75" xfId="0" applyFont="1" applyBorder="1" applyAlignment="1" applyProtection="1">
      <alignment horizontal="left" vertical="top" wrapText="1" readingOrder="1"/>
      <protection locked="0"/>
    </xf>
    <xf numFmtId="0" fontId="1" fillId="0" borderId="79" xfId="0" applyFont="1" applyBorder="1" applyAlignment="1" applyProtection="1">
      <alignment horizontal="left" vertical="top" wrapText="1" readingOrder="1"/>
      <protection locked="0"/>
    </xf>
    <xf numFmtId="0" fontId="7" fillId="12" borderId="8" xfId="0" applyFont="1" applyFill="1" applyBorder="1" applyAlignment="1" applyProtection="1">
      <alignment horizontal="right" vertical="top" readingOrder="1"/>
      <protection locked="0"/>
    </xf>
    <xf numFmtId="0" fontId="3" fillId="8" borderId="0" xfId="0" applyFont="1" applyFill="1"/>
    <xf numFmtId="0" fontId="1" fillId="8" borderId="10" xfId="0" applyFont="1" applyFill="1" applyBorder="1" applyAlignment="1" applyProtection="1">
      <alignment horizontal="right" vertical="top" readingOrder="1"/>
      <protection locked="0"/>
    </xf>
    <xf numFmtId="3" fontId="1" fillId="7" borderId="8" xfId="0" applyNumberFormat="1" applyFont="1" applyFill="1" applyBorder="1" applyAlignment="1" applyProtection="1">
      <alignment horizontal="right" vertical="top" readingOrder="1"/>
      <protection locked="0"/>
    </xf>
    <xf numFmtId="165" fontId="1" fillId="7" borderId="1" xfId="0" applyNumberFormat="1" applyFont="1" applyFill="1" applyBorder="1" applyAlignment="1" applyProtection="1">
      <alignment horizontal="right" vertical="top" readingOrder="1"/>
      <protection locked="0"/>
    </xf>
    <xf numFmtId="0" fontId="1" fillId="12" borderId="1" xfId="0" applyFont="1" applyFill="1" applyBorder="1" applyAlignment="1" applyProtection="1">
      <alignment horizontal="right" vertical="top" readingOrder="1"/>
      <protection locked="0"/>
    </xf>
    <xf numFmtId="165" fontId="1" fillId="10" borderId="1" xfId="0" applyNumberFormat="1" applyFont="1" applyFill="1" applyBorder="1" applyAlignment="1" applyProtection="1">
      <alignment horizontal="right" vertical="top" readingOrder="1"/>
      <protection locked="0"/>
    </xf>
    <xf numFmtId="0" fontId="8" fillId="0" borderId="8" xfId="0" applyFont="1" applyBorder="1" applyAlignment="1" applyProtection="1">
      <alignment horizontal="left" vertical="top" wrapText="1" readingOrder="1"/>
      <protection locked="0"/>
    </xf>
    <xf numFmtId="3" fontId="1" fillId="7" borderId="1" xfId="0" applyNumberFormat="1" applyFont="1" applyFill="1" applyBorder="1" applyAlignment="1" applyProtection="1">
      <alignment horizontal="right" vertical="top" readingOrder="1"/>
      <protection locked="0"/>
    </xf>
    <xf numFmtId="4" fontId="1" fillId="7" borderId="8" xfId="0" applyNumberFormat="1" applyFont="1" applyFill="1" applyBorder="1" applyAlignment="1" applyProtection="1">
      <alignment horizontal="right" vertical="top" readingOrder="1"/>
      <protection locked="0"/>
    </xf>
    <xf numFmtId="0" fontId="7" fillId="7" borderId="8" xfId="0" applyFont="1" applyFill="1" applyBorder="1" applyAlignment="1" applyProtection="1">
      <alignment horizontal="right" vertical="top" readingOrder="1"/>
      <protection locked="0"/>
    </xf>
    <xf numFmtId="164" fontId="1" fillId="0" borderId="10" xfId="0" applyNumberFormat="1" applyFont="1" applyBorder="1" applyAlignment="1">
      <alignment horizontal="right" vertical="top" readingOrder="1"/>
    </xf>
    <xf numFmtId="9" fontId="7" fillId="0" borderId="19" xfId="0" applyNumberFormat="1" applyFont="1" applyBorder="1" applyAlignment="1">
      <alignment horizontal="right" vertical="top" readingOrder="1"/>
    </xf>
    <xf numFmtId="2" fontId="1" fillId="0" borderId="10" xfId="0" applyNumberFormat="1" applyFont="1" applyBorder="1" applyAlignment="1" applyProtection="1">
      <alignment horizontal="right" vertical="top" readingOrder="1"/>
      <protection locked="0"/>
    </xf>
    <xf numFmtId="164" fontId="1" fillId="0" borderId="36" xfId="0" applyNumberFormat="1" applyFont="1" applyBorder="1" applyAlignment="1" applyProtection="1">
      <alignment horizontal="right" vertical="top" readingOrder="1"/>
      <protection locked="0"/>
    </xf>
    <xf numFmtId="0" fontId="1" fillId="0" borderId="60" xfId="0" applyFont="1" applyBorder="1" applyAlignment="1" applyProtection="1">
      <alignment horizontal="left" vertical="top" readingOrder="1"/>
      <protection locked="0"/>
    </xf>
    <xf numFmtId="164" fontId="1" fillId="0" borderId="60" xfId="0" applyNumberFormat="1" applyFont="1" applyBorder="1" applyAlignment="1">
      <alignment horizontal="right" vertical="top" readingOrder="1"/>
    </xf>
    <xf numFmtId="9" fontId="7" fillId="0" borderId="60" xfId="0" applyNumberFormat="1" applyFont="1" applyBorder="1" applyAlignment="1">
      <alignment horizontal="right" vertical="top" readingOrder="1"/>
    </xf>
    <xf numFmtId="0" fontId="1" fillId="0" borderId="60" xfId="0" applyFont="1" applyBorder="1" applyAlignment="1" applyProtection="1">
      <alignment horizontal="left" vertical="top" wrapText="1" readingOrder="1"/>
      <protection locked="0"/>
    </xf>
    <xf numFmtId="0" fontId="1" fillId="0" borderId="60" xfId="0" applyFont="1" applyBorder="1" applyAlignment="1" applyProtection="1">
      <alignment horizontal="center" vertical="top" readingOrder="1"/>
      <protection locked="0"/>
    </xf>
    <xf numFmtId="3" fontId="1" fillId="0" borderId="60" xfId="0" applyNumberFormat="1" applyFont="1" applyBorder="1" applyAlignment="1" applyProtection="1">
      <alignment horizontal="right" vertical="top" readingOrder="1"/>
      <protection locked="0"/>
    </xf>
    <xf numFmtId="3" fontId="1" fillId="7" borderId="60" xfId="0" applyNumberFormat="1" applyFont="1" applyFill="1" applyBorder="1" applyAlignment="1" applyProtection="1">
      <alignment horizontal="right" vertical="top" readingOrder="1"/>
      <protection locked="0"/>
    </xf>
    <xf numFmtId="0" fontId="1" fillId="0" borderId="80" xfId="0" applyFont="1" applyBorder="1" applyAlignment="1" applyProtection="1">
      <alignment horizontal="left" vertical="top" wrapText="1" readingOrder="1"/>
      <protection locked="0"/>
    </xf>
    <xf numFmtId="0" fontId="3" fillId="0" borderId="81" xfId="0" applyFont="1" applyBorder="1"/>
    <xf numFmtId="0" fontId="1" fillId="0" borderId="73" xfId="0" applyFont="1" applyBorder="1" applyAlignment="1" applyProtection="1">
      <alignment horizontal="left" vertical="top" wrapText="1" readingOrder="1"/>
      <protection locked="0"/>
    </xf>
    <xf numFmtId="3" fontId="1" fillId="7" borderId="36" xfId="0" applyNumberFormat="1" applyFont="1" applyFill="1" applyBorder="1" applyAlignment="1" applyProtection="1">
      <alignment horizontal="right" vertical="top" readingOrder="1"/>
      <protection locked="0"/>
    </xf>
    <xf numFmtId="3" fontId="1" fillId="10" borderId="1" xfId="0" applyNumberFormat="1" applyFont="1" applyFill="1" applyBorder="1" applyAlignment="1" applyProtection="1">
      <alignment horizontal="right" vertical="top" readingOrder="1"/>
      <protection locked="0"/>
    </xf>
    <xf numFmtId="0" fontId="1" fillId="10" borderId="30" xfId="0" applyFont="1" applyFill="1" applyBorder="1" applyAlignment="1" applyProtection="1">
      <alignment horizontal="right" vertical="top" readingOrder="1"/>
      <protection locked="0"/>
    </xf>
    <xf numFmtId="0" fontId="13" fillId="0" borderId="9" xfId="0" applyFont="1" applyBorder="1" applyAlignment="1" applyProtection="1">
      <alignment horizontal="left" vertical="top" wrapText="1" readingOrder="1"/>
      <protection locked="0"/>
    </xf>
    <xf numFmtId="165" fontId="1" fillId="12" borderId="1" xfId="0" applyNumberFormat="1" applyFont="1" applyFill="1" applyBorder="1" applyAlignment="1" applyProtection="1">
      <alignment horizontal="right" vertical="top" readingOrder="1"/>
      <protection locked="0"/>
    </xf>
    <xf numFmtId="0" fontId="1" fillId="12" borderId="8" xfId="0" applyFont="1" applyFill="1" applyBorder="1" applyAlignment="1" applyProtection="1">
      <alignment horizontal="right" vertical="top" readingOrder="1"/>
      <protection locked="0"/>
    </xf>
    <xf numFmtId="1" fontId="7" fillId="8" borderId="1" xfId="0" applyNumberFormat="1" applyFont="1" applyFill="1" applyBorder="1" applyAlignment="1" applyProtection="1">
      <alignment horizontal="right" vertical="top" readingOrder="1"/>
      <protection locked="0"/>
    </xf>
    <xf numFmtId="3" fontId="7" fillId="7" borderId="1" xfId="0" applyNumberFormat="1" applyFont="1" applyFill="1" applyBorder="1" applyAlignment="1" applyProtection="1">
      <alignment horizontal="right" vertical="top" readingOrder="1"/>
      <protection locked="0"/>
    </xf>
    <xf numFmtId="0" fontId="1" fillId="8" borderId="36" xfId="0" applyFont="1" applyFill="1" applyBorder="1" applyAlignment="1" applyProtection="1">
      <alignment horizontal="right" vertical="top" readingOrder="1"/>
      <protection locked="0"/>
    </xf>
    <xf numFmtId="0" fontId="1" fillId="7" borderId="19" xfId="0" applyFont="1" applyFill="1" applyBorder="1" applyAlignment="1" applyProtection="1">
      <alignment horizontal="right" vertical="top" readingOrder="1"/>
      <protection locked="0"/>
    </xf>
    <xf numFmtId="0" fontId="7" fillId="8" borderId="8" xfId="0" applyFont="1" applyFill="1" applyBorder="1" applyAlignment="1" applyProtection="1">
      <alignment horizontal="right" vertical="top" readingOrder="1"/>
      <protection locked="0"/>
    </xf>
    <xf numFmtId="0" fontId="1" fillId="13" borderId="8" xfId="0" applyFont="1" applyFill="1" applyBorder="1" applyAlignment="1" applyProtection="1">
      <alignment horizontal="right" vertical="top" readingOrder="1"/>
      <protection locked="0"/>
    </xf>
    <xf numFmtId="164" fontId="7" fillId="0" borderId="38" xfId="0" applyNumberFormat="1" applyFont="1" applyBorder="1" applyAlignment="1" applyProtection="1">
      <alignment horizontal="right" vertical="top" readingOrder="1"/>
      <protection locked="0"/>
    </xf>
    <xf numFmtId="164" fontId="7" fillId="0" borderId="1" xfId="0" applyNumberFormat="1" applyFont="1" applyBorder="1" applyAlignment="1" applyProtection="1">
      <alignment horizontal="right" vertical="top" readingOrder="1"/>
      <protection locked="0"/>
    </xf>
    <xf numFmtId="0" fontId="7" fillId="0" borderId="1" xfId="0" applyFont="1" applyBorder="1" applyAlignment="1" applyProtection="1">
      <alignment horizontal="left" vertical="top" wrapText="1" readingOrder="1"/>
      <protection locked="0"/>
    </xf>
    <xf numFmtId="3" fontId="7" fillId="6" borderId="1" xfId="0" applyNumberFormat="1" applyFont="1" applyFill="1" applyBorder="1" applyAlignment="1" applyProtection="1">
      <alignment horizontal="right" vertical="top" readingOrder="1"/>
      <protection locked="0"/>
    </xf>
    <xf numFmtId="0" fontId="7" fillId="8" borderId="1" xfId="0" applyFont="1" applyFill="1" applyBorder="1" applyAlignment="1" applyProtection="1">
      <alignment horizontal="right" vertical="top" readingOrder="1"/>
      <protection locked="0"/>
    </xf>
    <xf numFmtId="0" fontId="1" fillId="7" borderId="10" xfId="0" applyFont="1" applyFill="1" applyBorder="1" applyAlignment="1" applyProtection="1">
      <alignment horizontal="right" vertical="top" readingOrder="1"/>
      <protection locked="0"/>
    </xf>
    <xf numFmtId="0" fontId="1" fillId="7" borderId="36" xfId="0" applyFont="1" applyFill="1" applyBorder="1" applyAlignment="1" applyProtection="1">
      <alignment horizontal="right" vertical="top" readingOrder="1"/>
      <protection locked="0"/>
    </xf>
    <xf numFmtId="0" fontId="1" fillId="0" borderId="60" xfId="0" applyFont="1" applyBorder="1" applyAlignment="1" applyProtection="1">
      <alignment horizontal="right" vertical="top" readingOrder="1"/>
      <protection locked="0"/>
    </xf>
    <xf numFmtId="0" fontId="7" fillId="8" borderId="60" xfId="0" applyFont="1" applyFill="1" applyBorder="1" applyAlignment="1" applyProtection="1">
      <alignment horizontal="right" vertical="top" readingOrder="1"/>
      <protection locked="0"/>
    </xf>
    <xf numFmtId="0" fontId="8" fillId="0" borderId="60" xfId="0" applyFont="1" applyBorder="1" applyAlignment="1" applyProtection="1">
      <alignment horizontal="left" vertical="top" wrapText="1" readingOrder="1"/>
      <protection locked="0"/>
    </xf>
    <xf numFmtId="0" fontId="7" fillId="8" borderId="30" xfId="0" applyFont="1" applyFill="1" applyBorder="1" applyAlignment="1" applyProtection="1">
      <alignment horizontal="right" vertical="top" readingOrder="1"/>
      <protection locked="0"/>
    </xf>
    <xf numFmtId="0" fontId="7" fillId="0" borderId="80" xfId="0" applyFont="1" applyBorder="1" applyAlignment="1" applyProtection="1">
      <alignment horizontal="left" vertical="top" wrapText="1" readingOrder="1"/>
      <protection locked="0"/>
    </xf>
    <xf numFmtId="0" fontId="7" fillId="0" borderId="73" xfId="0" applyFont="1" applyBorder="1" applyAlignment="1" applyProtection="1">
      <alignment horizontal="left" vertical="top" wrapText="1" readingOrder="1"/>
      <protection locked="0"/>
    </xf>
    <xf numFmtId="0" fontId="1" fillId="0" borderId="84" xfId="0" applyFont="1" applyBorder="1" applyAlignment="1" applyProtection="1">
      <alignment vertical="top" readingOrder="1"/>
      <protection locked="0"/>
    </xf>
    <xf numFmtId="0" fontId="1" fillId="0" borderId="45" xfId="0" applyFont="1" applyBorder="1" applyAlignment="1" applyProtection="1">
      <alignment vertical="top" wrapText="1" readingOrder="1"/>
      <protection locked="0"/>
    </xf>
    <xf numFmtId="0" fontId="1" fillId="0" borderId="45" xfId="0" applyFont="1" applyBorder="1" applyAlignment="1" applyProtection="1">
      <alignment horizontal="left" vertical="top" readingOrder="1"/>
      <protection locked="0"/>
    </xf>
    <xf numFmtId="164" fontId="1" fillId="0" borderId="45" xfId="0" applyNumberFormat="1" applyFont="1" applyBorder="1" applyAlignment="1" applyProtection="1">
      <alignment horizontal="right" vertical="top" readingOrder="1"/>
      <protection locked="0"/>
    </xf>
    <xf numFmtId="0" fontId="1" fillId="0" borderId="45" xfId="0" applyFont="1" applyBorder="1" applyAlignment="1" applyProtection="1">
      <alignment horizontal="left" vertical="top" wrapText="1" readingOrder="1"/>
      <protection locked="0"/>
    </xf>
    <xf numFmtId="0" fontId="1" fillId="0" borderId="45" xfId="0" applyFont="1" applyBorder="1" applyAlignment="1" applyProtection="1">
      <alignment horizontal="center" vertical="top" readingOrder="1"/>
      <protection locked="0"/>
    </xf>
    <xf numFmtId="0" fontId="1" fillId="0" borderId="45" xfId="0" applyFont="1" applyBorder="1" applyAlignment="1" applyProtection="1">
      <alignment horizontal="right" vertical="top" readingOrder="1"/>
      <protection locked="0"/>
    </xf>
    <xf numFmtId="0" fontId="1" fillId="9" borderId="45" xfId="0" applyFont="1" applyFill="1" applyBorder="1" applyAlignment="1" applyProtection="1">
      <alignment horizontal="right" vertical="top" readingOrder="1"/>
      <protection locked="0"/>
    </xf>
    <xf numFmtId="0" fontId="1" fillId="0" borderId="85" xfId="0" applyFont="1" applyBorder="1" applyAlignment="1" applyProtection="1">
      <alignment horizontal="left" vertical="top" wrapText="1" readingOrder="1"/>
      <protection locked="0"/>
    </xf>
    <xf numFmtId="0" fontId="1" fillId="3" borderId="58" xfId="0" applyFont="1" applyFill="1" applyBorder="1" applyAlignment="1" applyProtection="1">
      <alignment vertical="top" readingOrder="1"/>
      <protection locked="0"/>
    </xf>
    <xf numFmtId="0" fontId="1" fillId="3" borderId="36" xfId="0" applyFont="1" applyFill="1" applyBorder="1" applyAlignment="1" applyProtection="1">
      <alignment vertical="top" wrapText="1" readingOrder="1"/>
      <protection locked="0"/>
    </xf>
    <xf numFmtId="0" fontId="1" fillId="3" borderId="36" xfId="0" applyFont="1" applyFill="1" applyBorder="1" applyAlignment="1" applyProtection="1">
      <alignment horizontal="left" vertical="top" readingOrder="1"/>
      <protection locked="0"/>
    </xf>
    <xf numFmtId="164" fontId="1" fillId="3" borderId="36" xfId="0" applyNumberFormat="1" applyFont="1" applyFill="1" applyBorder="1" applyAlignment="1">
      <alignment horizontal="right" vertical="top" readingOrder="1"/>
    </xf>
    <xf numFmtId="9" fontId="7" fillId="6" borderId="36" xfId="0" applyNumberFormat="1" applyFont="1" applyFill="1" applyBorder="1" applyAlignment="1">
      <alignment horizontal="right" vertical="top" readingOrder="1"/>
    </xf>
    <xf numFmtId="0" fontId="1" fillId="3" borderId="36" xfId="0" applyFont="1" applyFill="1" applyBorder="1" applyAlignment="1" applyProtection="1">
      <alignment horizontal="left" vertical="top" wrapText="1" readingOrder="1"/>
      <protection locked="0"/>
    </xf>
    <xf numFmtId="0" fontId="1" fillId="3" borderId="36" xfId="0" applyFont="1" applyFill="1" applyBorder="1" applyAlignment="1" applyProtection="1">
      <alignment horizontal="center" vertical="top" readingOrder="1"/>
      <protection locked="0"/>
    </xf>
    <xf numFmtId="0" fontId="1" fillId="3" borderId="36" xfId="0" applyFont="1" applyFill="1" applyBorder="1" applyAlignment="1" applyProtection="1">
      <alignment horizontal="right" vertical="top" readingOrder="1"/>
      <protection locked="0"/>
    </xf>
    <xf numFmtId="0" fontId="1" fillId="3" borderId="35" xfId="0" applyFont="1" applyFill="1" applyBorder="1" applyAlignment="1" applyProtection="1">
      <alignment vertical="top" wrapText="1" readingOrder="1"/>
      <protection locked="0"/>
    </xf>
    <xf numFmtId="0" fontId="1" fillId="3" borderId="27" xfId="0" applyFont="1" applyFill="1" applyBorder="1" applyAlignment="1" applyProtection="1">
      <alignment vertical="top" wrapText="1" readingOrder="1"/>
      <protection locked="0"/>
    </xf>
    <xf numFmtId="0" fontId="3" fillId="0" borderId="86" xfId="0" applyFont="1" applyBorder="1"/>
    <xf numFmtId="3" fontId="1" fillId="10" borderId="8" xfId="0" applyNumberFormat="1" applyFont="1" applyFill="1" applyBorder="1" applyAlignment="1" applyProtection="1">
      <alignment horizontal="right" vertical="top" readingOrder="1"/>
      <protection locked="0"/>
    </xf>
    <xf numFmtId="2" fontId="1" fillId="0" borderId="36" xfId="0" applyNumberFormat="1" applyFont="1" applyBorder="1" applyAlignment="1" applyProtection="1">
      <alignment horizontal="right" vertical="top" readingOrder="1"/>
      <protection locked="0"/>
    </xf>
    <xf numFmtId="0" fontId="3" fillId="0" borderId="87" xfId="0" applyFont="1" applyBorder="1"/>
    <xf numFmtId="0" fontId="1" fillId="0" borderId="88" xfId="0" applyFont="1" applyBorder="1" applyAlignment="1" applyProtection="1">
      <alignment horizontal="left" vertical="top" wrapText="1" readingOrder="1"/>
      <protection locked="0"/>
    </xf>
    <xf numFmtId="3" fontId="1" fillId="10" borderId="60" xfId="0" applyNumberFormat="1" applyFont="1" applyFill="1" applyBorder="1" applyAlignment="1" applyProtection="1">
      <alignment horizontal="right" vertical="top" readingOrder="1"/>
      <protection locked="0"/>
    </xf>
    <xf numFmtId="9" fontId="7" fillId="0" borderId="91" xfId="0" applyNumberFormat="1" applyFont="1" applyBorder="1" applyAlignment="1">
      <alignment horizontal="right" vertical="top" readingOrder="1"/>
    </xf>
    <xf numFmtId="0" fontId="1" fillId="10" borderId="60" xfId="0" applyFont="1" applyFill="1" applyBorder="1" applyAlignment="1" applyProtection="1">
      <alignment horizontal="right" vertical="top" readingOrder="1"/>
      <protection locked="0"/>
    </xf>
    <xf numFmtId="0" fontId="1" fillId="7" borderId="30" xfId="0" applyFont="1" applyFill="1" applyBorder="1" applyAlignment="1" applyProtection="1">
      <alignment horizontal="right" vertical="top" readingOrder="1"/>
      <protection locked="0"/>
    </xf>
    <xf numFmtId="3" fontId="1" fillId="9" borderId="1" xfId="0" applyNumberFormat="1" applyFont="1" applyFill="1" applyBorder="1" applyAlignment="1" applyProtection="1">
      <alignment horizontal="right" vertical="top" readingOrder="1"/>
      <protection locked="0"/>
    </xf>
    <xf numFmtId="0" fontId="1" fillId="0" borderId="20" xfId="0" applyFont="1" applyBorder="1" applyAlignment="1" applyProtection="1">
      <alignment horizontal="left" vertical="top" wrapText="1" readingOrder="1"/>
      <protection locked="0"/>
    </xf>
    <xf numFmtId="3" fontId="1" fillId="8" borderId="1" xfId="0" applyNumberFormat="1" applyFont="1" applyFill="1" applyBorder="1" applyAlignment="1" applyProtection="1">
      <alignment horizontal="right" vertical="top" readingOrder="1"/>
      <protection locked="0"/>
    </xf>
    <xf numFmtId="164" fontId="7" fillId="0" borderId="8" xfId="0" applyNumberFormat="1" applyFont="1" applyBorder="1" applyAlignment="1">
      <alignment horizontal="right" vertical="top" readingOrder="1"/>
    </xf>
    <xf numFmtId="1" fontId="1" fillId="8" borderId="1" xfId="0" applyNumberFormat="1" applyFont="1" applyFill="1" applyBorder="1" applyAlignment="1" applyProtection="1">
      <alignment horizontal="right" vertical="top" readingOrder="1"/>
      <protection locked="0"/>
    </xf>
    <xf numFmtId="0" fontId="10" fillId="3" borderId="93" xfId="0" applyFont="1" applyFill="1" applyBorder="1" applyAlignment="1" applyProtection="1">
      <alignment vertical="top" wrapText="1" readingOrder="1"/>
      <protection locked="0"/>
    </xf>
    <xf numFmtId="0" fontId="10" fillId="3" borderId="94" xfId="0" applyFont="1" applyFill="1" applyBorder="1" applyAlignment="1" applyProtection="1">
      <alignment vertical="top" wrapText="1" readingOrder="1"/>
      <protection locked="0"/>
    </xf>
    <xf numFmtId="0" fontId="7" fillId="8" borderId="36" xfId="0" applyFont="1" applyFill="1" applyBorder="1" applyAlignment="1" applyProtection="1">
      <alignment horizontal="right" vertical="top" readingOrder="1"/>
      <protection locked="0"/>
    </xf>
    <xf numFmtId="0" fontId="7" fillId="0" borderId="56" xfId="0" applyFont="1" applyBorder="1" applyAlignment="1" applyProtection="1">
      <alignment horizontal="left" vertical="top" wrapText="1" readingOrder="1"/>
      <protection locked="0"/>
    </xf>
    <xf numFmtId="0" fontId="7" fillId="0" borderId="75" xfId="0" applyFont="1" applyBorder="1" applyAlignment="1" applyProtection="1">
      <alignment horizontal="left" vertical="top" wrapText="1" readingOrder="1"/>
      <protection locked="0"/>
    </xf>
    <xf numFmtId="0" fontId="7" fillId="10" borderId="8" xfId="0" applyFont="1" applyFill="1" applyBorder="1" applyAlignment="1" applyProtection="1">
      <alignment horizontal="right" vertical="top" readingOrder="1"/>
      <protection locked="0"/>
    </xf>
    <xf numFmtId="9" fontId="7" fillId="0" borderId="19" xfId="0" applyNumberFormat="1" applyFont="1" applyBorder="1" applyAlignment="1" applyProtection="1">
      <alignment horizontal="right" vertical="top" readingOrder="1"/>
      <protection locked="0"/>
    </xf>
    <xf numFmtId="0" fontId="1" fillId="8" borderId="30" xfId="0" applyFont="1" applyFill="1" applyBorder="1" applyAlignment="1" applyProtection="1">
      <alignment horizontal="right" vertical="top" readingOrder="1"/>
      <protection locked="0"/>
    </xf>
    <xf numFmtId="0" fontId="1" fillId="9" borderId="30" xfId="0" applyFont="1" applyFill="1" applyBorder="1" applyAlignment="1" applyProtection="1">
      <alignment horizontal="right" vertical="top" readingOrder="1"/>
      <protection locked="0"/>
    </xf>
    <xf numFmtId="0" fontId="1" fillId="13" borderId="1" xfId="0" applyFont="1" applyFill="1" applyBorder="1" applyAlignment="1" applyProtection="1">
      <alignment horizontal="right" vertical="top" readingOrder="1"/>
      <protection locked="0"/>
    </xf>
    <xf numFmtId="0" fontId="1" fillId="0" borderId="48" xfId="0" applyFont="1" applyBorder="1" applyAlignment="1" applyProtection="1">
      <alignment vertical="top" wrapText="1" readingOrder="1"/>
      <protection locked="0"/>
    </xf>
    <xf numFmtId="0" fontId="1" fillId="0" borderId="47" xfId="0" applyFont="1" applyBorder="1" applyAlignment="1" applyProtection="1">
      <alignment vertical="top" wrapText="1" readingOrder="1"/>
      <protection locked="0"/>
    </xf>
    <xf numFmtId="0" fontId="1" fillId="0" borderId="95" xfId="0" applyFont="1" applyBorder="1" applyAlignment="1" applyProtection="1">
      <alignment vertical="top" wrapText="1" readingOrder="1"/>
      <protection locked="0"/>
    </xf>
    <xf numFmtId="0" fontId="1" fillId="0" borderId="29" xfId="0" applyFont="1" applyBorder="1" applyAlignment="1" applyProtection="1">
      <alignment vertical="top" wrapText="1" readingOrder="1"/>
      <protection locked="0"/>
    </xf>
    <xf numFmtId="0" fontId="1" fillId="8" borderId="60" xfId="0" applyFont="1" applyFill="1" applyBorder="1" applyAlignment="1" applyProtection="1">
      <alignment horizontal="right" vertical="top" readingOrder="1"/>
      <protection locked="0"/>
    </xf>
    <xf numFmtId="0" fontId="3" fillId="0" borderId="49" xfId="0" applyFont="1" applyBorder="1"/>
    <xf numFmtId="0" fontId="7" fillId="9" borderId="65" xfId="0" applyFont="1" applyFill="1" applyBorder="1" applyAlignment="1" applyProtection="1">
      <alignment horizontal="right" vertical="top" readingOrder="1"/>
      <protection locked="0"/>
    </xf>
    <xf numFmtId="0" fontId="7" fillId="0" borderId="96" xfId="0" applyFont="1" applyBorder="1" applyAlignment="1" applyProtection="1">
      <alignment horizontal="left" vertical="top" wrapText="1" readingOrder="1"/>
      <protection locked="0"/>
    </xf>
    <xf numFmtId="0" fontId="7" fillId="0" borderId="97" xfId="0" applyFont="1" applyBorder="1" applyAlignment="1">
      <alignment vertical="top"/>
    </xf>
    <xf numFmtId="0" fontId="7" fillId="10" borderId="1" xfId="0" applyFont="1" applyFill="1" applyBorder="1" applyAlignment="1" applyProtection="1">
      <alignment horizontal="right" vertical="top" readingOrder="1"/>
      <protection locked="0"/>
    </xf>
    <xf numFmtId="0" fontId="1" fillId="7" borderId="60" xfId="0" applyFont="1" applyFill="1" applyBorder="1" applyAlignment="1" applyProtection="1">
      <alignment horizontal="right" vertical="top" readingOrder="1"/>
      <protection locked="0"/>
    </xf>
    <xf numFmtId="0" fontId="3" fillId="7" borderId="0" xfId="0" applyFont="1" applyFill="1"/>
    <xf numFmtId="0" fontId="7" fillId="0" borderId="6" xfId="0" applyFont="1" applyBorder="1" applyAlignment="1" applyProtection="1">
      <alignment horizontal="left" vertical="top" wrapText="1" readingOrder="1"/>
      <protection locked="0"/>
    </xf>
    <xf numFmtId="0" fontId="7" fillId="9" borderId="8" xfId="0" applyFont="1" applyFill="1" applyBorder="1" applyAlignment="1" applyProtection="1">
      <alignment horizontal="right" vertical="top" readingOrder="1"/>
      <protection locked="0"/>
    </xf>
    <xf numFmtId="0" fontId="1" fillId="3" borderId="10" xfId="0" applyFont="1" applyFill="1" applyBorder="1" applyAlignment="1" applyProtection="1">
      <alignment vertical="top" wrapText="1" readingOrder="1"/>
      <protection locked="0"/>
    </xf>
    <xf numFmtId="0" fontId="1" fillId="3" borderId="11" xfId="0" applyFont="1" applyFill="1" applyBorder="1" applyAlignment="1" applyProtection="1">
      <alignment vertical="top" wrapText="1" readingOrder="1"/>
      <protection locked="0"/>
    </xf>
    <xf numFmtId="0" fontId="1" fillId="3" borderId="12" xfId="0" applyFont="1" applyFill="1" applyBorder="1" applyAlignment="1" applyProtection="1">
      <alignment vertical="top" wrapText="1" readingOrder="1"/>
      <protection locked="0"/>
    </xf>
    <xf numFmtId="0" fontId="3" fillId="13" borderId="0" xfId="0" applyFont="1" applyFill="1"/>
    <xf numFmtId="0" fontId="14" fillId="0" borderId="0" xfId="0" applyFont="1"/>
    <xf numFmtId="0" fontId="1" fillId="4" borderId="58" xfId="0" applyFont="1" applyFill="1" applyBorder="1" applyAlignment="1" applyProtection="1">
      <alignment vertical="top" readingOrder="1"/>
      <protection locked="0"/>
    </xf>
    <xf numFmtId="0" fontId="1" fillId="4" borderId="36" xfId="0" applyFont="1" applyFill="1" applyBorder="1" applyAlignment="1" applyProtection="1">
      <alignment vertical="top" wrapText="1" readingOrder="1"/>
      <protection locked="0"/>
    </xf>
    <xf numFmtId="0" fontId="1" fillId="4" borderId="36" xfId="0" applyFont="1" applyFill="1" applyBorder="1" applyAlignment="1" applyProtection="1">
      <alignment horizontal="left" vertical="top" readingOrder="1"/>
      <protection locked="0"/>
    </xf>
    <xf numFmtId="164" fontId="1" fillId="4" borderId="36" xfId="0" applyNumberFormat="1" applyFont="1" applyFill="1" applyBorder="1" applyAlignment="1">
      <alignment horizontal="right" vertical="top" readingOrder="1"/>
    </xf>
    <xf numFmtId="9" fontId="7" fillId="4" borderId="36" xfId="0" applyNumberFormat="1" applyFont="1" applyFill="1" applyBorder="1" applyAlignment="1">
      <alignment horizontal="right" vertical="top" readingOrder="1"/>
    </xf>
    <xf numFmtId="0" fontId="1" fillId="0" borderId="99" xfId="0" applyFont="1" applyBorder="1" applyAlignment="1" applyProtection="1">
      <alignment horizontal="left" vertical="top" wrapText="1" readingOrder="1"/>
      <protection locked="0"/>
    </xf>
    <xf numFmtId="0" fontId="3" fillId="0" borderId="100" xfId="0" applyFont="1" applyBorder="1"/>
    <xf numFmtId="0" fontId="7" fillId="0" borderId="8" xfId="0" applyFont="1" applyBorder="1" applyAlignment="1" applyProtection="1">
      <alignment horizontal="center" vertical="top" readingOrder="1"/>
      <protection locked="0"/>
    </xf>
    <xf numFmtId="0" fontId="7" fillId="0" borderId="8" xfId="0" applyFont="1" applyBorder="1" applyAlignment="1" applyProtection="1">
      <alignment horizontal="right" vertical="top" readingOrder="1"/>
      <protection locked="0"/>
    </xf>
    <xf numFmtId="0" fontId="1" fillId="0" borderId="10" xfId="0" applyFont="1" applyBorder="1" applyAlignment="1" applyProtection="1">
      <alignment vertical="top" readingOrder="1"/>
      <protection locked="0"/>
    </xf>
    <xf numFmtId="0" fontId="1" fillId="10" borderId="10" xfId="0" applyFont="1" applyFill="1" applyBorder="1" applyAlignment="1" applyProtection="1">
      <alignment vertical="top" readingOrder="1"/>
      <protection locked="0"/>
    </xf>
    <xf numFmtId="0" fontId="1" fillId="0" borderId="16" xfId="0" applyFont="1" applyBorder="1" applyAlignment="1" applyProtection="1">
      <alignment vertical="top" wrapText="1" readingOrder="1"/>
      <protection locked="0"/>
    </xf>
    <xf numFmtId="164" fontId="1" fillId="0" borderId="45" xfId="0" applyNumberFormat="1" applyFont="1" applyBorder="1" applyAlignment="1">
      <alignment horizontal="right" vertical="top" readingOrder="1"/>
    </xf>
    <xf numFmtId="0" fontId="1" fillId="0" borderId="45" xfId="0" applyFont="1" applyBorder="1" applyAlignment="1" applyProtection="1">
      <alignment vertical="top" readingOrder="1"/>
      <protection locked="0"/>
    </xf>
    <xf numFmtId="0" fontId="1" fillId="0" borderId="85" xfId="0" applyFont="1" applyBorder="1" applyAlignment="1" applyProtection="1">
      <alignment vertical="top" wrapText="1" readingOrder="1"/>
      <protection locked="0"/>
    </xf>
    <xf numFmtId="0" fontId="3" fillId="0" borderId="0" xfId="0" applyFont="1" applyBorder="1" applyAlignment="1">
      <alignment vertical="center"/>
    </xf>
    <xf numFmtId="0" fontId="1" fillId="10" borderId="36" xfId="0" applyFont="1" applyFill="1" applyBorder="1" applyAlignment="1" applyProtection="1">
      <alignment horizontal="right" vertical="top" readingOrder="1"/>
      <protection locked="0"/>
    </xf>
    <xf numFmtId="0" fontId="6" fillId="0" borderId="36" xfId="0" applyFont="1" applyBorder="1" applyAlignment="1" applyProtection="1">
      <alignment horizontal="left" vertical="top" wrapText="1" readingOrder="1"/>
      <protection locked="0"/>
    </xf>
    <xf numFmtId="3" fontId="1" fillId="0" borderId="30" xfId="0" applyNumberFormat="1" applyFont="1" applyBorder="1" applyAlignment="1" applyProtection="1">
      <alignment horizontal="right" vertical="top" readingOrder="1"/>
      <protection locked="0"/>
    </xf>
    <xf numFmtId="0" fontId="3" fillId="7" borderId="92" xfId="0" applyFont="1" applyFill="1" applyBorder="1" applyAlignment="1">
      <alignment vertical="center"/>
    </xf>
    <xf numFmtId="0" fontId="17" fillId="0" borderId="37" xfId="0" applyFont="1" applyBorder="1"/>
    <xf numFmtId="0" fontId="18" fillId="2" borderId="37" xfId="1" applyFont="1" applyBorder="1" applyAlignment="1">
      <alignment horizontal="center" vertical="center"/>
    </xf>
    <xf numFmtId="0" fontId="18" fillId="2" borderId="37" xfId="1" applyFont="1" applyBorder="1" applyAlignment="1">
      <alignment horizontal="center" vertical="center" wrapText="1"/>
    </xf>
    <xf numFmtId="0" fontId="17" fillId="8" borderId="37" xfId="0" applyFont="1" applyFill="1" applyBorder="1"/>
    <xf numFmtId="0" fontId="19" fillId="0" borderId="37" xfId="0" applyFont="1" applyBorder="1" applyAlignment="1">
      <alignment vertical="center" wrapText="1"/>
    </xf>
    <xf numFmtId="0" fontId="18" fillId="0" borderId="37" xfId="0" applyFont="1" applyBorder="1" applyAlignment="1">
      <alignment horizontal="center" vertical="center"/>
    </xf>
    <xf numFmtId="0" fontId="17" fillId="12" borderId="37" xfId="0" applyFont="1" applyFill="1" applyBorder="1"/>
    <xf numFmtId="0" fontId="17" fillId="10" borderId="37" xfId="0" applyFont="1" applyFill="1" applyBorder="1"/>
    <xf numFmtId="0" fontId="20" fillId="0" borderId="37" xfId="0" applyFont="1" applyBorder="1" applyAlignment="1">
      <alignment horizontal="center" vertical="center"/>
    </xf>
    <xf numFmtId="0" fontId="17" fillId="7" borderId="37" xfId="0" applyFont="1" applyFill="1" applyBorder="1"/>
    <xf numFmtId="0" fontId="17" fillId="14" borderId="37" xfId="0" applyFont="1" applyFill="1" applyBorder="1"/>
    <xf numFmtId="0" fontId="20" fillId="0" borderId="37" xfId="0" applyFont="1" applyBorder="1" applyAlignment="1">
      <alignment vertical="center"/>
    </xf>
    <xf numFmtId="0" fontId="17" fillId="9" borderId="37" xfId="0" applyFont="1" applyFill="1" applyBorder="1"/>
    <xf numFmtId="0" fontId="2" fillId="2" borderId="0" xfId="0" applyFont="1" applyFill="1"/>
    <xf numFmtId="0" fontId="3" fillId="0" borderId="0" xfId="0" applyFont="1" applyAlignment="1">
      <alignment horizontal="right" wrapText="1"/>
    </xf>
    <xf numFmtId="0" fontId="21" fillId="0" borderId="9" xfId="0" applyFont="1" applyBorder="1" applyAlignment="1" applyProtection="1">
      <alignment horizontal="left" vertical="top" wrapText="1" readingOrder="1"/>
      <protection locked="0"/>
    </xf>
    <xf numFmtId="0" fontId="4" fillId="0" borderId="1" xfId="0" applyFont="1" applyBorder="1" applyAlignment="1">
      <alignment horizontal="center" vertical="center" wrapText="1" readingOrder="1"/>
    </xf>
    <xf numFmtId="0" fontId="4" fillId="0" borderId="1" xfId="0" applyFont="1" applyBorder="1" applyAlignment="1">
      <alignment horizontal="center" vertical="center" readingOrder="1"/>
    </xf>
    <xf numFmtId="0" fontId="1" fillId="0" borderId="10" xfId="0" applyFont="1" applyBorder="1" applyAlignment="1" applyProtection="1">
      <alignment horizontal="center" vertical="top" wrapText="1" readingOrder="1"/>
      <protection locked="0"/>
    </xf>
    <xf numFmtId="0" fontId="1" fillId="0" borderId="11" xfId="0" applyFont="1" applyBorder="1" applyAlignment="1" applyProtection="1">
      <alignment horizontal="center" vertical="top" wrapText="1" readingOrder="1"/>
      <protection locked="0"/>
    </xf>
    <xf numFmtId="0" fontId="1" fillId="0" borderId="12" xfId="0" applyFont="1" applyBorder="1" applyAlignment="1" applyProtection="1">
      <alignment horizontal="center" vertical="top" wrapText="1" readingOrder="1"/>
      <protection locked="0"/>
    </xf>
    <xf numFmtId="0" fontId="1" fillId="0" borderId="16" xfId="0" applyFont="1" applyBorder="1" applyAlignment="1" applyProtection="1">
      <alignment horizontal="center" vertical="top" wrapText="1" readingOrder="1"/>
      <protection locked="0"/>
    </xf>
    <xf numFmtId="0" fontId="1" fillId="0" borderId="17" xfId="0" applyFont="1" applyBorder="1" applyAlignment="1" applyProtection="1">
      <alignment horizontal="center" vertical="top" wrapText="1" readingOrder="1"/>
      <protection locked="0"/>
    </xf>
    <xf numFmtId="0" fontId="1" fillId="0" borderId="18" xfId="0" applyFont="1" applyBorder="1" applyAlignment="1" applyProtection="1">
      <alignment horizontal="center" vertical="top" wrapText="1" readingOrder="1"/>
      <protection locked="0"/>
    </xf>
    <xf numFmtId="0" fontId="1" fillId="0" borderId="10" xfId="0" applyFont="1" applyBorder="1" applyAlignment="1" applyProtection="1">
      <alignment horizontal="left" vertical="top" wrapText="1" readingOrder="1"/>
      <protection locked="0"/>
    </xf>
    <xf numFmtId="0" fontId="1" fillId="0" borderId="11" xfId="0" applyFont="1" applyBorder="1" applyAlignment="1" applyProtection="1">
      <alignment horizontal="left" vertical="top" wrapText="1" readingOrder="1"/>
      <protection locked="0"/>
    </xf>
    <xf numFmtId="0" fontId="1" fillId="0" borderId="12" xfId="0" applyFont="1" applyBorder="1" applyAlignment="1" applyProtection="1">
      <alignment horizontal="left" vertical="top" wrapText="1" readingOrder="1"/>
      <protection locked="0"/>
    </xf>
    <xf numFmtId="0" fontId="1" fillId="0" borderId="10" xfId="0" applyFont="1" applyBorder="1" applyAlignment="1" applyProtection="1">
      <alignment horizontal="center" vertical="top" readingOrder="1"/>
      <protection locked="0"/>
    </xf>
    <xf numFmtId="0" fontId="1" fillId="0" borderId="11" xfId="0" applyFont="1" applyBorder="1" applyAlignment="1" applyProtection="1">
      <alignment horizontal="center" vertical="top" readingOrder="1"/>
      <protection locked="0"/>
    </xf>
    <xf numFmtId="0" fontId="1" fillId="0" borderId="12" xfId="0" applyFont="1" applyBorder="1" applyAlignment="1" applyProtection="1">
      <alignment horizontal="center" vertical="top" readingOrder="1"/>
      <protection locked="0"/>
    </xf>
    <xf numFmtId="0" fontId="1" fillId="0" borderId="10" xfId="0" applyFont="1" applyBorder="1" applyAlignment="1" applyProtection="1">
      <alignment horizontal="right" vertical="top" readingOrder="1"/>
      <protection locked="0"/>
    </xf>
    <xf numFmtId="0" fontId="1" fillId="0" borderId="11" xfId="0" applyFont="1" applyBorder="1" applyAlignment="1" applyProtection="1">
      <alignment horizontal="right" vertical="top" readingOrder="1"/>
      <protection locked="0"/>
    </xf>
    <xf numFmtId="0" fontId="1" fillId="0" borderId="12" xfId="0" applyFont="1" applyBorder="1" applyAlignment="1" applyProtection="1">
      <alignment horizontal="right" vertical="top" readingOrder="1"/>
      <protection locked="0"/>
    </xf>
    <xf numFmtId="0" fontId="1" fillId="8" borderId="10" xfId="0" applyFont="1" applyFill="1" applyBorder="1" applyAlignment="1" applyProtection="1">
      <alignment horizontal="right" vertical="top" readingOrder="1"/>
      <protection locked="0"/>
    </xf>
    <xf numFmtId="0" fontId="1" fillId="8" borderId="11" xfId="0" applyFont="1" applyFill="1" applyBorder="1" applyAlignment="1" applyProtection="1">
      <alignment horizontal="right" vertical="top" readingOrder="1"/>
      <protection locked="0"/>
    </xf>
    <xf numFmtId="0" fontId="1" fillId="8" borderId="12" xfId="0" applyFont="1" applyFill="1" applyBorder="1" applyAlignment="1" applyProtection="1">
      <alignment horizontal="right" vertical="top" readingOrder="1"/>
      <protection locked="0"/>
    </xf>
    <xf numFmtId="0" fontId="1" fillId="7" borderId="10" xfId="0" applyFont="1" applyFill="1" applyBorder="1" applyAlignment="1" applyProtection="1">
      <alignment horizontal="right" vertical="top" readingOrder="1"/>
      <protection locked="0"/>
    </xf>
    <xf numFmtId="0" fontId="1" fillId="7" borderId="11" xfId="0" applyFont="1" applyFill="1" applyBorder="1" applyAlignment="1" applyProtection="1">
      <alignment horizontal="right" vertical="top" readingOrder="1"/>
      <protection locked="0"/>
    </xf>
    <xf numFmtId="0" fontId="1" fillId="7" borderId="12" xfId="0" applyFont="1" applyFill="1" applyBorder="1" applyAlignment="1" applyProtection="1">
      <alignment horizontal="right" vertical="top" readingOrder="1"/>
      <protection locked="0"/>
    </xf>
    <xf numFmtId="0" fontId="1" fillId="0" borderId="16" xfId="0" applyFont="1" applyBorder="1" applyAlignment="1" applyProtection="1">
      <alignment horizontal="left" vertical="top" wrapText="1" readingOrder="1"/>
      <protection locked="0"/>
    </xf>
    <xf numFmtId="0" fontId="1" fillId="0" borderId="17" xfId="0" applyFont="1" applyBorder="1" applyAlignment="1" applyProtection="1">
      <alignment horizontal="left" vertical="top" wrapText="1" readingOrder="1"/>
      <protection locked="0"/>
    </xf>
    <xf numFmtId="0" fontId="1" fillId="0" borderId="18" xfId="0" applyFont="1" applyBorder="1" applyAlignment="1" applyProtection="1">
      <alignment horizontal="left" vertical="top" wrapText="1" readingOrder="1"/>
      <protection locked="0"/>
    </xf>
    <xf numFmtId="0" fontId="1" fillId="0" borderId="19" xfId="0" applyFont="1" applyBorder="1" applyAlignment="1" applyProtection="1">
      <alignment horizontal="center" vertical="top" wrapText="1" readingOrder="1"/>
      <protection locked="0"/>
    </xf>
    <xf numFmtId="0" fontId="1" fillId="0" borderId="20" xfId="0" applyFont="1" applyBorder="1" applyAlignment="1" applyProtection="1">
      <alignment horizontal="center" vertical="top" wrapText="1" readingOrder="1"/>
      <protection locked="0"/>
    </xf>
    <xf numFmtId="0" fontId="1" fillId="0" borderId="46" xfId="0" applyFont="1" applyBorder="1" applyAlignment="1" applyProtection="1">
      <alignment horizontal="right" vertical="top" readingOrder="1"/>
      <protection locked="0"/>
    </xf>
    <xf numFmtId="0" fontId="1" fillId="10" borderId="46" xfId="0" applyFont="1" applyFill="1" applyBorder="1" applyAlignment="1" applyProtection="1">
      <alignment horizontal="right" vertical="top" readingOrder="1"/>
      <protection locked="0"/>
    </xf>
    <xf numFmtId="0" fontId="1" fillId="10" borderId="11" xfId="0" applyFont="1" applyFill="1" applyBorder="1" applyAlignment="1" applyProtection="1">
      <alignment horizontal="right" vertical="top" readingOrder="1"/>
      <protection locked="0"/>
    </xf>
    <xf numFmtId="0" fontId="1" fillId="10" borderId="12" xfId="0" applyFont="1" applyFill="1" applyBorder="1" applyAlignment="1" applyProtection="1">
      <alignment horizontal="right" vertical="top" readingOrder="1"/>
      <protection locked="0"/>
    </xf>
    <xf numFmtId="0" fontId="1" fillId="0" borderId="41" xfId="0" applyFont="1" applyBorder="1" applyAlignment="1" applyProtection="1">
      <alignment horizontal="left" vertical="top" wrapText="1" readingOrder="1"/>
      <protection locked="0"/>
    </xf>
    <xf numFmtId="0" fontId="1" fillId="0" borderId="77" xfId="0" applyFont="1" applyBorder="1" applyAlignment="1" applyProtection="1">
      <alignment horizontal="left" vertical="top" wrapText="1" readingOrder="1"/>
      <protection locked="0"/>
    </xf>
    <xf numFmtId="0" fontId="1" fillId="0" borderId="19" xfId="0" applyFont="1" applyBorder="1" applyAlignment="1" applyProtection="1">
      <alignment horizontal="center" vertical="top" readingOrder="1"/>
      <protection locked="0"/>
    </xf>
    <xf numFmtId="0" fontId="1" fillId="0" borderId="19" xfId="0" applyFont="1" applyBorder="1" applyAlignment="1" applyProtection="1">
      <alignment horizontal="right" vertical="top" readingOrder="1"/>
      <protection locked="0"/>
    </xf>
    <xf numFmtId="0" fontId="1" fillId="7" borderId="19" xfId="0" applyFont="1" applyFill="1" applyBorder="1" applyAlignment="1" applyProtection="1">
      <alignment horizontal="right" vertical="top" readingOrder="1"/>
      <protection locked="0"/>
    </xf>
    <xf numFmtId="0" fontId="1" fillId="0" borderId="19" xfId="0" applyFont="1" applyBorder="1" applyAlignment="1" applyProtection="1">
      <alignment horizontal="left" vertical="top" wrapText="1" readingOrder="1"/>
      <protection locked="0"/>
    </xf>
    <xf numFmtId="0" fontId="1" fillId="4" borderId="21" xfId="0" applyFont="1" applyFill="1" applyBorder="1" applyAlignment="1" applyProtection="1">
      <alignment horizontal="center" vertical="top" wrapText="1" readingOrder="1"/>
      <protection locked="0"/>
    </xf>
    <xf numFmtId="0" fontId="1" fillId="4" borderId="22" xfId="0" applyFont="1" applyFill="1" applyBorder="1" applyAlignment="1" applyProtection="1">
      <alignment horizontal="center" vertical="top" wrapText="1" readingOrder="1"/>
      <protection locked="0"/>
    </xf>
    <xf numFmtId="0" fontId="1" fillId="4" borderId="23" xfId="0" applyFont="1" applyFill="1" applyBorder="1" applyAlignment="1" applyProtection="1">
      <alignment horizontal="center" vertical="top" wrapText="1" readingOrder="1"/>
      <protection locked="0"/>
    </xf>
    <xf numFmtId="0" fontId="1" fillId="9" borderId="10" xfId="0" applyFont="1" applyFill="1" applyBorder="1" applyAlignment="1" applyProtection="1">
      <alignment horizontal="right" vertical="top" readingOrder="1"/>
      <protection locked="0"/>
    </xf>
    <xf numFmtId="0" fontId="1" fillId="9" borderId="12" xfId="0" applyFont="1" applyFill="1" applyBorder="1" applyAlignment="1" applyProtection="1">
      <alignment horizontal="right" vertical="top" readingOrder="1"/>
      <protection locked="0"/>
    </xf>
    <xf numFmtId="0" fontId="1" fillId="0" borderId="76" xfId="0" applyFont="1" applyBorder="1" applyAlignment="1" applyProtection="1">
      <alignment horizontal="left" vertical="top" wrapText="1" readingOrder="1"/>
      <protection locked="0"/>
    </xf>
    <xf numFmtId="0" fontId="1" fillId="0" borderId="42" xfId="0" applyFont="1" applyBorder="1" applyAlignment="1" applyProtection="1">
      <alignment horizontal="left" vertical="top" wrapText="1" readingOrder="1"/>
      <protection locked="0"/>
    </xf>
    <xf numFmtId="0" fontId="1" fillId="9" borderId="11" xfId="0" applyFont="1" applyFill="1" applyBorder="1" applyAlignment="1" applyProtection="1">
      <alignment horizontal="right" vertical="top" readingOrder="1"/>
      <protection locked="0"/>
    </xf>
    <xf numFmtId="0" fontId="7" fillId="0" borderId="10" xfId="0" applyFont="1" applyBorder="1" applyAlignment="1" applyProtection="1">
      <alignment horizontal="left" vertical="top" wrapText="1" readingOrder="1"/>
      <protection locked="0"/>
    </xf>
    <xf numFmtId="0" fontId="7" fillId="0" borderId="11" xfId="0" applyFont="1" applyBorder="1" applyAlignment="1" applyProtection="1">
      <alignment horizontal="left" vertical="top" wrapText="1" readingOrder="1"/>
      <protection locked="0"/>
    </xf>
    <xf numFmtId="0" fontId="7" fillId="0" borderId="12" xfId="0" applyFont="1" applyBorder="1" applyAlignment="1" applyProtection="1">
      <alignment horizontal="left" vertical="top" wrapText="1" readingOrder="1"/>
      <protection locked="0"/>
    </xf>
    <xf numFmtId="0" fontId="1" fillId="12" borderId="19" xfId="0" applyFont="1" applyFill="1" applyBorder="1" applyAlignment="1" applyProtection="1">
      <alignment horizontal="right" vertical="top" readingOrder="1"/>
      <protection locked="0"/>
    </xf>
    <xf numFmtId="0" fontId="1" fillId="12" borderId="12" xfId="0" applyFont="1" applyFill="1" applyBorder="1" applyAlignment="1" applyProtection="1">
      <alignment horizontal="right" vertical="top" readingOrder="1"/>
      <protection locked="0"/>
    </xf>
    <xf numFmtId="0" fontId="7" fillId="0" borderId="19" xfId="0" applyFont="1" applyBorder="1" applyAlignment="1" applyProtection="1">
      <alignment horizontal="left" vertical="top" wrapText="1" readingOrder="1"/>
      <protection locked="0"/>
    </xf>
    <xf numFmtId="0" fontId="1" fillId="0" borderId="20" xfId="0" applyFont="1" applyBorder="1" applyAlignment="1" applyProtection="1">
      <alignment horizontal="left" vertical="top" wrapText="1" readingOrder="1"/>
      <protection locked="0"/>
    </xf>
    <xf numFmtId="0" fontId="1" fillId="9" borderId="19" xfId="0" applyFont="1" applyFill="1" applyBorder="1" applyAlignment="1" applyProtection="1">
      <alignment horizontal="right" vertical="top" readingOrder="1"/>
      <protection locked="0"/>
    </xf>
    <xf numFmtId="0" fontId="7" fillId="0" borderId="20" xfId="0" applyFont="1" applyBorder="1" applyAlignment="1" applyProtection="1">
      <alignment horizontal="left" vertical="top" wrapText="1" readingOrder="1"/>
      <protection locked="0"/>
    </xf>
    <xf numFmtId="0" fontId="7" fillId="0" borderId="17" xfId="0" applyFont="1" applyBorder="1" applyAlignment="1" applyProtection="1">
      <alignment horizontal="left" vertical="top" wrapText="1" readingOrder="1"/>
      <protection locked="0"/>
    </xf>
    <xf numFmtId="0" fontId="7" fillId="0" borderId="18" xfId="0" applyFont="1" applyBorder="1" applyAlignment="1" applyProtection="1">
      <alignment horizontal="left" vertical="top" wrapText="1" readingOrder="1"/>
      <protection locked="0"/>
    </xf>
    <xf numFmtId="0" fontId="1" fillId="0" borderId="13" xfId="0" applyFont="1" applyBorder="1" applyAlignment="1" applyProtection="1">
      <alignment vertical="top" readingOrder="1"/>
      <protection locked="0"/>
    </xf>
    <xf numFmtId="0" fontId="1" fillId="0" borderId="14" xfId="0" applyFont="1" applyBorder="1" applyAlignment="1" applyProtection="1">
      <alignment vertical="top" readingOrder="1"/>
      <protection locked="0"/>
    </xf>
    <xf numFmtId="0" fontId="1" fillId="0" borderId="15" xfId="0" applyFont="1" applyBorder="1" applyAlignment="1" applyProtection="1">
      <alignment vertical="top" readingOrder="1"/>
      <protection locked="0"/>
    </xf>
    <xf numFmtId="0" fontId="1" fillId="0" borderId="59" xfId="0" applyFont="1" applyBorder="1" applyAlignment="1" applyProtection="1">
      <alignment vertical="top" readingOrder="1"/>
      <protection locked="0"/>
    </xf>
    <xf numFmtId="0" fontId="1" fillId="0" borderId="64" xfId="0" applyFont="1" applyBorder="1" applyAlignment="1" applyProtection="1">
      <alignment vertical="top" readingOrder="1"/>
      <protection locked="0"/>
    </xf>
    <xf numFmtId="0" fontId="1" fillId="0" borderId="46" xfId="0" applyFont="1" applyBorder="1" applyAlignment="1" applyProtection="1">
      <alignment horizontal="left" vertical="top" wrapText="1" readingOrder="1"/>
      <protection locked="0"/>
    </xf>
    <xf numFmtId="0" fontId="1" fillId="0" borderId="29" xfId="0" applyFont="1" applyBorder="1" applyAlignment="1" applyProtection="1">
      <alignment horizontal="left" vertical="top" wrapText="1" readingOrder="1"/>
      <protection locked="0"/>
    </xf>
    <xf numFmtId="0" fontId="7" fillId="8" borderId="10" xfId="0" applyFont="1" applyFill="1" applyBorder="1" applyAlignment="1" applyProtection="1">
      <alignment horizontal="right" vertical="top" readingOrder="1"/>
      <protection locked="0"/>
    </xf>
    <xf numFmtId="0" fontId="7" fillId="8" borderId="11" xfId="0" applyFont="1" applyFill="1" applyBorder="1" applyAlignment="1" applyProtection="1">
      <alignment horizontal="right" vertical="top" readingOrder="1"/>
      <protection locked="0"/>
    </xf>
    <xf numFmtId="0" fontId="7" fillId="8" borderId="12" xfId="0" applyFont="1" applyFill="1" applyBorder="1" applyAlignment="1" applyProtection="1">
      <alignment horizontal="right" vertical="top" readingOrder="1"/>
      <protection locked="0"/>
    </xf>
    <xf numFmtId="164" fontId="1" fillId="3" borderId="10" xfId="0" applyNumberFormat="1" applyFont="1" applyFill="1" applyBorder="1" applyAlignment="1">
      <alignment horizontal="right" vertical="top" readingOrder="1"/>
    </xf>
    <xf numFmtId="164" fontId="1" fillId="3" borderId="11" xfId="0" applyNumberFormat="1" applyFont="1" applyFill="1" applyBorder="1" applyAlignment="1">
      <alignment horizontal="right" vertical="top" readingOrder="1"/>
    </xf>
    <xf numFmtId="164" fontId="1" fillId="3" borderId="12" xfId="0" applyNumberFormat="1" applyFont="1" applyFill="1" applyBorder="1" applyAlignment="1">
      <alignment horizontal="right" vertical="top" readingOrder="1"/>
    </xf>
    <xf numFmtId="9" fontId="7" fillId="3" borderId="10" xfId="0" applyNumberFormat="1" applyFont="1" applyFill="1" applyBorder="1" applyAlignment="1">
      <alignment horizontal="right" vertical="top" readingOrder="1"/>
    </xf>
    <xf numFmtId="9" fontId="7" fillId="3" borderId="11" xfId="0" applyNumberFormat="1" applyFont="1" applyFill="1" applyBorder="1" applyAlignment="1">
      <alignment horizontal="right" vertical="top" readingOrder="1"/>
    </xf>
    <xf numFmtId="9" fontId="7" fillId="3" borderId="12" xfId="0" applyNumberFormat="1" applyFont="1" applyFill="1" applyBorder="1" applyAlignment="1">
      <alignment horizontal="right" vertical="top" readingOrder="1"/>
    </xf>
    <xf numFmtId="0" fontId="1" fillId="3" borderId="13" xfId="0" applyFont="1" applyFill="1" applyBorder="1" applyAlignment="1" applyProtection="1">
      <alignment vertical="top" readingOrder="1"/>
      <protection locked="0"/>
    </xf>
    <xf numFmtId="0" fontId="1" fillId="3" borderId="14" xfId="0" applyFont="1" applyFill="1" applyBorder="1" applyAlignment="1" applyProtection="1">
      <alignment vertical="top" readingOrder="1"/>
      <protection locked="0"/>
    </xf>
    <xf numFmtId="0" fontId="1" fillId="3" borderId="15" xfId="0" applyFont="1" applyFill="1" applyBorder="1" applyAlignment="1" applyProtection="1">
      <alignment vertical="top" readingOrder="1"/>
      <protection locked="0"/>
    </xf>
    <xf numFmtId="0" fontId="1" fillId="3" borderId="10" xfId="0" applyFont="1" applyFill="1" applyBorder="1" applyAlignment="1" applyProtection="1">
      <alignment horizontal="left" vertical="top" wrapText="1" readingOrder="1"/>
      <protection locked="0"/>
    </xf>
    <xf numFmtId="0" fontId="1" fillId="3" borderId="11" xfId="0" applyFont="1" applyFill="1" applyBorder="1" applyAlignment="1" applyProtection="1">
      <alignment horizontal="left" vertical="top" wrapText="1" readingOrder="1"/>
      <protection locked="0"/>
    </xf>
    <xf numFmtId="0" fontId="1" fillId="3" borderId="12" xfId="0" applyFont="1" applyFill="1" applyBorder="1" applyAlignment="1" applyProtection="1">
      <alignment horizontal="left" vertical="top" wrapText="1" readingOrder="1"/>
      <protection locked="0"/>
    </xf>
    <xf numFmtId="0" fontId="1" fillId="3" borderId="10" xfId="0" applyFont="1" applyFill="1" applyBorder="1" applyAlignment="1" applyProtection="1">
      <alignment horizontal="center" vertical="top" readingOrder="1"/>
      <protection locked="0"/>
    </xf>
    <xf numFmtId="0" fontId="1" fillId="3" borderId="11" xfId="0" applyFont="1" applyFill="1" applyBorder="1" applyAlignment="1" applyProtection="1">
      <alignment horizontal="center" vertical="top" readingOrder="1"/>
      <protection locked="0"/>
    </xf>
    <xf numFmtId="0" fontId="1" fillId="3" borderId="12" xfId="0" applyFont="1" applyFill="1" applyBorder="1" applyAlignment="1" applyProtection="1">
      <alignment horizontal="center" vertical="top" readingOrder="1"/>
      <protection locked="0"/>
    </xf>
    <xf numFmtId="3" fontId="1" fillId="0" borderId="10" xfId="0" applyNumberFormat="1" applyFont="1" applyBorder="1" applyAlignment="1" applyProtection="1">
      <alignment horizontal="right" vertical="top" readingOrder="1"/>
      <protection locked="0"/>
    </xf>
    <xf numFmtId="3" fontId="1" fillId="0" borderId="11" xfId="0" applyNumberFormat="1" applyFont="1" applyBorder="1" applyAlignment="1" applyProtection="1">
      <alignment horizontal="right" vertical="top" readingOrder="1"/>
      <protection locked="0"/>
    </xf>
    <xf numFmtId="3" fontId="1" fillId="0" borderId="12" xfId="0" applyNumberFormat="1" applyFont="1" applyBorder="1" applyAlignment="1" applyProtection="1">
      <alignment horizontal="right" vertical="top" readingOrder="1"/>
      <protection locked="0"/>
    </xf>
    <xf numFmtId="0" fontId="1" fillId="4" borderId="26" xfId="0" applyFont="1" applyFill="1" applyBorder="1" applyAlignment="1" applyProtection="1">
      <alignment horizontal="center" vertical="top" wrapText="1" readingOrder="1"/>
      <protection locked="0"/>
    </xf>
    <xf numFmtId="0" fontId="1" fillId="4" borderId="98" xfId="0" applyFont="1" applyFill="1" applyBorder="1" applyAlignment="1" applyProtection="1">
      <alignment horizontal="center" vertical="top" wrapText="1" readingOrder="1"/>
      <protection locked="0"/>
    </xf>
    <xf numFmtId="0" fontId="1" fillId="4" borderId="27" xfId="0" applyFont="1" applyFill="1" applyBorder="1" applyAlignment="1" applyProtection="1">
      <alignment horizontal="center" vertical="top" wrapText="1" readingOrder="1"/>
      <protection locked="0"/>
    </xf>
    <xf numFmtId="4" fontId="1" fillId="7" borderId="10" xfId="0" applyNumberFormat="1" applyFont="1" applyFill="1" applyBorder="1" applyAlignment="1" applyProtection="1">
      <alignment horizontal="right" vertical="top" readingOrder="1"/>
      <protection locked="0"/>
    </xf>
    <xf numFmtId="4" fontId="1" fillId="7" borderId="11" xfId="0" applyNumberFormat="1" applyFont="1" applyFill="1" applyBorder="1" applyAlignment="1" applyProtection="1">
      <alignment horizontal="right" vertical="top" readingOrder="1"/>
      <protection locked="0"/>
    </xf>
    <xf numFmtId="0" fontId="1" fillId="8" borderId="19" xfId="0" applyFont="1" applyFill="1" applyBorder="1" applyAlignment="1" applyProtection="1">
      <alignment horizontal="right" vertical="top" readingOrder="1"/>
      <protection locked="0"/>
    </xf>
    <xf numFmtId="0" fontId="8" fillId="0" borderId="16" xfId="0" applyFont="1" applyBorder="1" applyAlignment="1" applyProtection="1">
      <alignment horizontal="left" vertical="top" wrapText="1" readingOrder="1"/>
      <protection locked="0"/>
    </xf>
    <xf numFmtId="0" fontId="8" fillId="0" borderId="17" xfId="0" applyFont="1" applyBorder="1" applyAlignment="1" applyProtection="1">
      <alignment horizontal="left" vertical="top" wrapText="1" readingOrder="1"/>
      <protection locked="0"/>
    </xf>
    <xf numFmtId="0" fontId="8" fillId="0" borderId="18" xfId="0" applyFont="1" applyBorder="1" applyAlignment="1" applyProtection="1">
      <alignment horizontal="left" vertical="top" wrapText="1" readingOrder="1"/>
      <protection locked="0"/>
    </xf>
    <xf numFmtId="0" fontId="1" fillId="3" borderId="10" xfId="0" applyFont="1" applyFill="1" applyBorder="1" applyAlignment="1" applyProtection="1">
      <alignment horizontal="center" vertical="top" wrapText="1" readingOrder="1"/>
      <protection locked="0"/>
    </xf>
    <xf numFmtId="0" fontId="1" fillId="3" borderId="12" xfId="0" applyFont="1" applyFill="1" applyBorder="1" applyAlignment="1" applyProtection="1">
      <alignment horizontal="center" vertical="top" wrapText="1" readingOrder="1"/>
      <protection locked="0"/>
    </xf>
    <xf numFmtId="0" fontId="1" fillId="3" borderId="21" xfId="0" applyFont="1" applyFill="1" applyBorder="1" applyAlignment="1" applyProtection="1">
      <alignment horizontal="center" vertical="top" wrapText="1" readingOrder="1"/>
      <protection locked="0"/>
    </xf>
    <xf numFmtId="0" fontId="1" fillId="3" borderId="23" xfId="0" applyFont="1" applyFill="1" applyBorder="1" applyAlignment="1" applyProtection="1">
      <alignment horizontal="center" vertical="top" wrapText="1" readingOrder="1"/>
      <protection locked="0"/>
    </xf>
    <xf numFmtId="164" fontId="1" fillId="3" borderId="46" xfId="0" applyNumberFormat="1" applyFont="1" applyFill="1" applyBorder="1" applyAlignment="1">
      <alignment horizontal="right" vertical="top" readingOrder="1"/>
    </xf>
    <xf numFmtId="164" fontId="1" fillId="3" borderId="29" xfId="0" applyNumberFormat="1" applyFont="1" applyFill="1" applyBorder="1" applyAlignment="1">
      <alignment horizontal="right" vertical="top" readingOrder="1"/>
    </xf>
    <xf numFmtId="0" fontId="1" fillId="4" borderId="24" xfId="0" applyFont="1" applyFill="1" applyBorder="1" applyAlignment="1" applyProtection="1">
      <alignment horizontal="center" vertical="top" wrapText="1" readingOrder="1"/>
      <protection locked="0"/>
    </xf>
    <xf numFmtId="0" fontId="1" fillId="4" borderId="72" xfId="0" applyFont="1" applyFill="1" applyBorder="1" applyAlignment="1" applyProtection="1">
      <alignment horizontal="center" vertical="top" wrapText="1" readingOrder="1"/>
      <protection locked="0"/>
    </xf>
    <xf numFmtId="0" fontId="1" fillId="4" borderId="25" xfId="0" applyFont="1" applyFill="1" applyBorder="1" applyAlignment="1" applyProtection="1">
      <alignment horizontal="center" vertical="top" wrapText="1" readingOrder="1"/>
      <protection locked="0"/>
    </xf>
    <xf numFmtId="0" fontId="1" fillId="3" borderId="59" xfId="0" applyFont="1" applyFill="1" applyBorder="1" applyAlignment="1" applyProtection="1">
      <alignment vertical="top" readingOrder="1"/>
      <protection locked="0"/>
    </xf>
    <xf numFmtId="0" fontId="1" fillId="3" borderId="64" xfId="0" applyFont="1" applyFill="1" applyBorder="1" applyAlignment="1" applyProtection="1">
      <alignment vertical="top" readingOrder="1"/>
      <protection locked="0"/>
    </xf>
    <xf numFmtId="0" fontId="1" fillId="3" borderId="46" xfId="0" applyFont="1" applyFill="1" applyBorder="1" applyAlignment="1" applyProtection="1">
      <alignment horizontal="left" vertical="top" wrapText="1" readingOrder="1"/>
      <protection locked="0"/>
    </xf>
    <xf numFmtId="0" fontId="1" fillId="3" borderId="29" xfId="0" applyFont="1" applyFill="1" applyBorder="1" applyAlignment="1" applyProtection="1">
      <alignment horizontal="left" vertical="top" wrapText="1" readingOrder="1"/>
      <protection locked="0"/>
    </xf>
    <xf numFmtId="0" fontId="1" fillId="3" borderId="46" xfId="0" applyFont="1" applyFill="1" applyBorder="1" applyAlignment="1" applyProtection="1">
      <alignment horizontal="center" vertical="top" readingOrder="1"/>
      <protection locked="0"/>
    </xf>
    <xf numFmtId="0" fontId="1" fillId="3" borderId="29" xfId="0" applyFont="1" applyFill="1" applyBorder="1" applyAlignment="1" applyProtection="1">
      <alignment horizontal="center" vertical="top" readingOrder="1"/>
      <protection locked="0"/>
    </xf>
    <xf numFmtId="9" fontId="7" fillId="3" borderId="46" xfId="0" applyNumberFormat="1" applyFont="1" applyFill="1" applyBorder="1" applyAlignment="1">
      <alignment horizontal="right" vertical="top" readingOrder="1"/>
    </xf>
    <xf numFmtId="9" fontId="7" fillId="3" borderId="29" xfId="0" applyNumberFormat="1" applyFont="1" applyFill="1" applyBorder="1" applyAlignment="1">
      <alignment horizontal="right" vertical="top" readingOrder="1"/>
    </xf>
    <xf numFmtId="0" fontId="1" fillId="0" borderId="68" xfId="0" applyFont="1" applyBorder="1" applyAlignment="1" applyProtection="1">
      <alignment vertical="top" readingOrder="1"/>
      <protection locked="0"/>
    </xf>
    <xf numFmtId="0" fontId="1" fillId="10" borderId="10" xfId="0" applyFont="1" applyFill="1" applyBorder="1" applyAlignment="1" applyProtection="1">
      <alignment horizontal="right" vertical="top" readingOrder="1"/>
      <protection locked="0"/>
    </xf>
    <xf numFmtId="0" fontId="1" fillId="0" borderId="28" xfId="0" applyFont="1" applyBorder="1" applyAlignment="1" applyProtection="1">
      <alignment vertical="top" readingOrder="1"/>
      <protection locked="0"/>
    </xf>
    <xf numFmtId="0" fontId="1" fillId="3" borderId="68" xfId="0" applyFont="1" applyFill="1" applyBorder="1" applyAlignment="1" applyProtection="1">
      <alignment vertical="top" readingOrder="1"/>
      <protection locked="0"/>
    </xf>
    <xf numFmtId="0" fontId="7" fillId="0" borderId="16" xfId="0" applyFont="1" applyBorder="1" applyAlignment="1" applyProtection="1">
      <alignment horizontal="left" vertical="top" wrapText="1" readingOrder="1"/>
      <protection locked="0"/>
    </xf>
    <xf numFmtId="0" fontId="1" fillId="6" borderId="34" xfId="0" applyFont="1" applyFill="1" applyBorder="1" applyAlignment="1" applyProtection="1">
      <alignment horizontal="left" vertical="top" wrapText="1" readingOrder="1"/>
      <protection locked="0"/>
    </xf>
    <xf numFmtId="0" fontId="1" fillId="6" borderId="35" xfId="0" applyFont="1" applyFill="1" applyBorder="1" applyAlignment="1" applyProtection="1">
      <alignment horizontal="left" vertical="top" wrapText="1" readingOrder="1"/>
      <protection locked="0"/>
    </xf>
    <xf numFmtId="0" fontId="1" fillId="3" borderId="25" xfId="0" applyFont="1" applyFill="1" applyBorder="1" applyAlignment="1" applyProtection="1">
      <alignment horizontal="center" vertical="top" wrapText="1" readingOrder="1"/>
      <protection locked="0"/>
    </xf>
    <xf numFmtId="0" fontId="1" fillId="3" borderId="27" xfId="0" applyFont="1" applyFill="1" applyBorder="1" applyAlignment="1" applyProtection="1">
      <alignment horizontal="center" vertical="top" wrapText="1" readingOrder="1"/>
      <protection locked="0"/>
    </xf>
    <xf numFmtId="0" fontId="1" fillId="12" borderId="10" xfId="0" applyFont="1" applyFill="1" applyBorder="1" applyAlignment="1" applyProtection="1">
      <alignment horizontal="right" vertical="top" readingOrder="1"/>
      <protection locked="0"/>
    </xf>
    <xf numFmtId="0" fontId="1" fillId="12" borderId="11" xfId="0" applyFont="1" applyFill="1" applyBorder="1" applyAlignment="1" applyProtection="1">
      <alignment horizontal="right" vertical="top" readingOrder="1"/>
      <protection locked="0"/>
    </xf>
    <xf numFmtId="0" fontId="1" fillId="3" borderId="21" xfId="0" applyFont="1" applyFill="1" applyBorder="1" applyAlignment="1" applyProtection="1">
      <alignment horizontal="center" vertical="top" readingOrder="1"/>
      <protection locked="0"/>
    </xf>
    <xf numFmtId="0" fontId="1" fillId="3" borderId="23" xfId="0" applyFont="1" applyFill="1" applyBorder="1" applyAlignment="1" applyProtection="1">
      <alignment horizontal="center" vertical="top" readingOrder="1"/>
      <protection locked="0"/>
    </xf>
    <xf numFmtId="0" fontId="1" fillId="4" borderId="21" xfId="0" applyFont="1" applyFill="1" applyBorder="1" applyAlignment="1" applyProtection="1">
      <alignment horizontal="center" vertical="top" readingOrder="1"/>
      <protection locked="0"/>
    </xf>
    <xf numFmtId="0" fontId="1" fillId="4" borderId="22" xfId="0" applyFont="1" applyFill="1" applyBorder="1" applyAlignment="1" applyProtection="1">
      <alignment horizontal="center" vertical="top" readingOrder="1"/>
      <protection locked="0"/>
    </xf>
    <xf numFmtId="0" fontId="1" fillId="4" borderId="23" xfId="0" applyFont="1" applyFill="1" applyBorder="1" applyAlignment="1" applyProtection="1">
      <alignment horizontal="center" vertical="top" readingOrder="1"/>
      <protection locked="0"/>
    </xf>
    <xf numFmtId="0" fontId="2" fillId="2" borderId="0" xfId="0" applyFont="1" applyFill="1" applyAlignment="1">
      <alignment horizontal="center"/>
    </xf>
    <xf numFmtId="0" fontId="4" fillId="0" borderId="1" xfId="0" applyFont="1" applyBorder="1" applyAlignment="1">
      <alignment horizontal="center" vertical="center" wrapText="1" readingOrder="1"/>
    </xf>
    <xf numFmtId="0" fontId="4" fillId="0" borderId="1" xfId="0" applyFont="1" applyBorder="1" applyAlignment="1">
      <alignment horizontal="center" vertical="center" wrapText="1"/>
    </xf>
    <xf numFmtId="0" fontId="4" fillId="0" borderId="75" xfId="0" applyFont="1" applyBorder="1" applyAlignment="1">
      <alignment horizontal="center" vertical="center" wrapText="1"/>
    </xf>
    <xf numFmtId="2" fontId="1" fillId="0" borderId="13" xfId="0" applyNumberFormat="1" applyFont="1" applyBorder="1" applyAlignment="1" applyProtection="1">
      <alignment vertical="top" readingOrder="1"/>
      <protection locked="0"/>
    </xf>
    <xf numFmtId="2" fontId="1" fillId="0" borderId="14" xfId="0" applyNumberFormat="1" applyFont="1" applyBorder="1" applyAlignment="1" applyProtection="1">
      <alignment vertical="top" readingOrder="1"/>
      <protection locked="0"/>
    </xf>
    <xf numFmtId="2" fontId="1" fillId="0" borderId="15" xfId="0" applyNumberFormat="1" applyFont="1" applyBorder="1" applyAlignment="1" applyProtection="1">
      <alignment vertical="top" readingOrder="1"/>
      <protection locked="0"/>
    </xf>
    <xf numFmtId="0" fontId="1" fillId="3" borderId="22" xfId="0" applyFont="1" applyFill="1" applyBorder="1" applyAlignment="1" applyProtection="1">
      <alignment horizontal="center" vertical="top" wrapText="1" readingOrder="1"/>
      <protection locked="0"/>
    </xf>
    <xf numFmtId="0" fontId="4" fillId="0" borderId="7" xfId="0" applyFont="1" applyBorder="1" applyAlignment="1">
      <alignment readingOrder="1"/>
    </xf>
    <xf numFmtId="0" fontId="4" fillId="0" borderId="5" xfId="0" applyFont="1" applyBorder="1" applyAlignment="1">
      <alignment readingOrder="1"/>
    </xf>
    <xf numFmtId="0" fontId="4" fillId="0" borderId="2" xfId="0" applyFont="1" applyBorder="1" applyAlignment="1">
      <alignment readingOrder="1"/>
    </xf>
    <xf numFmtId="0" fontId="4" fillId="0" borderId="8" xfId="0" applyFont="1" applyBorder="1" applyAlignment="1">
      <alignment horizontal="center" wrapText="1" readingOrder="1"/>
    </xf>
    <xf numFmtId="0" fontId="4" fillId="0" borderId="1" xfId="0" applyFont="1" applyBorder="1" applyAlignment="1">
      <alignment horizontal="center" wrapText="1" readingOrder="1"/>
    </xf>
    <xf numFmtId="0" fontId="4" fillId="0" borderId="3" xfId="0" applyFont="1" applyBorder="1" applyAlignment="1">
      <alignment horizontal="center" wrapText="1" readingOrder="1"/>
    </xf>
    <xf numFmtId="0" fontId="4" fillId="0" borderId="8" xfId="0" applyFont="1" applyBorder="1" applyAlignment="1">
      <alignment horizontal="center" readingOrder="1"/>
    </xf>
    <xf numFmtId="0" fontId="4" fillId="0" borderId="1" xfId="0" applyFont="1" applyBorder="1" applyAlignment="1">
      <alignment horizontal="center" readingOrder="1"/>
    </xf>
    <xf numFmtId="0" fontId="4" fillId="0" borderId="3" xfId="0" applyFont="1" applyBorder="1" applyAlignment="1">
      <alignment horizontal="center" readingOrder="1"/>
    </xf>
    <xf numFmtId="0" fontId="4" fillId="0" borderId="6" xfId="0" applyFont="1" applyBorder="1" applyAlignment="1">
      <alignment horizontal="center" readingOrder="1"/>
    </xf>
    <xf numFmtId="0" fontId="4" fillId="0" borderId="4" xfId="0" applyFont="1" applyBorder="1" applyAlignment="1">
      <alignment horizontal="center" readingOrder="1"/>
    </xf>
    <xf numFmtId="0" fontId="4" fillId="0" borderId="8" xfId="0" applyFont="1" applyBorder="1" applyAlignment="1">
      <alignment horizontal="center" vertical="center" wrapText="1" readingOrder="1"/>
    </xf>
    <xf numFmtId="0" fontId="4" fillId="0" borderId="8" xfId="0" applyFont="1" applyBorder="1" applyAlignment="1">
      <alignment horizontal="center" vertical="center" wrapText="1"/>
    </xf>
    <xf numFmtId="0" fontId="4" fillId="0" borderId="8" xfId="0" applyFont="1" applyBorder="1" applyAlignment="1">
      <alignment horizontal="center" wrapText="1"/>
    </xf>
    <xf numFmtId="0" fontId="4" fillId="0" borderId="8" xfId="0" applyFont="1" applyBorder="1" applyAlignment="1">
      <alignment horizontal="center"/>
    </xf>
    <xf numFmtId="0" fontId="4" fillId="0" borderId="9" xfId="0" applyFont="1" applyBorder="1" applyAlignment="1">
      <alignment horizontal="center"/>
    </xf>
    <xf numFmtId="9" fontId="12" fillId="0" borderId="10" xfId="0" applyNumberFormat="1" applyFont="1" applyBorder="1" applyAlignment="1">
      <alignment horizontal="center" vertical="center" wrapText="1"/>
    </xf>
    <xf numFmtId="9" fontId="12" fillId="0" borderId="11" xfId="0" applyNumberFormat="1" applyFont="1" applyBorder="1" applyAlignment="1">
      <alignment horizontal="center" vertical="center" wrapText="1"/>
    </xf>
    <xf numFmtId="9" fontId="12" fillId="0" borderId="12" xfId="0" applyNumberFormat="1" applyFont="1" applyBorder="1" applyAlignment="1">
      <alignment horizontal="center" vertical="center" wrapText="1"/>
    </xf>
    <xf numFmtId="0" fontId="4" fillId="0" borderId="1" xfId="0" applyFont="1" applyBorder="1" applyAlignment="1">
      <alignment horizontal="center"/>
    </xf>
    <xf numFmtId="0" fontId="1" fillId="3" borderId="11" xfId="0" applyFont="1" applyFill="1" applyBorder="1" applyAlignment="1" applyProtection="1">
      <alignment horizontal="center" vertical="top" wrapText="1" readingOrder="1"/>
      <protection locked="0"/>
    </xf>
    <xf numFmtId="0" fontId="1" fillId="0" borderId="89" xfId="0" applyFont="1" applyBorder="1" applyAlignment="1" applyProtection="1">
      <alignment horizontal="left" vertical="top" wrapText="1" readingOrder="1"/>
      <protection locked="0"/>
    </xf>
    <xf numFmtId="0" fontId="1" fillId="0" borderId="29" xfId="0" applyFont="1" applyBorder="1" applyAlignment="1" applyProtection="1">
      <alignment horizontal="center" vertical="top" readingOrder="1"/>
      <protection locked="0"/>
    </xf>
    <xf numFmtId="0" fontId="1" fillId="0" borderId="82" xfId="0" applyFont="1" applyBorder="1" applyAlignment="1" applyProtection="1">
      <alignment horizontal="left" vertical="top" wrapText="1" readingOrder="1"/>
      <protection locked="0"/>
    </xf>
    <xf numFmtId="0" fontId="1" fillId="0" borderId="46" xfId="0" applyFont="1" applyBorder="1" applyAlignment="1" applyProtection="1">
      <alignment horizontal="center" vertical="top" readingOrder="1"/>
      <protection locked="0"/>
    </xf>
    <xf numFmtId="0" fontId="1" fillId="0" borderId="83" xfId="0" applyFont="1" applyBorder="1" applyAlignment="1" applyProtection="1">
      <alignment horizontal="left" vertical="top" wrapText="1" readingOrder="1"/>
      <protection locked="0"/>
    </xf>
    <xf numFmtId="0" fontId="1" fillId="3" borderId="54" xfId="0" applyFont="1" applyFill="1" applyBorder="1" applyAlignment="1" applyProtection="1">
      <alignment horizontal="center" vertical="top" wrapText="1" readingOrder="1"/>
      <protection locked="0"/>
    </xf>
    <xf numFmtId="0" fontId="1" fillId="3" borderId="16" xfId="0" applyFont="1" applyFill="1" applyBorder="1" applyAlignment="1" applyProtection="1">
      <alignment horizontal="left" vertical="top" wrapText="1" readingOrder="1"/>
      <protection locked="0"/>
    </xf>
    <xf numFmtId="0" fontId="1" fillId="3" borderId="18" xfId="0" applyFont="1" applyFill="1" applyBorder="1" applyAlignment="1" applyProtection="1">
      <alignment horizontal="left" vertical="top" wrapText="1" readingOrder="1"/>
      <protection locked="0"/>
    </xf>
    <xf numFmtId="3" fontId="1" fillId="7" borderId="10" xfId="0" applyNumberFormat="1" applyFont="1" applyFill="1" applyBorder="1" applyAlignment="1" applyProtection="1">
      <alignment horizontal="right" vertical="top" readingOrder="1"/>
      <protection locked="0"/>
    </xf>
    <xf numFmtId="3" fontId="1" fillId="7" borderId="11" xfId="0" applyNumberFormat="1" applyFont="1" applyFill="1" applyBorder="1" applyAlignment="1" applyProtection="1">
      <alignment horizontal="right" vertical="top" readingOrder="1"/>
      <protection locked="0"/>
    </xf>
    <xf numFmtId="3" fontId="1" fillId="7" borderId="12" xfId="0" applyNumberFormat="1" applyFont="1" applyFill="1" applyBorder="1" applyAlignment="1" applyProtection="1">
      <alignment horizontal="right" vertical="top" readingOrder="1"/>
      <protection locked="0"/>
    </xf>
    <xf numFmtId="0" fontId="7" fillId="9" borderId="10" xfId="0" applyFont="1" applyFill="1" applyBorder="1" applyAlignment="1" applyProtection="1">
      <alignment horizontal="right" vertical="top" readingOrder="1"/>
      <protection locked="0"/>
    </xf>
    <xf numFmtId="0" fontId="7" fillId="9" borderId="11" xfId="0" applyFont="1" applyFill="1" applyBorder="1" applyAlignment="1" applyProtection="1">
      <alignment horizontal="right" vertical="top" readingOrder="1"/>
      <protection locked="0"/>
    </xf>
    <xf numFmtId="0" fontId="7" fillId="9" borderId="12" xfId="0" applyFont="1" applyFill="1" applyBorder="1" applyAlignment="1" applyProtection="1">
      <alignment horizontal="right" vertical="top" readingOrder="1"/>
      <protection locked="0"/>
    </xf>
    <xf numFmtId="3" fontId="1" fillId="12" borderId="10" xfId="0" applyNumberFormat="1" applyFont="1" applyFill="1" applyBorder="1" applyAlignment="1" applyProtection="1">
      <alignment horizontal="right" vertical="top" readingOrder="1"/>
      <protection locked="0"/>
    </xf>
    <xf numFmtId="3" fontId="1" fillId="12" borderId="11" xfId="0" applyNumberFormat="1" applyFont="1" applyFill="1" applyBorder="1" applyAlignment="1" applyProtection="1">
      <alignment horizontal="right" vertical="top" readingOrder="1"/>
      <protection locked="0"/>
    </xf>
    <xf numFmtId="3" fontId="1" fillId="12" borderId="12" xfId="0" applyNumberFormat="1" applyFont="1" applyFill="1" applyBorder="1" applyAlignment="1" applyProtection="1">
      <alignment horizontal="right" vertical="top" readingOrder="1"/>
      <protection locked="0"/>
    </xf>
    <xf numFmtId="4" fontId="1" fillId="7" borderId="19" xfId="0" applyNumberFormat="1" applyFont="1" applyFill="1" applyBorder="1" applyAlignment="1" applyProtection="1">
      <alignment horizontal="right" vertical="top" readingOrder="1"/>
      <protection locked="0"/>
    </xf>
    <xf numFmtId="4" fontId="1" fillId="7" borderId="12" xfId="0" applyNumberFormat="1" applyFont="1" applyFill="1" applyBorder="1" applyAlignment="1" applyProtection="1">
      <alignment horizontal="right" vertical="top" readingOrder="1"/>
      <protection locked="0"/>
    </xf>
    <xf numFmtId="3" fontId="1" fillId="10" borderId="10" xfId="0" applyNumberFormat="1" applyFont="1" applyFill="1" applyBorder="1" applyAlignment="1" applyProtection="1">
      <alignment horizontal="right" vertical="top" readingOrder="1"/>
      <protection locked="0"/>
    </xf>
    <xf numFmtId="3" fontId="1" fillId="10" borderId="12" xfId="0" applyNumberFormat="1" applyFont="1" applyFill="1" applyBorder="1" applyAlignment="1" applyProtection="1">
      <alignment horizontal="right" vertical="top" readingOrder="1"/>
      <protection locked="0"/>
    </xf>
    <xf numFmtId="3" fontId="1" fillId="0" borderId="19" xfId="0" applyNumberFormat="1" applyFont="1" applyBorder="1" applyAlignment="1" applyProtection="1">
      <alignment horizontal="right" vertical="top" readingOrder="1"/>
      <protection locked="0"/>
    </xf>
    <xf numFmtId="3" fontId="1" fillId="0" borderId="29" xfId="0" applyNumberFormat="1" applyFont="1" applyBorder="1" applyAlignment="1" applyProtection="1">
      <alignment horizontal="right" vertical="top" readingOrder="1"/>
      <protection locked="0"/>
    </xf>
    <xf numFmtId="3" fontId="1" fillId="10" borderId="19" xfId="0" applyNumberFormat="1" applyFont="1" applyFill="1" applyBorder="1" applyAlignment="1" applyProtection="1">
      <alignment horizontal="right" vertical="top" readingOrder="1"/>
      <protection locked="0"/>
    </xf>
    <xf numFmtId="3" fontId="1" fillId="10" borderId="29" xfId="0" applyNumberFormat="1" applyFont="1" applyFill="1" applyBorder="1" applyAlignment="1" applyProtection="1">
      <alignment horizontal="right" vertical="top" readingOrder="1"/>
      <protection locked="0"/>
    </xf>
    <xf numFmtId="0" fontId="1" fillId="0" borderId="29" xfId="0" applyFont="1" applyBorder="1" applyAlignment="1" applyProtection="1">
      <alignment horizontal="center" vertical="top" wrapText="1" readingOrder="1"/>
      <protection locked="0"/>
    </xf>
    <xf numFmtId="0" fontId="1" fillId="0" borderId="90" xfId="0" applyFont="1" applyBorder="1" applyAlignment="1" applyProtection="1">
      <alignment horizontal="left" vertical="top" wrapText="1" readingOrder="1"/>
      <protection locked="0"/>
    </xf>
    <xf numFmtId="0" fontId="1" fillId="0" borderId="70" xfId="0" applyFont="1" applyBorder="1" applyAlignment="1" applyProtection="1">
      <alignment horizontal="left" vertical="top" wrapText="1" readingOrder="1"/>
      <protection locked="0"/>
    </xf>
    <xf numFmtId="0" fontId="1" fillId="0" borderId="29" xfId="0" applyFont="1" applyBorder="1" applyAlignment="1" applyProtection="1">
      <alignment horizontal="right" vertical="top" readingOrder="1"/>
      <protection locked="0"/>
    </xf>
    <xf numFmtId="0" fontId="1" fillId="8" borderId="29" xfId="0" applyFont="1" applyFill="1" applyBorder="1" applyAlignment="1" applyProtection="1">
      <alignment horizontal="right" vertical="top" readingOrder="1"/>
      <protection locked="0"/>
    </xf>
    <xf numFmtId="0" fontId="1" fillId="0" borderId="90" xfId="0" applyFont="1" applyBorder="1" applyAlignment="1" applyProtection="1">
      <alignment horizontal="center" vertical="top" wrapText="1" readingOrder="1"/>
      <protection locked="0"/>
    </xf>
    <xf numFmtId="0" fontId="1" fillId="0" borderId="70" xfId="0" applyFont="1" applyBorder="1" applyAlignment="1" applyProtection="1">
      <alignment horizontal="center" vertical="top" wrapText="1" readingOrder="1"/>
      <protection locked="0"/>
    </xf>
    <xf numFmtId="3" fontId="1" fillId="10" borderId="11" xfId="0" applyNumberFormat="1" applyFont="1" applyFill="1" applyBorder="1" applyAlignment="1" applyProtection="1">
      <alignment horizontal="right" vertical="top" readingOrder="1"/>
      <protection locked="0"/>
    </xf>
    <xf numFmtId="0" fontId="1" fillId="3" borderId="24" xfId="0" applyFont="1" applyFill="1" applyBorder="1" applyAlignment="1" applyProtection="1">
      <alignment horizontal="center" vertical="top" wrapText="1" readingOrder="1"/>
      <protection locked="0"/>
    </xf>
    <xf numFmtId="0" fontId="1" fillId="3" borderId="32" xfId="0" applyFont="1" applyFill="1" applyBorder="1" applyAlignment="1" applyProtection="1">
      <alignment horizontal="center" vertical="top" wrapText="1" readingOrder="1"/>
      <protection locked="0"/>
    </xf>
    <xf numFmtId="0" fontId="1" fillId="3" borderId="33" xfId="0" applyFont="1" applyFill="1" applyBorder="1" applyAlignment="1" applyProtection="1">
      <alignment horizontal="center" vertical="top" wrapText="1" readingOrder="1"/>
      <protection locked="0"/>
    </xf>
    <xf numFmtId="0" fontId="1" fillId="3" borderId="26" xfId="0" applyFont="1" applyFill="1" applyBorder="1" applyAlignment="1" applyProtection="1">
      <alignment horizontal="center" vertical="top" wrapText="1" readingOrder="1"/>
      <protection locked="0"/>
    </xf>
    <xf numFmtId="0" fontId="1" fillId="13" borderId="10" xfId="0" applyFont="1" applyFill="1" applyBorder="1" applyAlignment="1" applyProtection="1">
      <alignment horizontal="right" vertical="top" readingOrder="1"/>
      <protection locked="0"/>
    </xf>
    <xf numFmtId="0" fontId="1" fillId="13" borderId="11" xfId="0" applyFont="1" applyFill="1" applyBorder="1" applyAlignment="1" applyProtection="1">
      <alignment horizontal="right" vertical="top" readingOrder="1"/>
      <protection locked="0"/>
    </xf>
    <xf numFmtId="0" fontId="1" fillId="13" borderId="12" xfId="0" applyFont="1" applyFill="1" applyBorder="1" applyAlignment="1" applyProtection="1">
      <alignment horizontal="right" vertical="top" readingOrder="1"/>
      <protection locked="0"/>
    </xf>
    <xf numFmtId="0" fontId="7" fillId="6" borderId="101" xfId="0" applyFont="1" applyFill="1" applyBorder="1" applyAlignment="1" applyProtection="1">
      <alignment horizontal="center" vertical="top" wrapText="1" readingOrder="1"/>
      <protection locked="0"/>
    </xf>
    <xf numFmtId="0" fontId="7" fillId="6" borderId="102" xfId="0" applyFont="1" applyFill="1" applyBorder="1" applyAlignment="1" applyProtection="1">
      <alignment horizontal="center" vertical="top" wrapText="1" readingOrder="1"/>
      <protection locked="0"/>
    </xf>
    <xf numFmtId="0" fontId="1" fillId="3" borderId="103" xfId="0" applyFont="1" applyFill="1" applyBorder="1" applyAlignment="1" applyProtection="1">
      <alignment horizontal="center" vertical="top" wrapText="1" readingOrder="1"/>
      <protection locked="0"/>
    </xf>
    <xf numFmtId="0" fontId="1" fillId="3" borderId="100" xfId="0" applyFont="1" applyFill="1" applyBorder="1" applyAlignment="1" applyProtection="1">
      <alignment horizontal="center" vertical="top" wrapText="1" readingOrder="1"/>
      <protection locked="0"/>
    </xf>
    <xf numFmtId="0" fontId="1" fillId="3" borderId="104" xfId="0" applyFont="1" applyFill="1" applyBorder="1" applyAlignment="1" applyProtection="1">
      <alignment horizontal="center" vertical="top" wrapText="1" readingOrder="1"/>
      <protection locked="0"/>
    </xf>
    <xf numFmtId="0" fontId="1" fillId="3" borderId="105" xfId="0" applyFont="1" applyFill="1" applyBorder="1" applyAlignment="1" applyProtection="1">
      <alignment horizontal="center" vertical="top" wrapText="1" readingOrder="1"/>
      <protection locked="0"/>
    </xf>
    <xf numFmtId="0" fontId="1" fillId="3" borderId="106" xfId="0" applyFont="1" applyFill="1" applyBorder="1" applyAlignment="1" applyProtection="1">
      <alignment horizontal="center" vertical="top" wrapText="1" readingOrder="1"/>
      <protection locked="0"/>
    </xf>
    <xf numFmtId="0" fontId="1" fillId="3" borderId="107" xfId="0" applyFont="1" applyFill="1" applyBorder="1" applyAlignment="1" applyProtection="1">
      <alignment horizontal="center" vertical="top" wrapText="1" readingOrder="1"/>
      <protection locked="0"/>
    </xf>
    <xf numFmtId="0" fontId="1" fillId="3" borderId="108" xfId="0" applyFont="1" applyFill="1" applyBorder="1" applyAlignment="1" applyProtection="1">
      <alignment horizontal="center" vertical="top" wrapText="1" readingOrder="1"/>
      <protection locked="0"/>
    </xf>
    <xf numFmtId="0" fontId="1" fillId="3" borderId="109" xfId="0" applyFont="1" applyFill="1" applyBorder="1" applyAlignment="1" applyProtection="1">
      <alignment horizontal="center" vertical="top" wrapText="1" readingOrder="1"/>
      <protection locked="0"/>
    </xf>
    <xf numFmtId="0" fontId="1" fillId="3" borderId="110" xfId="0" applyFont="1" applyFill="1" applyBorder="1" applyAlignment="1" applyProtection="1">
      <alignment horizontal="center" vertical="top" wrapText="1" readingOrder="1"/>
      <protection locked="0"/>
    </xf>
    <xf numFmtId="0" fontId="1" fillId="3" borderId="111" xfId="0" applyFont="1" applyFill="1" applyBorder="1" applyAlignment="1" applyProtection="1">
      <alignment horizontal="center" vertical="top" wrapText="1" readingOrder="1"/>
      <protection locked="0"/>
    </xf>
    <xf numFmtId="0" fontId="1" fillId="3" borderId="112" xfId="0" applyFont="1" applyFill="1" applyBorder="1" applyAlignment="1" applyProtection="1">
      <alignment horizontal="center" vertical="top" wrapText="1" readingOrder="1"/>
      <protection locked="0"/>
    </xf>
    <xf numFmtId="0" fontId="1" fillId="3" borderId="113" xfId="0" applyFont="1" applyFill="1" applyBorder="1" applyAlignment="1" applyProtection="1">
      <alignment horizontal="center" vertical="top" wrapText="1" readingOrder="1"/>
      <protection locked="0"/>
    </xf>
  </cellXfs>
  <cellStyles count="2">
    <cellStyle name="Įprastas" xfId="0" builtinId="0"/>
    <cellStyle name="Įprastas 2" xfId="1" xr:uid="{8849D627-EF3C-4435-81D6-336429C8AAB0}"/>
  </cellStyles>
  <dxfs count="0"/>
  <tableStyles count="0" defaultTableStyle="TableStyleMedium2" defaultPivotStyle="PivotStyleLight16"/>
  <colors>
    <mruColors>
      <color rgb="FFE2EFDA"/>
      <color rgb="FFFFCCCC"/>
      <color rgb="FFDFE4D6"/>
      <color rgb="FFD8FAD4"/>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ctr">
              <a:defRPr sz="1400" b="1" i="0" u="none" strike="noStrike" kern="1200" spc="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lt-LT" b="1">
                <a:latin typeface="Times New Roman" panose="02020603050405020304" pitchFamily="18" charset="0"/>
                <a:cs typeface="Times New Roman" panose="02020603050405020304" pitchFamily="18" charset="0"/>
              </a:rPr>
              <a:t>0</a:t>
            </a:r>
            <a:r>
              <a:rPr lang="en-US" b="1">
                <a:latin typeface="Times New Roman" panose="02020603050405020304" pitchFamily="18" charset="0"/>
                <a:cs typeface="Times New Roman" panose="02020603050405020304" pitchFamily="18" charset="0"/>
              </a:rPr>
              <a:t>1</a:t>
            </a:r>
            <a:r>
              <a:rPr lang="lt-LT" b="1">
                <a:latin typeface="Times New Roman" panose="02020603050405020304" pitchFamily="18" charset="0"/>
                <a:cs typeface="Times New Roman" panose="02020603050405020304" pitchFamily="18" charset="0"/>
              </a:rPr>
              <a:t> programos vykdymas</a:t>
            </a:r>
            <a:endParaRPr lang="en-US" b="1">
              <a:latin typeface="Times New Roman" panose="02020603050405020304" pitchFamily="18" charset="0"/>
              <a:cs typeface="Times New Roman" panose="02020603050405020304" pitchFamily="18" charset="0"/>
            </a:endParaRPr>
          </a:p>
        </c:rich>
      </c:tx>
      <c:layout>
        <c:manualLayout>
          <c:xMode val="edge"/>
          <c:yMode val="edge"/>
          <c:x val="0.33486259871065305"/>
          <c:y val="2.2352316310111694E-2"/>
        </c:manualLayout>
      </c:layout>
      <c:overlay val="0"/>
      <c:spPr>
        <a:noFill/>
        <a:ln>
          <a:noFill/>
        </a:ln>
        <a:effectLst/>
      </c:spPr>
      <c:txPr>
        <a:bodyPr rot="0" spcFirstLastPara="1" vertOverflow="ellipsis" vert="horz" wrap="square" anchor="ctr" anchorCtr="1"/>
        <a:lstStyle/>
        <a:p>
          <a:pPr algn="ctr">
            <a:defRPr sz="1400" b="1" i="0" u="none" strike="noStrike" kern="1200" spc="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spPr>
            <a:ln w="31750"/>
            <a:scene3d>
              <a:camera prst="orthographicFront"/>
              <a:lightRig rig="threePt" dir="t"/>
            </a:scene3d>
            <a:sp3d prstMaterial="matte">
              <a:contourClr>
                <a:srgbClr val="000000"/>
              </a:contourClr>
            </a:sp3d>
          </c:spPr>
          <c:explosion val="3"/>
          <c:dPt>
            <c:idx val="0"/>
            <c:bubble3D val="0"/>
            <c:spPr>
              <a:solidFill>
                <a:srgbClr val="E2EFDA"/>
              </a:solidFill>
              <a:ln w="31750">
                <a:solidFill>
                  <a:schemeClr val="accent3">
                    <a:lumMod val="20000"/>
                    <a:lumOff val="80000"/>
                  </a:schemeClr>
                </a:solidFill>
              </a:ln>
              <a:effectLst/>
              <a:scene3d>
                <a:camera prst="orthographicFront"/>
                <a:lightRig rig="threePt" dir="t"/>
              </a:scene3d>
              <a:sp3d contourW="31750" prstMaterial="matte">
                <a:contourClr>
                  <a:schemeClr val="accent3">
                    <a:lumMod val="20000"/>
                    <a:lumOff val="80000"/>
                  </a:schemeClr>
                </a:contourClr>
              </a:sp3d>
            </c:spPr>
            <c:extLst>
              <c:ext xmlns:c16="http://schemas.microsoft.com/office/drawing/2014/chart" uri="{C3380CC4-5D6E-409C-BE32-E72D297353CC}">
                <c16:uniqueId val="{00000001-E683-402B-A580-40124E07DC5A}"/>
              </c:ext>
            </c:extLst>
          </c:dPt>
          <c:dPt>
            <c:idx val="1"/>
            <c:bubble3D val="0"/>
            <c:spPr>
              <a:solidFill>
                <a:srgbClr val="FFCCCC"/>
              </a:solidFill>
              <a:ln w="31750">
                <a:solidFill>
                  <a:srgbClr val="FFCCCC"/>
                </a:solidFill>
              </a:ln>
              <a:effectLst/>
              <a:scene3d>
                <a:camera prst="orthographicFront"/>
                <a:lightRig rig="threePt" dir="t"/>
              </a:scene3d>
              <a:sp3d contourW="31750" prstMaterial="matte">
                <a:contourClr>
                  <a:srgbClr val="FFCCCC"/>
                </a:contourClr>
              </a:sp3d>
            </c:spPr>
            <c:extLst>
              <c:ext xmlns:c16="http://schemas.microsoft.com/office/drawing/2014/chart" uri="{C3380CC4-5D6E-409C-BE32-E72D297353CC}">
                <c16:uniqueId val="{00000003-E683-402B-A580-40124E07DC5A}"/>
              </c:ext>
            </c:extLst>
          </c:dPt>
          <c:dPt>
            <c:idx val="2"/>
            <c:bubble3D val="0"/>
            <c:spPr>
              <a:solidFill>
                <a:srgbClr val="FFC000"/>
              </a:solidFill>
              <a:ln w="31750">
                <a:solidFill>
                  <a:srgbClr val="FFC000"/>
                </a:solidFill>
              </a:ln>
              <a:effectLst/>
              <a:scene3d>
                <a:camera prst="orthographicFront"/>
                <a:lightRig rig="threePt" dir="t"/>
              </a:scene3d>
              <a:sp3d contourW="31750" prstMaterial="matte">
                <a:contourClr>
                  <a:srgbClr val="FFC000"/>
                </a:contourClr>
              </a:sp3d>
            </c:spPr>
            <c:extLst>
              <c:ext xmlns:c16="http://schemas.microsoft.com/office/drawing/2014/chart" uri="{C3380CC4-5D6E-409C-BE32-E72D297353CC}">
                <c16:uniqueId val="{00000005-E683-402B-A580-40124E07DC5A}"/>
              </c:ext>
            </c:extLst>
          </c:dPt>
          <c:dPt>
            <c:idx val="3"/>
            <c:bubble3D val="0"/>
            <c:spPr>
              <a:solidFill>
                <a:schemeClr val="bg1">
                  <a:lumMod val="85000"/>
                </a:schemeClr>
              </a:solidFill>
              <a:ln w="31750">
                <a:solidFill>
                  <a:schemeClr val="bg1">
                    <a:lumMod val="85000"/>
                  </a:schemeClr>
                </a:solidFill>
              </a:ln>
              <a:effectLst/>
              <a:scene3d>
                <a:camera prst="orthographicFront"/>
                <a:lightRig rig="threePt" dir="t"/>
              </a:scene3d>
              <a:sp3d contourW="31750" prstMaterial="matte">
                <a:contourClr>
                  <a:schemeClr val="bg1">
                    <a:lumMod val="85000"/>
                  </a:schemeClr>
                </a:contourClr>
              </a:sp3d>
            </c:spPr>
            <c:extLst>
              <c:ext xmlns:c16="http://schemas.microsoft.com/office/drawing/2014/chart" uri="{C3380CC4-5D6E-409C-BE32-E72D297353CC}">
                <c16:uniqueId val="{00000007-E683-402B-A580-40124E07DC5A}"/>
              </c:ext>
            </c:extLst>
          </c:dPt>
          <c:dPt>
            <c:idx val="4"/>
            <c:bubble3D val="0"/>
            <c:spPr>
              <a:solidFill>
                <a:srgbClr val="F79646">
                  <a:lumMod val="20000"/>
                  <a:lumOff val="80000"/>
                </a:srgbClr>
              </a:solidFill>
              <a:ln w="31750">
                <a:solidFill>
                  <a:schemeClr val="accent6">
                    <a:lumMod val="20000"/>
                    <a:lumOff val="80000"/>
                  </a:schemeClr>
                </a:solidFill>
              </a:ln>
              <a:effectLst/>
              <a:scene3d>
                <a:camera prst="orthographicFront"/>
                <a:lightRig rig="threePt" dir="t"/>
              </a:scene3d>
              <a:sp3d contourW="31750" prstMaterial="matte">
                <a:contourClr>
                  <a:schemeClr val="accent6">
                    <a:lumMod val="20000"/>
                    <a:lumOff val="80000"/>
                  </a:schemeClr>
                </a:contourClr>
              </a:sp3d>
            </c:spPr>
            <c:extLst>
              <c:ext xmlns:c16="http://schemas.microsoft.com/office/drawing/2014/chart" uri="{C3380CC4-5D6E-409C-BE32-E72D297353CC}">
                <c16:uniqueId val="{00000009-E683-402B-A580-40124E07DC5A}"/>
              </c:ext>
            </c:extLst>
          </c:dPt>
          <c:dLbls>
            <c:dLbl>
              <c:idx val="0"/>
              <c:tx>
                <c:rich>
                  <a:bodyPr/>
                  <a:lstStyle/>
                  <a:p>
                    <a:r>
                      <a:rPr lang="en-US" baseline="0"/>
                      <a:t>33; </a:t>
                    </a:r>
                    <a:fld id="{8A2FC1B7-9DD7-4ED9-9C6B-AEA8FFCE0B22}" type="PERCENTAGE">
                      <a:rPr lang="en-US" baseline="0"/>
                      <a:pPr/>
                      <a:t>[PROCENTAI]</a:t>
                    </a:fld>
                    <a:endParaRPr lang="en-US" baseline="0"/>
                  </a:p>
                </c:rich>
              </c:tx>
              <c:dLblPos val="inEnd"/>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E683-402B-A580-40124E07DC5A}"/>
                </c:ext>
              </c:extLst>
            </c:dLbl>
            <c:dLbl>
              <c:idx val="2"/>
              <c:tx>
                <c:rich>
                  <a:bodyPr/>
                  <a:lstStyle/>
                  <a:p>
                    <a:r>
                      <a:rPr lang="en-US" baseline="0"/>
                      <a:t>11; </a:t>
                    </a:r>
                    <a:fld id="{7CD6A96E-9BC7-45BC-A2A6-DD3AAA0E5AA0}" type="PERCENTAGE">
                      <a:rPr lang="en-US" baseline="0"/>
                      <a:pPr/>
                      <a:t>[PROCENTAI]</a:t>
                    </a:fld>
                    <a:endParaRPr lang="en-US" baseline="0"/>
                  </a:p>
                </c:rich>
              </c:tx>
              <c:dLblPos val="inEnd"/>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E683-402B-A580-40124E07DC5A}"/>
                </c:ext>
              </c:extLst>
            </c:dLbl>
            <c:dLbl>
              <c:idx val="3"/>
              <c:tx>
                <c:rich>
                  <a:bodyPr/>
                  <a:lstStyle/>
                  <a:p>
                    <a:r>
                      <a:rPr lang="en-US"/>
                      <a:t>6</a:t>
                    </a:r>
                    <a:r>
                      <a:rPr lang="en-US" baseline="0"/>
                      <a:t>; </a:t>
                    </a:r>
                    <a:fld id="{45D5AEA7-F5C6-46C0-81CF-F0FD6F91302F}" type="PERCENTAGE">
                      <a:rPr lang="en-US" baseline="0"/>
                      <a:pPr/>
                      <a:t>[PROCENTAI]</a:t>
                    </a:fld>
                    <a:endParaRPr lang="en-US" baseline="0"/>
                  </a:p>
                </c:rich>
              </c:tx>
              <c:dLblPos val="inEnd"/>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E683-402B-A580-40124E07DC5A}"/>
                </c:ext>
              </c:extLst>
            </c:dLbl>
            <c:dLbl>
              <c:idx val="4"/>
              <c:tx>
                <c:rich>
                  <a:bodyPr/>
                  <a:lstStyle/>
                  <a:p>
                    <a:r>
                      <a:rPr lang="en-US" baseline="0"/>
                      <a:t>1; </a:t>
                    </a:r>
                    <a:fld id="{0159E817-608C-4429-92D7-71BAA1EECAFF}" type="PERCENTAGE">
                      <a:rPr lang="en-US" baseline="0"/>
                      <a:pPr/>
                      <a:t>[PROCENTAI]</a:t>
                    </a:fld>
                    <a:endParaRPr lang="en-US" baseline="0"/>
                  </a:p>
                </c:rich>
              </c:tx>
              <c:dLblPos val="inEnd"/>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E683-402B-A580-40124E07DC5A}"/>
                </c:ext>
              </c:extLst>
            </c:dLbl>
            <c:spPr>
              <a:noFill/>
              <a:ln>
                <a:noFill/>
              </a:ln>
              <a:effectLst/>
            </c:spPr>
            <c:txPr>
              <a:bodyPr rot="0" spcFirstLastPara="1" vertOverflow="ellipsis" vert="horz" wrap="square" lIns="38100" tIns="19050" rIns="38100" bIns="19050" anchor="ctr" anchorCtr="0">
                <a:spAutoFit/>
              </a:bodyPr>
              <a:lstStyle/>
              <a:p>
                <a:pPr>
                  <a:defRPr sz="1200" b="0" i="0" u="none" strike="noStrike" kern="1200" baseline="0">
                    <a:solidFill>
                      <a:schemeClr val="tx1">
                        <a:lumMod val="75000"/>
                        <a:lumOff val="25000"/>
                      </a:schemeClr>
                    </a:solidFill>
                    <a:latin typeface="+mn-lt"/>
                    <a:ea typeface="+mn-ea"/>
                    <a:cs typeface="+mn-cs"/>
                  </a:defRPr>
                </a:pPr>
                <a:endParaRPr lang="lt-LT"/>
              </a:p>
            </c:txPr>
            <c:dLblPos val="inEnd"/>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multiLvlStrRef>
              <c:f>'Priedas Nr.'!$R$10:$S$14</c:f>
              <c:multiLvlStrCache>
                <c:ptCount val="5"/>
                <c:lvl>
                  <c:pt idx="0">
                    <c:v>33</c:v>
                  </c:pt>
                  <c:pt idx="1">
                    <c:v>1</c:v>
                  </c:pt>
                  <c:pt idx="2">
                    <c:v>11</c:v>
                  </c:pt>
                  <c:pt idx="3">
                    <c:v>6</c:v>
                  </c:pt>
                  <c:pt idx="4">
                    <c:v>1</c:v>
                  </c:pt>
                </c:lvl>
                <c:lvl>
                  <c:pt idx="0">
                    <c:v>Priemonė buvo įvykdyta pagal planą</c:v>
                  </c:pt>
                  <c:pt idx="1">
                    <c:v>Vykdant priemonę buvo pasiekta vertinimo kriterijų reikšmių mažiau nei 50 %</c:v>
                  </c:pt>
                  <c:pt idx="2">
                    <c:v>Vykdant priemonę buvo pasiekta vertinimo kriterijų reikšmių 50 % ir daugiau</c:v>
                  </c:pt>
                  <c:pt idx="3">
                    <c:v>Vykdant priemonę buvo pasiekta daugiau vertinimo kriterijų reikšmių nei planuota</c:v>
                  </c:pt>
                  <c:pt idx="4">
                    <c:v>Priemonė neįvykdyta, t.y. nepasiekta planuota vertinimo kriterijų reikšmė</c:v>
                  </c:pt>
                </c:lvl>
              </c:multiLvlStrCache>
            </c:multiLvlStrRef>
          </c:cat>
          <c:val>
            <c:numRef>
              <c:f>'Priedas Nr.'!$S$10:$S$14</c:f>
              <c:numCache>
                <c:formatCode>General</c:formatCode>
                <c:ptCount val="5"/>
                <c:pt idx="0">
                  <c:v>33</c:v>
                </c:pt>
                <c:pt idx="1">
                  <c:v>1</c:v>
                </c:pt>
                <c:pt idx="2">
                  <c:v>11</c:v>
                </c:pt>
                <c:pt idx="3">
                  <c:v>6</c:v>
                </c:pt>
                <c:pt idx="4">
                  <c:v>1</c:v>
                </c:pt>
              </c:numCache>
            </c:numRef>
          </c:val>
          <c:extLst>
            <c:ext xmlns:c16="http://schemas.microsoft.com/office/drawing/2014/chart" uri="{C3380CC4-5D6E-409C-BE32-E72D297353CC}">
              <c16:uniqueId val="{0000000A-E683-402B-A580-40124E07DC5A}"/>
            </c:ext>
          </c:extLst>
        </c:ser>
        <c:dLbls>
          <c:dLblPos val="bestFit"/>
          <c:showLegendKey val="0"/>
          <c:showVal val="1"/>
          <c:showCatName val="0"/>
          <c:showSerName val="0"/>
          <c:showPercent val="0"/>
          <c:showBubbleSize val="0"/>
          <c:showLeaderLines val="1"/>
        </c:dLbls>
      </c:pie3DChart>
      <c:spPr>
        <a:solidFill>
          <a:schemeClr val="bg1">
            <a:lumMod val="95000"/>
          </a:schemeClr>
        </a:solidFill>
        <a:ln>
          <a:noFill/>
        </a:ln>
        <a:effectLst/>
      </c:spPr>
    </c:plotArea>
    <c:legend>
      <c:legendPos val="b"/>
      <c:layout>
        <c:manualLayout>
          <c:xMode val="edge"/>
          <c:yMode val="edge"/>
          <c:x val="2.256379873216996E-2"/>
          <c:y val="0.75093203096705152"/>
          <c:w val="0.95487225100822581"/>
          <c:h val="0.23416642482620731"/>
        </c:manualLayout>
      </c:layout>
      <c:overlay val="0"/>
      <c:spPr>
        <a:solidFill>
          <a:schemeClr val="bg1">
            <a:lumMod val="95000"/>
          </a:schemeClr>
        </a:solidFill>
        <a:ln>
          <a:gradFill flip="none" rotWithShape="1">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tileRect/>
          </a:gradFill>
        </a:ln>
        <a:effectLst/>
      </c:spPr>
      <c:txPr>
        <a:bodyPr rot="0" spcFirstLastPara="1" vertOverflow="ellipsis" vert="horz" wrap="square" anchor="ctr" anchorCtr="1"/>
        <a:lstStyle/>
        <a:p>
          <a:pPr>
            <a:defRPr sz="1200" b="0" i="0" u="none" strike="noStrike" kern="1200" baseline="0">
              <a:ln>
                <a:noFill/>
              </a:ln>
              <a:solidFill>
                <a:schemeClr val="tx1"/>
              </a:solidFill>
              <a:latin typeface="Times New Roman" panose="02020603050405020304" pitchFamily="18" charset="0"/>
              <a:ea typeface="+mn-ea"/>
              <a:cs typeface="Times New Roman" panose="02020603050405020304" pitchFamily="18" charset="0"/>
            </a:defRPr>
          </a:pPr>
          <a:endParaRPr lang="lt-L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lumMod val="85000"/>
      </a:schemeClr>
    </a:solidFill>
    <a:ln w="9525" cap="flat" cmpd="sng" algn="ctr">
      <a:solidFill>
        <a:schemeClr val="tx1">
          <a:lumMod val="15000"/>
          <a:lumOff val="85000"/>
        </a:schemeClr>
      </a:solidFill>
      <a:round/>
    </a:ln>
    <a:effectLst>
      <a:softEdge rad="0"/>
    </a:effectLst>
  </c:spPr>
  <c:txPr>
    <a:bodyPr/>
    <a:lstStyle/>
    <a:p>
      <a:pPr>
        <a:defRPr/>
      </a:pPr>
      <a:endParaRPr lang="lt-L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ctr">
              <a:defRPr sz="1400" b="1" i="0" u="none" strike="noStrike" kern="1200" spc="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lt-LT" b="1">
                <a:latin typeface="Times New Roman" panose="02020603050405020304" pitchFamily="18" charset="0"/>
                <a:cs typeface="Times New Roman" panose="02020603050405020304" pitchFamily="18" charset="0"/>
              </a:rPr>
              <a:t>02 programos vykdymas</a:t>
            </a:r>
            <a:endParaRPr lang="en-US" b="1">
              <a:latin typeface="Times New Roman" panose="02020603050405020304" pitchFamily="18" charset="0"/>
              <a:cs typeface="Times New Roman" panose="02020603050405020304" pitchFamily="18" charset="0"/>
            </a:endParaRPr>
          </a:p>
        </c:rich>
      </c:tx>
      <c:layout>
        <c:manualLayout>
          <c:xMode val="edge"/>
          <c:yMode val="edge"/>
          <c:x val="0.33486259871065305"/>
          <c:y val="2.2352316310111694E-2"/>
        </c:manualLayout>
      </c:layout>
      <c:overlay val="0"/>
      <c:spPr>
        <a:noFill/>
        <a:ln>
          <a:noFill/>
        </a:ln>
        <a:effectLst/>
      </c:spPr>
      <c:txPr>
        <a:bodyPr rot="0" spcFirstLastPara="1" vertOverflow="ellipsis" vert="horz" wrap="square" anchor="ctr" anchorCtr="1"/>
        <a:lstStyle/>
        <a:p>
          <a:pPr algn="ctr">
            <a:defRPr sz="1400" b="1" i="0" u="none" strike="noStrike" kern="1200" spc="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spPr>
            <a:ln w="31750"/>
            <a:scene3d>
              <a:camera prst="orthographicFront"/>
              <a:lightRig rig="threePt" dir="t"/>
            </a:scene3d>
            <a:sp3d prstMaterial="matte">
              <a:contourClr>
                <a:srgbClr val="000000"/>
              </a:contourClr>
            </a:sp3d>
          </c:spPr>
          <c:explosion val="5"/>
          <c:dPt>
            <c:idx val="0"/>
            <c:bubble3D val="0"/>
            <c:spPr>
              <a:solidFill>
                <a:srgbClr val="E2EFDA"/>
              </a:solidFill>
              <a:ln w="31750">
                <a:solidFill>
                  <a:schemeClr val="accent3">
                    <a:lumMod val="20000"/>
                    <a:lumOff val="80000"/>
                  </a:schemeClr>
                </a:solidFill>
              </a:ln>
              <a:effectLst/>
              <a:scene3d>
                <a:camera prst="orthographicFront"/>
                <a:lightRig rig="threePt" dir="t"/>
              </a:scene3d>
              <a:sp3d contourW="31750" prstMaterial="matte">
                <a:contourClr>
                  <a:schemeClr val="accent3">
                    <a:lumMod val="20000"/>
                    <a:lumOff val="80000"/>
                  </a:schemeClr>
                </a:contourClr>
              </a:sp3d>
            </c:spPr>
            <c:extLst>
              <c:ext xmlns:c16="http://schemas.microsoft.com/office/drawing/2014/chart" uri="{C3380CC4-5D6E-409C-BE32-E72D297353CC}">
                <c16:uniqueId val="{00000001-4443-4440-B51D-A26084BE0471}"/>
              </c:ext>
            </c:extLst>
          </c:dPt>
          <c:dPt>
            <c:idx val="1"/>
            <c:bubble3D val="0"/>
            <c:spPr>
              <a:solidFill>
                <a:srgbClr val="FFCCCC"/>
              </a:solidFill>
              <a:ln w="31750">
                <a:solidFill>
                  <a:srgbClr val="FFCCCC"/>
                </a:solidFill>
              </a:ln>
              <a:effectLst/>
              <a:scene3d>
                <a:camera prst="orthographicFront"/>
                <a:lightRig rig="threePt" dir="t"/>
              </a:scene3d>
              <a:sp3d contourW="31750" prstMaterial="matte">
                <a:contourClr>
                  <a:srgbClr val="FFCCCC"/>
                </a:contourClr>
              </a:sp3d>
            </c:spPr>
            <c:extLst>
              <c:ext xmlns:c16="http://schemas.microsoft.com/office/drawing/2014/chart" uri="{C3380CC4-5D6E-409C-BE32-E72D297353CC}">
                <c16:uniqueId val="{00000003-4443-4440-B51D-A26084BE0471}"/>
              </c:ext>
            </c:extLst>
          </c:dPt>
          <c:dPt>
            <c:idx val="2"/>
            <c:bubble3D val="0"/>
            <c:spPr>
              <a:solidFill>
                <a:srgbClr val="FFC000"/>
              </a:solidFill>
              <a:ln w="31750">
                <a:solidFill>
                  <a:srgbClr val="FFC000"/>
                </a:solidFill>
              </a:ln>
              <a:effectLst/>
              <a:scene3d>
                <a:camera prst="orthographicFront"/>
                <a:lightRig rig="threePt" dir="t"/>
              </a:scene3d>
              <a:sp3d contourW="31750" prstMaterial="matte">
                <a:contourClr>
                  <a:srgbClr val="FFC000"/>
                </a:contourClr>
              </a:sp3d>
            </c:spPr>
            <c:extLst>
              <c:ext xmlns:c16="http://schemas.microsoft.com/office/drawing/2014/chart" uri="{C3380CC4-5D6E-409C-BE32-E72D297353CC}">
                <c16:uniqueId val="{00000005-4443-4440-B51D-A26084BE0471}"/>
              </c:ext>
            </c:extLst>
          </c:dPt>
          <c:dPt>
            <c:idx val="3"/>
            <c:bubble3D val="0"/>
            <c:spPr>
              <a:solidFill>
                <a:schemeClr val="bg1">
                  <a:lumMod val="85000"/>
                </a:schemeClr>
              </a:solidFill>
              <a:ln w="31750">
                <a:solidFill>
                  <a:schemeClr val="bg1">
                    <a:lumMod val="85000"/>
                  </a:schemeClr>
                </a:solidFill>
              </a:ln>
              <a:effectLst/>
              <a:scene3d>
                <a:camera prst="orthographicFront"/>
                <a:lightRig rig="threePt" dir="t"/>
              </a:scene3d>
              <a:sp3d contourW="31750" prstMaterial="matte">
                <a:contourClr>
                  <a:schemeClr val="bg1">
                    <a:lumMod val="85000"/>
                  </a:schemeClr>
                </a:contourClr>
              </a:sp3d>
            </c:spPr>
            <c:extLst>
              <c:ext xmlns:c16="http://schemas.microsoft.com/office/drawing/2014/chart" uri="{C3380CC4-5D6E-409C-BE32-E72D297353CC}">
                <c16:uniqueId val="{00000007-4443-4440-B51D-A26084BE0471}"/>
              </c:ext>
            </c:extLst>
          </c:dPt>
          <c:dPt>
            <c:idx val="4"/>
            <c:bubble3D val="0"/>
            <c:spPr>
              <a:solidFill>
                <a:schemeClr val="accent6">
                  <a:lumMod val="20000"/>
                  <a:lumOff val="80000"/>
                </a:schemeClr>
              </a:solidFill>
              <a:ln w="31750">
                <a:solidFill>
                  <a:schemeClr val="accent6">
                    <a:lumMod val="20000"/>
                    <a:lumOff val="80000"/>
                  </a:schemeClr>
                </a:solidFill>
              </a:ln>
              <a:effectLst/>
              <a:scene3d>
                <a:camera prst="orthographicFront"/>
                <a:lightRig rig="threePt" dir="t"/>
              </a:scene3d>
              <a:sp3d contourW="31750" prstMaterial="matte">
                <a:contourClr>
                  <a:schemeClr val="accent6">
                    <a:lumMod val="20000"/>
                    <a:lumOff val="80000"/>
                  </a:schemeClr>
                </a:contourClr>
              </a:sp3d>
            </c:spPr>
            <c:extLst>
              <c:ext xmlns:c16="http://schemas.microsoft.com/office/drawing/2014/chart" uri="{C3380CC4-5D6E-409C-BE32-E72D297353CC}">
                <c16:uniqueId val="{00000009-4443-4440-B51D-A26084BE0471}"/>
              </c:ext>
            </c:extLst>
          </c:dPt>
          <c:dLbls>
            <c:spPr>
              <a:noFill/>
              <a:ln>
                <a:noFill/>
              </a:ln>
              <a:effectLst/>
            </c:spPr>
            <c:txPr>
              <a:bodyPr rot="0" spcFirstLastPara="1" vertOverflow="ellipsis" vert="horz" wrap="square" lIns="38100" tIns="19050" rIns="38100" bIns="19050" anchor="ctr" anchorCtr="0">
                <a:spAutoFit/>
              </a:bodyPr>
              <a:lstStyle/>
              <a:p>
                <a:pPr>
                  <a:defRPr sz="1200" b="0" i="0" u="none" strike="noStrike" kern="1200" baseline="0">
                    <a:solidFill>
                      <a:schemeClr val="tx1">
                        <a:lumMod val="75000"/>
                        <a:lumOff val="25000"/>
                      </a:schemeClr>
                    </a:solidFill>
                    <a:latin typeface="+mn-lt"/>
                    <a:ea typeface="+mn-ea"/>
                    <a:cs typeface="+mn-cs"/>
                  </a:defRPr>
                </a:pPr>
                <a:endParaRPr lang="lt-LT"/>
              </a:p>
            </c:txPr>
            <c:dLblPos val="inEnd"/>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multiLvlStrRef>
              <c:f>'Priedas Nr.'!$R$170:$S$174</c:f>
              <c:multiLvlStrCache>
                <c:ptCount val="5"/>
                <c:lvl>
                  <c:pt idx="0">
                    <c:v>6</c:v>
                  </c:pt>
                  <c:pt idx="1">
                    <c:v>2</c:v>
                  </c:pt>
                  <c:pt idx="2">
                    <c:v>0</c:v>
                  </c:pt>
                  <c:pt idx="3">
                    <c:v>3</c:v>
                  </c:pt>
                  <c:pt idx="4">
                    <c:v>2</c:v>
                  </c:pt>
                </c:lvl>
                <c:lvl>
                  <c:pt idx="0">
                    <c:v>Priemonė buvo įvykdyta pagal planą</c:v>
                  </c:pt>
                  <c:pt idx="1">
                    <c:v>Vykdant priemonę buvo pasiekta vertinimo kriterijų reikšmių mažiau nei 50 %</c:v>
                  </c:pt>
                  <c:pt idx="2">
                    <c:v>Vykdant priemonę buvo pasiekta vertinimo kriterijų reikšmių 50 % ir daugiau</c:v>
                  </c:pt>
                  <c:pt idx="3">
                    <c:v>Vykdant priemonę buvo pasiekta daugiau vertinimo kriterijų reikšmių nei planuota</c:v>
                  </c:pt>
                  <c:pt idx="4">
                    <c:v>Priemonė neįvykdyta, t.y. nepasiekta planuota vertinimo kriterijų reikšmė</c:v>
                  </c:pt>
                </c:lvl>
              </c:multiLvlStrCache>
            </c:multiLvlStrRef>
          </c:cat>
          <c:val>
            <c:numRef>
              <c:f>'Priedas Nr.'!$S$170:$S$174</c:f>
              <c:numCache>
                <c:formatCode>General</c:formatCode>
                <c:ptCount val="5"/>
                <c:pt idx="0">
                  <c:v>6</c:v>
                </c:pt>
                <c:pt idx="1">
                  <c:v>2</c:v>
                </c:pt>
                <c:pt idx="2">
                  <c:v>0</c:v>
                </c:pt>
                <c:pt idx="3">
                  <c:v>3</c:v>
                </c:pt>
                <c:pt idx="4">
                  <c:v>2</c:v>
                </c:pt>
              </c:numCache>
            </c:numRef>
          </c:val>
          <c:extLst>
            <c:ext xmlns:c16="http://schemas.microsoft.com/office/drawing/2014/chart" uri="{C3380CC4-5D6E-409C-BE32-E72D297353CC}">
              <c16:uniqueId val="{0000000A-4443-4440-B51D-A26084BE0471}"/>
            </c:ext>
          </c:extLst>
        </c:ser>
        <c:dLbls>
          <c:dLblPos val="bestFit"/>
          <c:showLegendKey val="0"/>
          <c:showVal val="1"/>
          <c:showCatName val="0"/>
          <c:showSerName val="0"/>
          <c:showPercent val="0"/>
          <c:showBubbleSize val="0"/>
          <c:showLeaderLines val="1"/>
        </c:dLbls>
      </c:pie3DChart>
      <c:spPr>
        <a:solidFill>
          <a:schemeClr val="bg1">
            <a:lumMod val="95000"/>
          </a:schemeClr>
        </a:solidFill>
        <a:ln>
          <a:noFill/>
        </a:ln>
        <a:effectLst/>
      </c:spPr>
    </c:plotArea>
    <c:legend>
      <c:legendPos val="b"/>
      <c:layout>
        <c:manualLayout>
          <c:xMode val="edge"/>
          <c:yMode val="edge"/>
          <c:x val="2.256379873216996E-2"/>
          <c:y val="0.75093203096705152"/>
          <c:w val="0.95487225100822581"/>
          <c:h val="0.23416642482620731"/>
        </c:manualLayout>
      </c:layout>
      <c:overlay val="0"/>
      <c:spPr>
        <a:solidFill>
          <a:schemeClr val="bg1">
            <a:lumMod val="95000"/>
          </a:schemeClr>
        </a:solidFill>
        <a:ln>
          <a:gradFill flip="none" rotWithShape="1">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tileRect/>
          </a:gradFill>
        </a:ln>
        <a:effectLst/>
      </c:spPr>
      <c:txPr>
        <a:bodyPr rot="0" spcFirstLastPara="1" vertOverflow="ellipsis" vert="horz" wrap="square" anchor="ctr" anchorCtr="1"/>
        <a:lstStyle/>
        <a:p>
          <a:pPr>
            <a:defRPr sz="1200" b="0" i="0" u="none" strike="noStrike" kern="1200" baseline="0">
              <a:ln>
                <a:noFill/>
              </a:ln>
              <a:solidFill>
                <a:schemeClr val="tx1"/>
              </a:solidFill>
              <a:latin typeface="Times New Roman" panose="02020603050405020304" pitchFamily="18" charset="0"/>
              <a:ea typeface="+mn-ea"/>
              <a:cs typeface="Times New Roman" panose="02020603050405020304" pitchFamily="18" charset="0"/>
            </a:defRPr>
          </a:pPr>
          <a:endParaRPr lang="lt-L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lumMod val="85000"/>
      </a:schemeClr>
    </a:solidFill>
    <a:ln w="9525" cap="flat" cmpd="sng" algn="ctr">
      <a:solidFill>
        <a:schemeClr val="tx1">
          <a:lumMod val="15000"/>
          <a:lumOff val="85000"/>
        </a:schemeClr>
      </a:solidFill>
      <a:round/>
    </a:ln>
    <a:effectLst>
      <a:softEdge rad="0"/>
    </a:effectLst>
  </c:spPr>
  <c:txPr>
    <a:bodyPr/>
    <a:lstStyle/>
    <a:p>
      <a:pPr>
        <a:defRPr/>
      </a:pPr>
      <a:endParaRPr lang="lt-L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ctr">
              <a:defRPr sz="1400" b="1" i="0" u="none" strike="noStrike" kern="1200" spc="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lt-LT" b="1">
                <a:latin typeface="Times New Roman" panose="02020603050405020304" pitchFamily="18" charset="0"/>
                <a:cs typeface="Times New Roman" panose="02020603050405020304" pitchFamily="18" charset="0"/>
              </a:rPr>
              <a:t>03 programos vykdymas</a:t>
            </a:r>
            <a:endParaRPr lang="en-US" b="1">
              <a:latin typeface="Times New Roman" panose="02020603050405020304" pitchFamily="18" charset="0"/>
              <a:cs typeface="Times New Roman" panose="02020603050405020304" pitchFamily="18" charset="0"/>
            </a:endParaRPr>
          </a:p>
        </c:rich>
      </c:tx>
      <c:layout>
        <c:manualLayout>
          <c:xMode val="edge"/>
          <c:yMode val="edge"/>
          <c:x val="0.33486259871065305"/>
          <c:y val="2.2352316310111694E-2"/>
        </c:manualLayout>
      </c:layout>
      <c:overlay val="0"/>
      <c:spPr>
        <a:noFill/>
        <a:ln>
          <a:noFill/>
        </a:ln>
        <a:effectLst/>
      </c:spPr>
      <c:txPr>
        <a:bodyPr rot="0" spcFirstLastPara="1" vertOverflow="ellipsis" vert="horz" wrap="square" anchor="ctr" anchorCtr="1"/>
        <a:lstStyle/>
        <a:p>
          <a:pPr algn="ctr">
            <a:defRPr sz="1400" b="1" i="0" u="none" strike="noStrike" kern="1200" spc="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spPr>
            <a:ln w="31750"/>
            <a:scene3d>
              <a:camera prst="orthographicFront"/>
              <a:lightRig rig="threePt" dir="t"/>
            </a:scene3d>
            <a:sp3d prstMaterial="matte">
              <a:contourClr>
                <a:srgbClr val="000000"/>
              </a:contourClr>
            </a:sp3d>
          </c:spPr>
          <c:explosion val="5"/>
          <c:dPt>
            <c:idx val="0"/>
            <c:bubble3D val="0"/>
            <c:spPr>
              <a:solidFill>
                <a:srgbClr val="E2EFDA"/>
              </a:solidFill>
              <a:ln w="31750">
                <a:solidFill>
                  <a:schemeClr val="accent3">
                    <a:lumMod val="20000"/>
                    <a:lumOff val="80000"/>
                  </a:schemeClr>
                </a:solidFill>
              </a:ln>
              <a:effectLst/>
              <a:scene3d>
                <a:camera prst="orthographicFront"/>
                <a:lightRig rig="threePt" dir="t"/>
              </a:scene3d>
              <a:sp3d contourW="31750" prstMaterial="matte">
                <a:contourClr>
                  <a:schemeClr val="accent3">
                    <a:lumMod val="20000"/>
                    <a:lumOff val="80000"/>
                  </a:schemeClr>
                </a:contourClr>
              </a:sp3d>
            </c:spPr>
            <c:extLst>
              <c:ext xmlns:c16="http://schemas.microsoft.com/office/drawing/2014/chart" uri="{C3380CC4-5D6E-409C-BE32-E72D297353CC}">
                <c16:uniqueId val="{00000001-C52E-440F-8ED8-3405174AD057}"/>
              </c:ext>
            </c:extLst>
          </c:dPt>
          <c:dPt>
            <c:idx val="1"/>
            <c:bubble3D val="0"/>
            <c:spPr>
              <a:solidFill>
                <a:srgbClr val="FFCCCC"/>
              </a:solidFill>
              <a:ln w="31750">
                <a:solidFill>
                  <a:srgbClr val="FFCCCC"/>
                </a:solidFill>
              </a:ln>
              <a:effectLst/>
              <a:scene3d>
                <a:camera prst="orthographicFront"/>
                <a:lightRig rig="threePt" dir="t"/>
              </a:scene3d>
              <a:sp3d contourW="31750" prstMaterial="matte">
                <a:contourClr>
                  <a:srgbClr val="FFCCCC"/>
                </a:contourClr>
              </a:sp3d>
            </c:spPr>
            <c:extLst>
              <c:ext xmlns:c16="http://schemas.microsoft.com/office/drawing/2014/chart" uri="{C3380CC4-5D6E-409C-BE32-E72D297353CC}">
                <c16:uniqueId val="{00000003-C52E-440F-8ED8-3405174AD057}"/>
              </c:ext>
            </c:extLst>
          </c:dPt>
          <c:dPt>
            <c:idx val="2"/>
            <c:bubble3D val="0"/>
            <c:spPr>
              <a:solidFill>
                <a:srgbClr val="FFC000"/>
              </a:solidFill>
              <a:ln w="31750">
                <a:solidFill>
                  <a:srgbClr val="FFC000"/>
                </a:solidFill>
              </a:ln>
              <a:effectLst/>
              <a:scene3d>
                <a:camera prst="orthographicFront"/>
                <a:lightRig rig="threePt" dir="t"/>
              </a:scene3d>
              <a:sp3d contourW="31750" prstMaterial="matte">
                <a:contourClr>
                  <a:srgbClr val="FFC000"/>
                </a:contourClr>
              </a:sp3d>
            </c:spPr>
            <c:extLst>
              <c:ext xmlns:c16="http://schemas.microsoft.com/office/drawing/2014/chart" uri="{C3380CC4-5D6E-409C-BE32-E72D297353CC}">
                <c16:uniqueId val="{00000005-C52E-440F-8ED8-3405174AD057}"/>
              </c:ext>
            </c:extLst>
          </c:dPt>
          <c:dPt>
            <c:idx val="3"/>
            <c:bubble3D val="0"/>
            <c:spPr>
              <a:solidFill>
                <a:schemeClr val="bg1">
                  <a:lumMod val="85000"/>
                </a:schemeClr>
              </a:solidFill>
              <a:ln w="31750">
                <a:solidFill>
                  <a:schemeClr val="bg1">
                    <a:lumMod val="85000"/>
                  </a:schemeClr>
                </a:solidFill>
              </a:ln>
              <a:effectLst/>
              <a:scene3d>
                <a:camera prst="orthographicFront"/>
                <a:lightRig rig="threePt" dir="t"/>
              </a:scene3d>
              <a:sp3d contourW="31750" prstMaterial="matte">
                <a:contourClr>
                  <a:schemeClr val="bg1">
                    <a:lumMod val="85000"/>
                  </a:schemeClr>
                </a:contourClr>
              </a:sp3d>
            </c:spPr>
            <c:extLst>
              <c:ext xmlns:c16="http://schemas.microsoft.com/office/drawing/2014/chart" uri="{C3380CC4-5D6E-409C-BE32-E72D297353CC}">
                <c16:uniqueId val="{00000007-C52E-440F-8ED8-3405174AD057}"/>
              </c:ext>
            </c:extLst>
          </c:dPt>
          <c:dPt>
            <c:idx val="4"/>
            <c:bubble3D val="0"/>
            <c:spPr>
              <a:solidFill>
                <a:schemeClr val="accent6">
                  <a:lumMod val="20000"/>
                  <a:lumOff val="80000"/>
                </a:schemeClr>
              </a:solidFill>
              <a:ln w="31750">
                <a:solidFill>
                  <a:schemeClr val="accent6">
                    <a:lumMod val="20000"/>
                    <a:lumOff val="80000"/>
                  </a:schemeClr>
                </a:solidFill>
              </a:ln>
              <a:effectLst/>
              <a:scene3d>
                <a:camera prst="orthographicFront"/>
                <a:lightRig rig="threePt" dir="t"/>
              </a:scene3d>
              <a:sp3d contourW="31750" prstMaterial="matte">
                <a:contourClr>
                  <a:schemeClr val="accent6">
                    <a:lumMod val="20000"/>
                    <a:lumOff val="80000"/>
                  </a:schemeClr>
                </a:contourClr>
              </a:sp3d>
            </c:spPr>
            <c:extLst>
              <c:ext xmlns:c16="http://schemas.microsoft.com/office/drawing/2014/chart" uri="{C3380CC4-5D6E-409C-BE32-E72D297353CC}">
                <c16:uniqueId val="{00000009-C52E-440F-8ED8-3405174AD057}"/>
              </c:ext>
            </c:extLst>
          </c:dPt>
          <c:dLbls>
            <c:spPr>
              <a:noFill/>
              <a:ln>
                <a:noFill/>
              </a:ln>
              <a:effectLst/>
            </c:spPr>
            <c:txPr>
              <a:bodyPr rot="0" spcFirstLastPara="1" vertOverflow="ellipsis" vert="horz" wrap="square" lIns="38100" tIns="19050" rIns="38100" bIns="19050" anchor="ctr" anchorCtr="0">
                <a:spAutoFit/>
              </a:bodyPr>
              <a:lstStyle/>
              <a:p>
                <a:pPr>
                  <a:defRPr sz="1200" b="0" i="0" u="none" strike="noStrike" kern="1200" baseline="0">
                    <a:solidFill>
                      <a:schemeClr val="tx1">
                        <a:lumMod val="75000"/>
                        <a:lumOff val="25000"/>
                      </a:schemeClr>
                    </a:solidFill>
                    <a:latin typeface="+mn-lt"/>
                    <a:ea typeface="+mn-ea"/>
                    <a:cs typeface="+mn-cs"/>
                  </a:defRPr>
                </a:pPr>
                <a:endParaRPr lang="lt-LT"/>
              </a:p>
            </c:txPr>
            <c:dLblPos val="inEnd"/>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multiLvlStrRef>
              <c:f>'Priedas Nr.'!$R$219:$S$223</c:f>
              <c:multiLvlStrCache>
                <c:ptCount val="5"/>
                <c:lvl>
                  <c:pt idx="0">
                    <c:v>1</c:v>
                  </c:pt>
                  <c:pt idx="1">
                    <c:v>2</c:v>
                  </c:pt>
                  <c:pt idx="2">
                    <c:v>2</c:v>
                  </c:pt>
                  <c:pt idx="3">
                    <c:v>5</c:v>
                  </c:pt>
                  <c:pt idx="4">
                    <c:v>3</c:v>
                  </c:pt>
                </c:lvl>
                <c:lvl>
                  <c:pt idx="0">
                    <c:v>Priemonė buvo įvykdyta pagal planą</c:v>
                  </c:pt>
                  <c:pt idx="1">
                    <c:v>Vykdant priemonę buvo pasiekta vertinimo kriterijų reikšmių mažiau nei 50 %</c:v>
                  </c:pt>
                  <c:pt idx="2">
                    <c:v>Vykdant priemonę buvo pasiekta vertinimo kriterijų reikšmių 50 % ir daugiau</c:v>
                  </c:pt>
                  <c:pt idx="3">
                    <c:v>Vykdant priemonę buvo pasiekta daugiau vertinimo kriterijų reikšmių nei planuota</c:v>
                  </c:pt>
                  <c:pt idx="4">
                    <c:v>Priemonė neįvykdyta, t.y. nepasiekta planuota vertinimo kriterijų reikšmė</c:v>
                  </c:pt>
                </c:lvl>
              </c:multiLvlStrCache>
            </c:multiLvlStrRef>
          </c:cat>
          <c:val>
            <c:numRef>
              <c:f>'Priedas Nr.'!$S$219:$S$223</c:f>
              <c:numCache>
                <c:formatCode>General</c:formatCode>
                <c:ptCount val="5"/>
                <c:pt idx="0">
                  <c:v>1</c:v>
                </c:pt>
                <c:pt idx="1">
                  <c:v>2</c:v>
                </c:pt>
                <c:pt idx="2">
                  <c:v>2</c:v>
                </c:pt>
                <c:pt idx="3">
                  <c:v>5</c:v>
                </c:pt>
                <c:pt idx="4">
                  <c:v>3</c:v>
                </c:pt>
              </c:numCache>
            </c:numRef>
          </c:val>
          <c:extLst>
            <c:ext xmlns:c16="http://schemas.microsoft.com/office/drawing/2014/chart" uri="{C3380CC4-5D6E-409C-BE32-E72D297353CC}">
              <c16:uniqueId val="{0000000A-C52E-440F-8ED8-3405174AD057}"/>
            </c:ext>
          </c:extLst>
        </c:ser>
        <c:dLbls>
          <c:dLblPos val="bestFit"/>
          <c:showLegendKey val="0"/>
          <c:showVal val="1"/>
          <c:showCatName val="0"/>
          <c:showSerName val="0"/>
          <c:showPercent val="0"/>
          <c:showBubbleSize val="0"/>
          <c:showLeaderLines val="1"/>
        </c:dLbls>
      </c:pie3DChart>
      <c:spPr>
        <a:solidFill>
          <a:schemeClr val="bg1">
            <a:lumMod val="95000"/>
          </a:schemeClr>
        </a:solidFill>
        <a:ln>
          <a:noFill/>
        </a:ln>
        <a:effectLst/>
      </c:spPr>
    </c:plotArea>
    <c:legend>
      <c:legendPos val="b"/>
      <c:layout>
        <c:manualLayout>
          <c:xMode val="edge"/>
          <c:yMode val="edge"/>
          <c:x val="2.256379873216996E-2"/>
          <c:y val="0.75093203096705152"/>
          <c:w val="0.95487225100822581"/>
          <c:h val="0.23416642482620731"/>
        </c:manualLayout>
      </c:layout>
      <c:overlay val="0"/>
      <c:spPr>
        <a:solidFill>
          <a:schemeClr val="bg1">
            <a:lumMod val="95000"/>
          </a:schemeClr>
        </a:solidFill>
        <a:ln>
          <a:gradFill flip="none" rotWithShape="1">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tileRect/>
          </a:gradFill>
        </a:ln>
        <a:effectLst/>
      </c:spPr>
      <c:txPr>
        <a:bodyPr rot="0" spcFirstLastPara="1" vertOverflow="ellipsis" vert="horz" wrap="square" anchor="ctr" anchorCtr="1"/>
        <a:lstStyle/>
        <a:p>
          <a:pPr>
            <a:defRPr sz="1200" b="0" i="0" u="none" strike="noStrike" kern="1200" baseline="0">
              <a:ln>
                <a:noFill/>
              </a:ln>
              <a:solidFill>
                <a:schemeClr val="tx1"/>
              </a:solidFill>
              <a:latin typeface="Times New Roman" panose="02020603050405020304" pitchFamily="18" charset="0"/>
              <a:ea typeface="+mn-ea"/>
              <a:cs typeface="Times New Roman" panose="02020603050405020304" pitchFamily="18" charset="0"/>
            </a:defRPr>
          </a:pPr>
          <a:endParaRPr lang="lt-L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lumMod val="85000"/>
      </a:schemeClr>
    </a:solidFill>
    <a:ln w="9525" cap="flat" cmpd="sng" algn="ctr">
      <a:solidFill>
        <a:schemeClr val="tx1">
          <a:lumMod val="15000"/>
          <a:lumOff val="85000"/>
        </a:schemeClr>
      </a:solidFill>
      <a:round/>
    </a:ln>
    <a:effectLst>
      <a:softEdge rad="0"/>
    </a:effectLst>
  </c:spPr>
  <c:txPr>
    <a:bodyPr/>
    <a:lstStyle/>
    <a:p>
      <a:pPr>
        <a:defRPr/>
      </a:pPr>
      <a:endParaRPr lang="lt-L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ctr">
              <a:defRPr sz="1400" b="1" i="0" u="none" strike="noStrike" kern="1200" spc="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lt-LT" b="1">
                <a:latin typeface="Times New Roman" panose="02020603050405020304" pitchFamily="18" charset="0"/>
                <a:cs typeface="Times New Roman" panose="02020603050405020304" pitchFamily="18" charset="0"/>
              </a:rPr>
              <a:t>04 programos vykdymas</a:t>
            </a:r>
            <a:endParaRPr lang="en-US" b="1">
              <a:latin typeface="Times New Roman" panose="02020603050405020304" pitchFamily="18" charset="0"/>
              <a:cs typeface="Times New Roman" panose="02020603050405020304" pitchFamily="18" charset="0"/>
            </a:endParaRPr>
          </a:p>
        </c:rich>
      </c:tx>
      <c:layout>
        <c:manualLayout>
          <c:xMode val="edge"/>
          <c:yMode val="edge"/>
          <c:x val="0.33486259871065305"/>
          <c:y val="2.2352316310111694E-2"/>
        </c:manualLayout>
      </c:layout>
      <c:overlay val="0"/>
      <c:spPr>
        <a:noFill/>
        <a:ln>
          <a:noFill/>
        </a:ln>
        <a:effectLst/>
      </c:spPr>
      <c:txPr>
        <a:bodyPr rot="0" spcFirstLastPara="1" vertOverflow="ellipsis" vert="horz" wrap="square" anchor="ctr" anchorCtr="1"/>
        <a:lstStyle/>
        <a:p>
          <a:pPr algn="ctr">
            <a:defRPr sz="1400" b="1" i="0" u="none" strike="noStrike" kern="1200" spc="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spPr>
            <a:ln w="31750"/>
            <a:scene3d>
              <a:camera prst="orthographicFront"/>
              <a:lightRig rig="threePt" dir="t"/>
            </a:scene3d>
            <a:sp3d prstMaterial="matte">
              <a:contourClr>
                <a:srgbClr val="000000"/>
              </a:contourClr>
            </a:sp3d>
          </c:spPr>
          <c:explosion val="5"/>
          <c:dPt>
            <c:idx val="0"/>
            <c:bubble3D val="0"/>
            <c:spPr>
              <a:solidFill>
                <a:srgbClr val="E2EFDA"/>
              </a:solidFill>
              <a:ln w="31750">
                <a:solidFill>
                  <a:schemeClr val="accent3">
                    <a:lumMod val="20000"/>
                    <a:lumOff val="80000"/>
                  </a:schemeClr>
                </a:solidFill>
              </a:ln>
              <a:effectLst/>
              <a:scene3d>
                <a:camera prst="orthographicFront"/>
                <a:lightRig rig="threePt" dir="t"/>
              </a:scene3d>
              <a:sp3d contourW="31750" prstMaterial="matte">
                <a:contourClr>
                  <a:schemeClr val="accent3">
                    <a:lumMod val="20000"/>
                    <a:lumOff val="80000"/>
                  </a:schemeClr>
                </a:contourClr>
              </a:sp3d>
            </c:spPr>
            <c:extLst>
              <c:ext xmlns:c16="http://schemas.microsoft.com/office/drawing/2014/chart" uri="{C3380CC4-5D6E-409C-BE32-E72D297353CC}">
                <c16:uniqueId val="{00000001-12C0-4074-9163-F3167FB562D8}"/>
              </c:ext>
            </c:extLst>
          </c:dPt>
          <c:dPt>
            <c:idx val="1"/>
            <c:bubble3D val="0"/>
            <c:spPr>
              <a:solidFill>
                <a:srgbClr val="FFCCCC"/>
              </a:solidFill>
              <a:ln w="31750">
                <a:solidFill>
                  <a:srgbClr val="FFCCCC"/>
                </a:solidFill>
              </a:ln>
              <a:effectLst/>
              <a:scene3d>
                <a:camera prst="orthographicFront"/>
                <a:lightRig rig="threePt" dir="t"/>
              </a:scene3d>
              <a:sp3d contourW="31750" prstMaterial="matte">
                <a:contourClr>
                  <a:srgbClr val="FFCCCC"/>
                </a:contourClr>
              </a:sp3d>
            </c:spPr>
            <c:extLst>
              <c:ext xmlns:c16="http://schemas.microsoft.com/office/drawing/2014/chart" uri="{C3380CC4-5D6E-409C-BE32-E72D297353CC}">
                <c16:uniqueId val="{00000003-12C0-4074-9163-F3167FB562D8}"/>
              </c:ext>
            </c:extLst>
          </c:dPt>
          <c:dPt>
            <c:idx val="2"/>
            <c:bubble3D val="0"/>
            <c:spPr>
              <a:solidFill>
                <a:srgbClr val="FFC000"/>
              </a:solidFill>
              <a:ln w="31750">
                <a:solidFill>
                  <a:srgbClr val="FFC000"/>
                </a:solidFill>
              </a:ln>
              <a:effectLst/>
              <a:scene3d>
                <a:camera prst="orthographicFront"/>
                <a:lightRig rig="threePt" dir="t"/>
              </a:scene3d>
              <a:sp3d contourW="31750" prstMaterial="matte">
                <a:contourClr>
                  <a:srgbClr val="FFC000"/>
                </a:contourClr>
              </a:sp3d>
            </c:spPr>
            <c:extLst>
              <c:ext xmlns:c16="http://schemas.microsoft.com/office/drawing/2014/chart" uri="{C3380CC4-5D6E-409C-BE32-E72D297353CC}">
                <c16:uniqueId val="{00000005-12C0-4074-9163-F3167FB562D8}"/>
              </c:ext>
            </c:extLst>
          </c:dPt>
          <c:dPt>
            <c:idx val="3"/>
            <c:bubble3D val="0"/>
            <c:spPr>
              <a:solidFill>
                <a:schemeClr val="bg1">
                  <a:lumMod val="85000"/>
                </a:schemeClr>
              </a:solidFill>
              <a:ln w="31750">
                <a:solidFill>
                  <a:schemeClr val="bg1">
                    <a:lumMod val="85000"/>
                  </a:schemeClr>
                </a:solidFill>
              </a:ln>
              <a:effectLst/>
              <a:scene3d>
                <a:camera prst="orthographicFront"/>
                <a:lightRig rig="threePt" dir="t"/>
              </a:scene3d>
              <a:sp3d contourW="31750" prstMaterial="matte">
                <a:contourClr>
                  <a:schemeClr val="bg1">
                    <a:lumMod val="85000"/>
                  </a:schemeClr>
                </a:contourClr>
              </a:sp3d>
            </c:spPr>
            <c:extLst>
              <c:ext xmlns:c16="http://schemas.microsoft.com/office/drawing/2014/chart" uri="{C3380CC4-5D6E-409C-BE32-E72D297353CC}">
                <c16:uniqueId val="{00000007-12C0-4074-9163-F3167FB562D8}"/>
              </c:ext>
            </c:extLst>
          </c:dPt>
          <c:dPt>
            <c:idx val="4"/>
            <c:bubble3D val="0"/>
            <c:spPr>
              <a:solidFill>
                <a:schemeClr val="accent6">
                  <a:lumMod val="20000"/>
                  <a:lumOff val="80000"/>
                </a:schemeClr>
              </a:solidFill>
              <a:ln w="31750">
                <a:solidFill>
                  <a:schemeClr val="accent6">
                    <a:lumMod val="20000"/>
                    <a:lumOff val="80000"/>
                  </a:schemeClr>
                </a:solidFill>
              </a:ln>
              <a:effectLst/>
              <a:scene3d>
                <a:camera prst="orthographicFront"/>
                <a:lightRig rig="threePt" dir="t"/>
              </a:scene3d>
              <a:sp3d contourW="31750" prstMaterial="matte">
                <a:contourClr>
                  <a:schemeClr val="accent6">
                    <a:lumMod val="20000"/>
                    <a:lumOff val="80000"/>
                  </a:schemeClr>
                </a:contourClr>
              </a:sp3d>
            </c:spPr>
            <c:extLst>
              <c:ext xmlns:c16="http://schemas.microsoft.com/office/drawing/2014/chart" uri="{C3380CC4-5D6E-409C-BE32-E72D297353CC}">
                <c16:uniqueId val="{00000009-12C0-4074-9163-F3167FB562D8}"/>
              </c:ext>
            </c:extLst>
          </c:dPt>
          <c:dLbls>
            <c:spPr>
              <a:noFill/>
              <a:ln>
                <a:noFill/>
              </a:ln>
              <a:effectLst/>
            </c:spPr>
            <c:txPr>
              <a:bodyPr rot="0" spcFirstLastPara="1" vertOverflow="ellipsis" vert="horz" wrap="square" lIns="38100" tIns="19050" rIns="38100" bIns="19050" anchor="ctr" anchorCtr="0">
                <a:spAutoFit/>
              </a:bodyPr>
              <a:lstStyle/>
              <a:p>
                <a:pPr>
                  <a:defRPr sz="1200" b="0" i="0" u="none" strike="noStrike" kern="1200" baseline="0">
                    <a:solidFill>
                      <a:schemeClr val="tx1">
                        <a:lumMod val="75000"/>
                        <a:lumOff val="25000"/>
                      </a:schemeClr>
                    </a:solidFill>
                    <a:latin typeface="+mn-lt"/>
                    <a:ea typeface="+mn-ea"/>
                    <a:cs typeface="+mn-cs"/>
                  </a:defRPr>
                </a:pPr>
                <a:endParaRPr lang="lt-LT"/>
              </a:p>
            </c:txPr>
            <c:dLblPos val="inEnd"/>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multiLvlStrRef>
              <c:f>'Priedas Nr.'!$R$269:$S$273</c:f>
              <c:multiLvlStrCache>
                <c:ptCount val="5"/>
                <c:lvl>
                  <c:pt idx="0">
                    <c:v>13</c:v>
                  </c:pt>
                  <c:pt idx="1">
                    <c:v>2</c:v>
                  </c:pt>
                  <c:pt idx="2">
                    <c:v>5</c:v>
                  </c:pt>
                  <c:pt idx="3">
                    <c:v>7</c:v>
                  </c:pt>
                  <c:pt idx="4">
                    <c:v>5</c:v>
                  </c:pt>
                </c:lvl>
                <c:lvl>
                  <c:pt idx="0">
                    <c:v>Priemonė buvo įvykdyta pagal planą</c:v>
                  </c:pt>
                  <c:pt idx="1">
                    <c:v>Vykdant priemonę buvo pasiekta vertinimo kriterijų reikšmių mažiau nei 50 %</c:v>
                  </c:pt>
                  <c:pt idx="2">
                    <c:v>Vykdant priemonę buvo pasiekta vertinimo kriterijų reikšmių 50 % ir daugiau</c:v>
                  </c:pt>
                  <c:pt idx="3">
                    <c:v>Vykdant priemonę buvo pasiekta daugiau vertinimo kriterijų reikšmių nei planuota</c:v>
                  </c:pt>
                  <c:pt idx="4">
                    <c:v>Priemonė neįvykdyta, t.y. nepasiekta planuota vertinimo kriterijų reikšmė</c:v>
                  </c:pt>
                </c:lvl>
              </c:multiLvlStrCache>
            </c:multiLvlStrRef>
          </c:cat>
          <c:val>
            <c:numRef>
              <c:f>'Priedas Nr.'!$S$269:$S$273</c:f>
              <c:numCache>
                <c:formatCode>General</c:formatCode>
                <c:ptCount val="5"/>
                <c:pt idx="0">
                  <c:v>13</c:v>
                </c:pt>
                <c:pt idx="1">
                  <c:v>2</c:v>
                </c:pt>
                <c:pt idx="2">
                  <c:v>5</c:v>
                </c:pt>
                <c:pt idx="3">
                  <c:v>7</c:v>
                </c:pt>
                <c:pt idx="4">
                  <c:v>5</c:v>
                </c:pt>
              </c:numCache>
            </c:numRef>
          </c:val>
          <c:extLst>
            <c:ext xmlns:c16="http://schemas.microsoft.com/office/drawing/2014/chart" uri="{C3380CC4-5D6E-409C-BE32-E72D297353CC}">
              <c16:uniqueId val="{0000000A-12C0-4074-9163-F3167FB562D8}"/>
            </c:ext>
          </c:extLst>
        </c:ser>
        <c:dLbls>
          <c:dLblPos val="bestFit"/>
          <c:showLegendKey val="0"/>
          <c:showVal val="1"/>
          <c:showCatName val="0"/>
          <c:showSerName val="0"/>
          <c:showPercent val="0"/>
          <c:showBubbleSize val="0"/>
          <c:showLeaderLines val="1"/>
        </c:dLbls>
      </c:pie3DChart>
      <c:spPr>
        <a:solidFill>
          <a:schemeClr val="bg1">
            <a:lumMod val="95000"/>
          </a:schemeClr>
        </a:solidFill>
        <a:ln>
          <a:noFill/>
        </a:ln>
        <a:effectLst/>
      </c:spPr>
    </c:plotArea>
    <c:legend>
      <c:legendPos val="b"/>
      <c:layout>
        <c:manualLayout>
          <c:xMode val="edge"/>
          <c:yMode val="edge"/>
          <c:x val="2.256379873216996E-2"/>
          <c:y val="0.75093203096705152"/>
          <c:w val="0.95487225100822581"/>
          <c:h val="0.23416642482620731"/>
        </c:manualLayout>
      </c:layout>
      <c:overlay val="0"/>
      <c:spPr>
        <a:solidFill>
          <a:schemeClr val="bg1">
            <a:lumMod val="95000"/>
          </a:schemeClr>
        </a:solidFill>
        <a:ln>
          <a:gradFill flip="none" rotWithShape="1">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tileRect/>
          </a:gradFill>
        </a:ln>
        <a:effectLst/>
      </c:spPr>
      <c:txPr>
        <a:bodyPr rot="0" spcFirstLastPara="1" vertOverflow="ellipsis" vert="horz" wrap="square" anchor="ctr" anchorCtr="1"/>
        <a:lstStyle/>
        <a:p>
          <a:pPr>
            <a:defRPr sz="1200" b="0" i="0" u="none" strike="noStrike" kern="1200" baseline="0">
              <a:ln>
                <a:noFill/>
              </a:ln>
              <a:solidFill>
                <a:schemeClr val="tx1"/>
              </a:solidFill>
              <a:latin typeface="Times New Roman" panose="02020603050405020304" pitchFamily="18" charset="0"/>
              <a:ea typeface="+mn-ea"/>
              <a:cs typeface="Times New Roman" panose="02020603050405020304" pitchFamily="18" charset="0"/>
            </a:defRPr>
          </a:pPr>
          <a:endParaRPr lang="lt-L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lumMod val="85000"/>
      </a:schemeClr>
    </a:solidFill>
    <a:ln w="9525" cap="flat" cmpd="sng" algn="ctr">
      <a:solidFill>
        <a:schemeClr val="tx1">
          <a:lumMod val="15000"/>
          <a:lumOff val="85000"/>
        </a:schemeClr>
      </a:solidFill>
      <a:round/>
    </a:ln>
    <a:effectLst>
      <a:softEdge rad="0"/>
    </a:effectLst>
  </c:spPr>
  <c:txPr>
    <a:bodyPr/>
    <a:lstStyle/>
    <a:p>
      <a:pPr>
        <a:defRPr/>
      </a:pPr>
      <a:endParaRPr lang="lt-L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ctr">
              <a:defRPr sz="1400" b="1" i="0" u="none" strike="noStrike" kern="1200" spc="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lt-LT" b="1">
                <a:latin typeface="Times New Roman" panose="02020603050405020304" pitchFamily="18" charset="0"/>
                <a:cs typeface="Times New Roman" panose="02020603050405020304" pitchFamily="18" charset="0"/>
              </a:rPr>
              <a:t>05 programos vykdymas</a:t>
            </a:r>
            <a:endParaRPr lang="en-US" b="1">
              <a:latin typeface="Times New Roman" panose="02020603050405020304" pitchFamily="18" charset="0"/>
              <a:cs typeface="Times New Roman" panose="02020603050405020304" pitchFamily="18" charset="0"/>
            </a:endParaRPr>
          </a:p>
        </c:rich>
      </c:tx>
      <c:layout>
        <c:manualLayout>
          <c:xMode val="edge"/>
          <c:yMode val="edge"/>
          <c:x val="0.33486259871065305"/>
          <c:y val="2.2352316310111694E-2"/>
        </c:manualLayout>
      </c:layout>
      <c:overlay val="0"/>
      <c:spPr>
        <a:noFill/>
        <a:ln>
          <a:noFill/>
        </a:ln>
        <a:effectLst/>
      </c:spPr>
      <c:txPr>
        <a:bodyPr rot="0" spcFirstLastPara="1" vertOverflow="ellipsis" vert="horz" wrap="square" anchor="ctr" anchorCtr="1"/>
        <a:lstStyle/>
        <a:p>
          <a:pPr algn="ctr">
            <a:defRPr sz="1400" b="1" i="0" u="none" strike="noStrike" kern="1200" spc="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spPr>
            <a:ln w="31750"/>
            <a:scene3d>
              <a:camera prst="orthographicFront"/>
              <a:lightRig rig="threePt" dir="t"/>
            </a:scene3d>
            <a:sp3d prstMaterial="matte">
              <a:contourClr>
                <a:srgbClr val="000000"/>
              </a:contourClr>
            </a:sp3d>
          </c:spPr>
          <c:explosion val="5"/>
          <c:dPt>
            <c:idx val="0"/>
            <c:bubble3D val="0"/>
            <c:spPr>
              <a:solidFill>
                <a:srgbClr val="E2EFDA"/>
              </a:solidFill>
              <a:ln w="31750">
                <a:solidFill>
                  <a:schemeClr val="accent3">
                    <a:lumMod val="20000"/>
                    <a:lumOff val="80000"/>
                  </a:schemeClr>
                </a:solidFill>
              </a:ln>
              <a:effectLst/>
              <a:scene3d>
                <a:camera prst="orthographicFront"/>
                <a:lightRig rig="threePt" dir="t"/>
              </a:scene3d>
              <a:sp3d contourW="31750" prstMaterial="matte">
                <a:contourClr>
                  <a:schemeClr val="accent3">
                    <a:lumMod val="20000"/>
                    <a:lumOff val="80000"/>
                  </a:schemeClr>
                </a:contourClr>
              </a:sp3d>
            </c:spPr>
            <c:extLst>
              <c:ext xmlns:c16="http://schemas.microsoft.com/office/drawing/2014/chart" uri="{C3380CC4-5D6E-409C-BE32-E72D297353CC}">
                <c16:uniqueId val="{00000001-CE8C-4597-B5AA-E48CC8C99AF6}"/>
              </c:ext>
            </c:extLst>
          </c:dPt>
          <c:dPt>
            <c:idx val="1"/>
            <c:bubble3D val="0"/>
            <c:spPr>
              <a:solidFill>
                <a:srgbClr val="FFCCCC"/>
              </a:solidFill>
              <a:ln w="31750">
                <a:solidFill>
                  <a:srgbClr val="FFCCCC"/>
                </a:solidFill>
              </a:ln>
              <a:effectLst/>
              <a:scene3d>
                <a:camera prst="orthographicFront"/>
                <a:lightRig rig="threePt" dir="t"/>
              </a:scene3d>
              <a:sp3d contourW="31750" prstMaterial="matte">
                <a:contourClr>
                  <a:srgbClr val="FFCCCC"/>
                </a:contourClr>
              </a:sp3d>
            </c:spPr>
            <c:extLst>
              <c:ext xmlns:c16="http://schemas.microsoft.com/office/drawing/2014/chart" uri="{C3380CC4-5D6E-409C-BE32-E72D297353CC}">
                <c16:uniqueId val="{00000003-CE8C-4597-B5AA-E48CC8C99AF6}"/>
              </c:ext>
            </c:extLst>
          </c:dPt>
          <c:dPt>
            <c:idx val="2"/>
            <c:bubble3D val="0"/>
            <c:spPr>
              <a:solidFill>
                <a:srgbClr val="FFC000"/>
              </a:solidFill>
              <a:ln w="31750">
                <a:solidFill>
                  <a:srgbClr val="FFC000"/>
                </a:solidFill>
              </a:ln>
              <a:effectLst/>
              <a:scene3d>
                <a:camera prst="orthographicFront"/>
                <a:lightRig rig="threePt" dir="t"/>
              </a:scene3d>
              <a:sp3d contourW="31750" prstMaterial="matte">
                <a:contourClr>
                  <a:srgbClr val="FFC000"/>
                </a:contourClr>
              </a:sp3d>
            </c:spPr>
            <c:extLst>
              <c:ext xmlns:c16="http://schemas.microsoft.com/office/drawing/2014/chart" uri="{C3380CC4-5D6E-409C-BE32-E72D297353CC}">
                <c16:uniqueId val="{00000005-CE8C-4597-B5AA-E48CC8C99AF6}"/>
              </c:ext>
            </c:extLst>
          </c:dPt>
          <c:dPt>
            <c:idx val="3"/>
            <c:bubble3D val="0"/>
            <c:spPr>
              <a:solidFill>
                <a:schemeClr val="bg1">
                  <a:lumMod val="85000"/>
                </a:schemeClr>
              </a:solidFill>
              <a:ln w="31750">
                <a:solidFill>
                  <a:schemeClr val="bg1">
                    <a:lumMod val="85000"/>
                  </a:schemeClr>
                </a:solidFill>
              </a:ln>
              <a:effectLst/>
              <a:scene3d>
                <a:camera prst="orthographicFront"/>
                <a:lightRig rig="threePt" dir="t"/>
              </a:scene3d>
              <a:sp3d contourW="31750" prstMaterial="matte">
                <a:contourClr>
                  <a:schemeClr val="bg1">
                    <a:lumMod val="85000"/>
                  </a:schemeClr>
                </a:contourClr>
              </a:sp3d>
            </c:spPr>
            <c:extLst>
              <c:ext xmlns:c16="http://schemas.microsoft.com/office/drawing/2014/chart" uri="{C3380CC4-5D6E-409C-BE32-E72D297353CC}">
                <c16:uniqueId val="{00000007-CE8C-4597-B5AA-E48CC8C99AF6}"/>
              </c:ext>
            </c:extLst>
          </c:dPt>
          <c:dPt>
            <c:idx val="4"/>
            <c:bubble3D val="0"/>
            <c:spPr>
              <a:solidFill>
                <a:schemeClr val="accent6">
                  <a:lumMod val="20000"/>
                  <a:lumOff val="80000"/>
                </a:schemeClr>
              </a:solidFill>
              <a:ln w="31750">
                <a:solidFill>
                  <a:schemeClr val="accent6">
                    <a:lumMod val="20000"/>
                    <a:lumOff val="80000"/>
                  </a:schemeClr>
                </a:solidFill>
              </a:ln>
              <a:effectLst/>
              <a:scene3d>
                <a:camera prst="orthographicFront"/>
                <a:lightRig rig="threePt" dir="t"/>
              </a:scene3d>
              <a:sp3d contourW="31750" prstMaterial="matte">
                <a:contourClr>
                  <a:schemeClr val="accent6">
                    <a:lumMod val="20000"/>
                    <a:lumOff val="80000"/>
                  </a:schemeClr>
                </a:contourClr>
              </a:sp3d>
            </c:spPr>
            <c:extLst>
              <c:ext xmlns:c16="http://schemas.microsoft.com/office/drawing/2014/chart" uri="{C3380CC4-5D6E-409C-BE32-E72D297353CC}">
                <c16:uniqueId val="{00000009-CE8C-4597-B5AA-E48CC8C99AF6}"/>
              </c:ext>
            </c:extLst>
          </c:dPt>
          <c:dLbls>
            <c:spPr>
              <a:noFill/>
              <a:ln>
                <a:noFill/>
              </a:ln>
              <a:effectLst/>
            </c:spPr>
            <c:txPr>
              <a:bodyPr rot="0" spcFirstLastPara="1" vertOverflow="ellipsis" vert="horz" wrap="square" lIns="38100" tIns="19050" rIns="38100" bIns="19050" anchor="ctr" anchorCtr="0">
                <a:spAutoFit/>
              </a:bodyPr>
              <a:lstStyle/>
              <a:p>
                <a:pPr>
                  <a:defRPr sz="1200" b="0" i="0" u="none" strike="noStrike" kern="1200" baseline="0">
                    <a:solidFill>
                      <a:schemeClr val="tx1">
                        <a:lumMod val="75000"/>
                        <a:lumOff val="25000"/>
                      </a:schemeClr>
                    </a:solidFill>
                    <a:latin typeface="+mn-lt"/>
                    <a:ea typeface="+mn-ea"/>
                    <a:cs typeface="+mn-cs"/>
                  </a:defRPr>
                </a:pPr>
                <a:endParaRPr lang="lt-LT"/>
              </a:p>
            </c:txPr>
            <c:dLblPos val="inEnd"/>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multiLvlStrRef>
              <c:f>'Priedas Nr.'!$R$464:$S$468</c:f>
              <c:multiLvlStrCache>
                <c:ptCount val="5"/>
                <c:lvl>
                  <c:pt idx="0">
                    <c:v>7</c:v>
                  </c:pt>
                  <c:pt idx="1">
                    <c:v>1</c:v>
                  </c:pt>
                  <c:pt idx="2">
                    <c:v>5</c:v>
                  </c:pt>
                  <c:pt idx="3">
                    <c:v>6</c:v>
                  </c:pt>
                  <c:pt idx="4">
                    <c:v>0</c:v>
                  </c:pt>
                </c:lvl>
                <c:lvl>
                  <c:pt idx="0">
                    <c:v>Priemonė buvo įvykdyta pagal planą</c:v>
                  </c:pt>
                  <c:pt idx="1">
                    <c:v>Vykdant priemonę buvo pasiekta vertinimo kriterijų reikšmių mažiau nei 50 %</c:v>
                  </c:pt>
                  <c:pt idx="2">
                    <c:v>Vykdant priemonę buvo pasiekta vertinimo kriterijų reikšmių 50 % ir daugiau</c:v>
                  </c:pt>
                  <c:pt idx="3">
                    <c:v>Vykdant priemonę buvo pasiekta daugiau vertinimo kriterijų reikšmių nei planuota</c:v>
                  </c:pt>
                  <c:pt idx="4">
                    <c:v>Priemonė neįvykdyta, t.y. nepasiekta planuota vertinimo kriterijų reikšmė</c:v>
                  </c:pt>
                </c:lvl>
              </c:multiLvlStrCache>
            </c:multiLvlStrRef>
          </c:cat>
          <c:val>
            <c:numRef>
              <c:f>'Priedas Nr.'!$S$464:$S$468</c:f>
              <c:numCache>
                <c:formatCode>General</c:formatCode>
                <c:ptCount val="5"/>
                <c:pt idx="0">
                  <c:v>7</c:v>
                </c:pt>
                <c:pt idx="1">
                  <c:v>1</c:v>
                </c:pt>
                <c:pt idx="2">
                  <c:v>5</c:v>
                </c:pt>
                <c:pt idx="3">
                  <c:v>6</c:v>
                </c:pt>
                <c:pt idx="4">
                  <c:v>0</c:v>
                </c:pt>
              </c:numCache>
            </c:numRef>
          </c:val>
          <c:extLst>
            <c:ext xmlns:c16="http://schemas.microsoft.com/office/drawing/2014/chart" uri="{C3380CC4-5D6E-409C-BE32-E72D297353CC}">
              <c16:uniqueId val="{0000000A-CE8C-4597-B5AA-E48CC8C99AF6}"/>
            </c:ext>
          </c:extLst>
        </c:ser>
        <c:dLbls>
          <c:dLblPos val="bestFit"/>
          <c:showLegendKey val="0"/>
          <c:showVal val="1"/>
          <c:showCatName val="0"/>
          <c:showSerName val="0"/>
          <c:showPercent val="0"/>
          <c:showBubbleSize val="0"/>
          <c:showLeaderLines val="1"/>
        </c:dLbls>
      </c:pie3DChart>
      <c:spPr>
        <a:solidFill>
          <a:schemeClr val="bg1">
            <a:lumMod val="95000"/>
          </a:schemeClr>
        </a:solidFill>
        <a:ln>
          <a:noFill/>
        </a:ln>
        <a:effectLst/>
      </c:spPr>
    </c:plotArea>
    <c:legend>
      <c:legendPos val="b"/>
      <c:layout>
        <c:manualLayout>
          <c:xMode val="edge"/>
          <c:yMode val="edge"/>
          <c:x val="2.256379873216996E-2"/>
          <c:y val="0.75093203096705152"/>
          <c:w val="0.95487225100822581"/>
          <c:h val="0.23416642482620731"/>
        </c:manualLayout>
      </c:layout>
      <c:overlay val="0"/>
      <c:spPr>
        <a:solidFill>
          <a:schemeClr val="bg1">
            <a:lumMod val="95000"/>
          </a:schemeClr>
        </a:solidFill>
        <a:ln>
          <a:gradFill flip="none" rotWithShape="1">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tileRect/>
          </a:gradFill>
        </a:ln>
        <a:effectLst/>
      </c:spPr>
      <c:txPr>
        <a:bodyPr rot="0" spcFirstLastPara="1" vertOverflow="ellipsis" vert="horz" wrap="square" anchor="ctr" anchorCtr="1"/>
        <a:lstStyle/>
        <a:p>
          <a:pPr>
            <a:defRPr sz="1200" b="0" i="0" u="none" strike="noStrike" kern="1200" baseline="0">
              <a:ln>
                <a:noFill/>
              </a:ln>
              <a:solidFill>
                <a:schemeClr val="tx1"/>
              </a:solidFill>
              <a:latin typeface="Times New Roman" panose="02020603050405020304" pitchFamily="18" charset="0"/>
              <a:ea typeface="+mn-ea"/>
              <a:cs typeface="Times New Roman" panose="02020603050405020304" pitchFamily="18" charset="0"/>
            </a:defRPr>
          </a:pPr>
          <a:endParaRPr lang="lt-L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lumMod val="85000"/>
      </a:schemeClr>
    </a:solidFill>
    <a:ln w="9525" cap="flat" cmpd="sng" algn="ctr">
      <a:solidFill>
        <a:schemeClr val="tx1">
          <a:lumMod val="15000"/>
          <a:lumOff val="85000"/>
        </a:schemeClr>
      </a:solidFill>
      <a:round/>
    </a:ln>
    <a:effectLst>
      <a:softEdge rad="0"/>
    </a:effectLst>
  </c:spPr>
  <c:txPr>
    <a:bodyPr/>
    <a:lstStyle/>
    <a:p>
      <a:pPr>
        <a:defRPr/>
      </a:pPr>
      <a:endParaRPr lang="lt-L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ctr">
              <a:defRPr sz="1400" b="1" i="0" u="none" strike="noStrike" kern="1200" spc="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lt-LT" b="1">
                <a:latin typeface="Times New Roman" panose="02020603050405020304" pitchFamily="18" charset="0"/>
                <a:cs typeface="Times New Roman" panose="02020603050405020304" pitchFamily="18" charset="0"/>
              </a:rPr>
              <a:t>06 programos vykdymas</a:t>
            </a:r>
            <a:endParaRPr lang="en-US" b="1">
              <a:latin typeface="Times New Roman" panose="02020603050405020304" pitchFamily="18" charset="0"/>
              <a:cs typeface="Times New Roman" panose="02020603050405020304" pitchFamily="18" charset="0"/>
            </a:endParaRPr>
          </a:p>
        </c:rich>
      </c:tx>
      <c:layout>
        <c:manualLayout>
          <c:xMode val="edge"/>
          <c:yMode val="edge"/>
          <c:x val="0.33486259871065305"/>
          <c:y val="2.2352316310111694E-2"/>
        </c:manualLayout>
      </c:layout>
      <c:overlay val="0"/>
      <c:spPr>
        <a:noFill/>
        <a:ln>
          <a:noFill/>
        </a:ln>
        <a:effectLst/>
      </c:spPr>
      <c:txPr>
        <a:bodyPr rot="0" spcFirstLastPara="1" vertOverflow="ellipsis" vert="horz" wrap="square" anchor="ctr" anchorCtr="1"/>
        <a:lstStyle/>
        <a:p>
          <a:pPr algn="ctr">
            <a:defRPr sz="1400" b="1" i="0" u="none" strike="noStrike" kern="1200" spc="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spPr>
            <a:ln w="31750"/>
            <a:scene3d>
              <a:camera prst="orthographicFront"/>
              <a:lightRig rig="threePt" dir="t"/>
            </a:scene3d>
            <a:sp3d prstMaterial="matte">
              <a:contourClr>
                <a:srgbClr val="000000"/>
              </a:contourClr>
            </a:sp3d>
          </c:spPr>
          <c:explosion val="5"/>
          <c:dPt>
            <c:idx val="0"/>
            <c:bubble3D val="0"/>
            <c:spPr>
              <a:solidFill>
                <a:srgbClr val="E2EFDA"/>
              </a:solidFill>
              <a:ln w="31750">
                <a:solidFill>
                  <a:schemeClr val="accent3">
                    <a:lumMod val="20000"/>
                    <a:lumOff val="80000"/>
                  </a:schemeClr>
                </a:solidFill>
              </a:ln>
              <a:effectLst/>
              <a:scene3d>
                <a:camera prst="orthographicFront"/>
                <a:lightRig rig="threePt" dir="t"/>
              </a:scene3d>
              <a:sp3d contourW="31750" prstMaterial="matte">
                <a:contourClr>
                  <a:schemeClr val="accent3">
                    <a:lumMod val="20000"/>
                    <a:lumOff val="80000"/>
                  </a:schemeClr>
                </a:contourClr>
              </a:sp3d>
            </c:spPr>
            <c:extLst>
              <c:ext xmlns:c16="http://schemas.microsoft.com/office/drawing/2014/chart" uri="{C3380CC4-5D6E-409C-BE32-E72D297353CC}">
                <c16:uniqueId val="{00000001-5A3C-44A0-B52E-7D11758FFE2E}"/>
              </c:ext>
            </c:extLst>
          </c:dPt>
          <c:dPt>
            <c:idx val="1"/>
            <c:bubble3D val="0"/>
            <c:spPr>
              <a:solidFill>
                <a:srgbClr val="FFCCCC"/>
              </a:solidFill>
              <a:ln w="31750">
                <a:solidFill>
                  <a:srgbClr val="FFCCCC"/>
                </a:solidFill>
              </a:ln>
              <a:effectLst/>
              <a:scene3d>
                <a:camera prst="orthographicFront"/>
                <a:lightRig rig="threePt" dir="t"/>
              </a:scene3d>
              <a:sp3d contourW="31750" prstMaterial="matte">
                <a:contourClr>
                  <a:srgbClr val="FFCCCC"/>
                </a:contourClr>
              </a:sp3d>
            </c:spPr>
            <c:extLst>
              <c:ext xmlns:c16="http://schemas.microsoft.com/office/drawing/2014/chart" uri="{C3380CC4-5D6E-409C-BE32-E72D297353CC}">
                <c16:uniqueId val="{00000003-5A3C-44A0-B52E-7D11758FFE2E}"/>
              </c:ext>
            </c:extLst>
          </c:dPt>
          <c:dPt>
            <c:idx val="2"/>
            <c:bubble3D val="0"/>
            <c:spPr>
              <a:solidFill>
                <a:srgbClr val="FFC000"/>
              </a:solidFill>
              <a:ln w="31750">
                <a:solidFill>
                  <a:srgbClr val="FFC000"/>
                </a:solidFill>
              </a:ln>
              <a:effectLst/>
              <a:scene3d>
                <a:camera prst="orthographicFront"/>
                <a:lightRig rig="threePt" dir="t"/>
              </a:scene3d>
              <a:sp3d contourW="31750" prstMaterial="matte">
                <a:contourClr>
                  <a:srgbClr val="FFC000"/>
                </a:contourClr>
              </a:sp3d>
            </c:spPr>
            <c:extLst>
              <c:ext xmlns:c16="http://schemas.microsoft.com/office/drawing/2014/chart" uri="{C3380CC4-5D6E-409C-BE32-E72D297353CC}">
                <c16:uniqueId val="{00000005-5A3C-44A0-B52E-7D11758FFE2E}"/>
              </c:ext>
            </c:extLst>
          </c:dPt>
          <c:dPt>
            <c:idx val="3"/>
            <c:bubble3D val="0"/>
            <c:spPr>
              <a:solidFill>
                <a:schemeClr val="bg1">
                  <a:lumMod val="85000"/>
                </a:schemeClr>
              </a:solidFill>
              <a:ln w="31750">
                <a:solidFill>
                  <a:schemeClr val="bg1">
                    <a:lumMod val="85000"/>
                  </a:schemeClr>
                </a:solidFill>
              </a:ln>
              <a:effectLst/>
              <a:scene3d>
                <a:camera prst="orthographicFront"/>
                <a:lightRig rig="threePt" dir="t"/>
              </a:scene3d>
              <a:sp3d contourW="31750" prstMaterial="matte">
                <a:contourClr>
                  <a:schemeClr val="bg1">
                    <a:lumMod val="85000"/>
                  </a:schemeClr>
                </a:contourClr>
              </a:sp3d>
            </c:spPr>
            <c:extLst>
              <c:ext xmlns:c16="http://schemas.microsoft.com/office/drawing/2014/chart" uri="{C3380CC4-5D6E-409C-BE32-E72D297353CC}">
                <c16:uniqueId val="{00000007-5A3C-44A0-B52E-7D11758FFE2E}"/>
              </c:ext>
            </c:extLst>
          </c:dPt>
          <c:dPt>
            <c:idx val="4"/>
            <c:bubble3D val="0"/>
            <c:spPr>
              <a:solidFill>
                <a:schemeClr val="accent6">
                  <a:lumMod val="20000"/>
                  <a:lumOff val="80000"/>
                </a:schemeClr>
              </a:solidFill>
              <a:ln w="31750">
                <a:solidFill>
                  <a:schemeClr val="accent6">
                    <a:lumMod val="20000"/>
                    <a:lumOff val="80000"/>
                  </a:schemeClr>
                </a:solidFill>
              </a:ln>
              <a:effectLst/>
              <a:scene3d>
                <a:camera prst="orthographicFront"/>
                <a:lightRig rig="threePt" dir="t"/>
              </a:scene3d>
              <a:sp3d contourW="31750" prstMaterial="matte">
                <a:contourClr>
                  <a:schemeClr val="accent6">
                    <a:lumMod val="20000"/>
                    <a:lumOff val="80000"/>
                  </a:schemeClr>
                </a:contourClr>
              </a:sp3d>
            </c:spPr>
            <c:extLst>
              <c:ext xmlns:c16="http://schemas.microsoft.com/office/drawing/2014/chart" uri="{C3380CC4-5D6E-409C-BE32-E72D297353CC}">
                <c16:uniqueId val="{00000009-5A3C-44A0-B52E-7D11758FFE2E}"/>
              </c:ext>
            </c:extLst>
          </c:dPt>
          <c:dLbls>
            <c:spPr>
              <a:noFill/>
              <a:ln>
                <a:noFill/>
              </a:ln>
              <a:effectLst/>
            </c:spPr>
            <c:txPr>
              <a:bodyPr rot="0" spcFirstLastPara="1" vertOverflow="ellipsis" vert="horz" wrap="square" lIns="38100" tIns="19050" rIns="38100" bIns="19050" anchor="ctr" anchorCtr="0">
                <a:spAutoFit/>
              </a:bodyPr>
              <a:lstStyle/>
              <a:p>
                <a:pPr>
                  <a:defRPr sz="1200" b="0" i="0" u="none" strike="noStrike" kern="1200" baseline="0">
                    <a:solidFill>
                      <a:schemeClr val="tx1">
                        <a:lumMod val="75000"/>
                        <a:lumOff val="25000"/>
                      </a:schemeClr>
                    </a:solidFill>
                    <a:latin typeface="+mn-lt"/>
                    <a:ea typeface="+mn-ea"/>
                    <a:cs typeface="+mn-cs"/>
                  </a:defRPr>
                </a:pPr>
                <a:endParaRPr lang="lt-LT"/>
              </a:p>
            </c:txPr>
            <c:dLblPos val="inEnd"/>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multiLvlStrRef>
              <c:f>'Priedas Nr.'!$R$545:$S$549</c:f>
              <c:multiLvlStrCache>
                <c:ptCount val="5"/>
                <c:lvl>
                  <c:pt idx="0">
                    <c:v>7</c:v>
                  </c:pt>
                  <c:pt idx="1">
                    <c:v>0</c:v>
                  </c:pt>
                  <c:pt idx="2">
                    <c:v>9</c:v>
                  </c:pt>
                  <c:pt idx="3">
                    <c:v>5</c:v>
                  </c:pt>
                  <c:pt idx="4">
                    <c:v>3</c:v>
                  </c:pt>
                </c:lvl>
                <c:lvl>
                  <c:pt idx="0">
                    <c:v>Priemonė buvo įvykdyta pagal planą</c:v>
                  </c:pt>
                  <c:pt idx="1">
                    <c:v>Vykdant priemonę buvo pasiekta vertinimo kriterijų reikšmių mažiau nei 50 %</c:v>
                  </c:pt>
                  <c:pt idx="2">
                    <c:v>Vykdant priemonę buvo pasiekta vertinimo kriterijų reikšmių 50 % ir daugiau</c:v>
                  </c:pt>
                  <c:pt idx="3">
                    <c:v>Vykdant priemonę buvo pasiekta daugiau vertinimo kriterijų reikšmių nei planuota</c:v>
                  </c:pt>
                  <c:pt idx="4">
                    <c:v>Priemonė neįvykdyta, t.y. nepasiekta planuota vertinimo kriterijų reikšmė</c:v>
                  </c:pt>
                </c:lvl>
              </c:multiLvlStrCache>
            </c:multiLvlStrRef>
          </c:cat>
          <c:val>
            <c:numRef>
              <c:f>'Priedas Nr.'!$S$545:$S$549</c:f>
              <c:numCache>
                <c:formatCode>General</c:formatCode>
                <c:ptCount val="5"/>
                <c:pt idx="0">
                  <c:v>7</c:v>
                </c:pt>
                <c:pt idx="1">
                  <c:v>0</c:v>
                </c:pt>
                <c:pt idx="2">
                  <c:v>9</c:v>
                </c:pt>
                <c:pt idx="3">
                  <c:v>5</c:v>
                </c:pt>
                <c:pt idx="4">
                  <c:v>3</c:v>
                </c:pt>
              </c:numCache>
            </c:numRef>
          </c:val>
          <c:extLst>
            <c:ext xmlns:c16="http://schemas.microsoft.com/office/drawing/2014/chart" uri="{C3380CC4-5D6E-409C-BE32-E72D297353CC}">
              <c16:uniqueId val="{0000000A-5A3C-44A0-B52E-7D11758FFE2E}"/>
            </c:ext>
          </c:extLst>
        </c:ser>
        <c:dLbls>
          <c:dLblPos val="bestFit"/>
          <c:showLegendKey val="0"/>
          <c:showVal val="1"/>
          <c:showCatName val="0"/>
          <c:showSerName val="0"/>
          <c:showPercent val="0"/>
          <c:showBubbleSize val="0"/>
          <c:showLeaderLines val="1"/>
        </c:dLbls>
      </c:pie3DChart>
      <c:spPr>
        <a:solidFill>
          <a:schemeClr val="bg1">
            <a:lumMod val="95000"/>
          </a:schemeClr>
        </a:solidFill>
        <a:ln>
          <a:noFill/>
        </a:ln>
        <a:effectLst/>
      </c:spPr>
    </c:plotArea>
    <c:legend>
      <c:legendPos val="b"/>
      <c:layout>
        <c:manualLayout>
          <c:xMode val="edge"/>
          <c:yMode val="edge"/>
          <c:x val="2.256379873216996E-2"/>
          <c:y val="0.75093203096705152"/>
          <c:w val="0.95487225100822581"/>
          <c:h val="0.23416642482620731"/>
        </c:manualLayout>
      </c:layout>
      <c:overlay val="0"/>
      <c:spPr>
        <a:solidFill>
          <a:schemeClr val="bg1">
            <a:lumMod val="95000"/>
          </a:schemeClr>
        </a:solidFill>
        <a:ln>
          <a:gradFill flip="none" rotWithShape="1">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tileRect/>
          </a:gradFill>
        </a:ln>
        <a:effectLst/>
      </c:spPr>
      <c:txPr>
        <a:bodyPr rot="0" spcFirstLastPara="1" vertOverflow="ellipsis" vert="horz" wrap="square" anchor="ctr" anchorCtr="1"/>
        <a:lstStyle/>
        <a:p>
          <a:pPr>
            <a:defRPr sz="1200" b="0" i="0" u="none" strike="noStrike" kern="1200" baseline="0">
              <a:ln>
                <a:noFill/>
              </a:ln>
              <a:solidFill>
                <a:schemeClr val="tx1"/>
              </a:solidFill>
              <a:latin typeface="Times New Roman" panose="02020603050405020304" pitchFamily="18" charset="0"/>
              <a:ea typeface="+mn-ea"/>
              <a:cs typeface="Times New Roman" panose="02020603050405020304" pitchFamily="18" charset="0"/>
            </a:defRPr>
          </a:pPr>
          <a:endParaRPr lang="lt-L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lumMod val="85000"/>
      </a:schemeClr>
    </a:solidFill>
    <a:ln w="9525" cap="flat" cmpd="sng" algn="ctr">
      <a:solidFill>
        <a:schemeClr val="tx1">
          <a:lumMod val="15000"/>
          <a:lumOff val="85000"/>
        </a:schemeClr>
      </a:solidFill>
      <a:round/>
    </a:ln>
    <a:effectLst>
      <a:softEdge rad="0"/>
    </a:effectLst>
  </c:spPr>
  <c:txPr>
    <a:bodyPr/>
    <a:lstStyle/>
    <a:p>
      <a:pPr>
        <a:defRPr/>
      </a:pPr>
      <a:endParaRPr lang="lt-L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ctr">
              <a:defRPr sz="1400" b="1" i="0" u="none" strike="noStrike" kern="1200" spc="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lt-LT" b="1">
                <a:latin typeface="Times New Roman" panose="02020603050405020304" pitchFamily="18" charset="0"/>
                <a:cs typeface="Times New Roman" panose="02020603050405020304" pitchFamily="18" charset="0"/>
              </a:rPr>
              <a:t>07 programos vykdymas</a:t>
            </a:r>
            <a:endParaRPr lang="en-US" b="1">
              <a:latin typeface="Times New Roman" panose="02020603050405020304" pitchFamily="18" charset="0"/>
              <a:cs typeface="Times New Roman" panose="02020603050405020304" pitchFamily="18" charset="0"/>
            </a:endParaRPr>
          </a:p>
        </c:rich>
      </c:tx>
      <c:layout>
        <c:manualLayout>
          <c:xMode val="edge"/>
          <c:yMode val="edge"/>
          <c:x val="0.33486259871065305"/>
          <c:y val="2.2352316310111694E-2"/>
        </c:manualLayout>
      </c:layout>
      <c:overlay val="0"/>
      <c:spPr>
        <a:noFill/>
        <a:ln>
          <a:noFill/>
        </a:ln>
        <a:effectLst/>
      </c:spPr>
      <c:txPr>
        <a:bodyPr rot="0" spcFirstLastPara="1" vertOverflow="ellipsis" vert="horz" wrap="square" anchor="ctr" anchorCtr="1"/>
        <a:lstStyle/>
        <a:p>
          <a:pPr algn="ctr">
            <a:defRPr sz="1400" b="1" i="0" u="none" strike="noStrike" kern="1200" spc="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spPr>
            <a:ln w="31750"/>
            <a:scene3d>
              <a:camera prst="orthographicFront"/>
              <a:lightRig rig="threePt" dir="t"/>
            </a:scene3d>
            <a:sp3d prstMaterial="matte">
              <a:contourClr>
                <a:srgbClr val="000000"/>
              </a:contourClr>
            </a:sp3d>
          </c:spPr>
          <c:explosion val="5"/>
          <c:dPt>
            <c:idx val="0"/>
            <c:bubble3D val="0"/>
            <c:spPr>
              <a:solidFill>
                <a:srgbClr val="E2EFDA"/>
              </a:solidFill>
              <a:ln w="31750">
                <a:solidFill>
                  <a:schemeClr val="accent3">
                    <a:lumMod val="20000"/>
                    <a:lumOff val="80000"/>
                  </a:schemeClr>
                </a:solidFill>
              </a:ln>
              <a:effectLst/>
              <a:scene3d>
                <a:camera prst="orthographicFront"/>
                <a:lightRig rig="threePt" dir="t"/>
              </a:scene3d>
              <a:sp3d contourW="31750" prstMaterial="matte">
                <a:contourClr>
                  <a:schemeClr val="accent3">
                    <a:lumMod val="20000"/>
                    <a:lumOff val="80000"/>
                  </a:schemeClr>
                </a:contourClr>
              </a:sp3d>
            </c:spPr>
            <c:extLst>
              <c:ext xmlns:c16="http://schemas.microsoft.com/office/drawing/2014/chart" uri="{C3380CC4-5D6E-409C-BE32-E72D297353CC}">
                <c16:uniqueId val="{00000001-71F5-4197-B557-30223B538F10}"/>
              </c:ext>
            </c:extLst>
          </c:dPt>
          <c:dPt>
            <c:idx val="1"/>
            <c:bubble3D val="0"/>
            <c:spPr>
              <a:solidFill>
                <a:srgbClr val="FFCCCC"/>
              </a:solidFill>
              <a:ln w="31750">
                <a:solidFill>
                  <a:srgbClr val="FFCCCC"/>
                </a:solidFill>
              </a:ln>
              <a:effectLst/>
              <a:scene3d>
                <a:camera prst="orthographicFront"/>
                <a:lightRig rig="threePt" dir="t"/>
              </a:scene3d>
              <a:sp3d contourW="31750" prstMaterial="matte">
                <a:contourClr>
                  <a:srgbClr val="FFCCCC"/>
                </a:contourClr>
              </a:sp3d>
            </c:spPr>
            <c:extLst>
              <c:ext xmlns:c16="http://schemas.microsoft.com/office/drawing/2014/chart" uri="{C3380CC4-5D6E-409C-BE32-E72D297353CC}">
                <c16:uniqueId val="{00000003-71F5-4197-B557-30223B538F10}"/>
              </c:ext>
            </c:extLst>
          </c:dPt>
          <c:dPt>
            <c:idx val="2"/>
            <c:bubble3D val="0"/>
            <c:spPr>
              <a:solidFill>
                <a:srgbClr val="FFC000"/>
              </a:solidFill>
              <a:ln w="31750">
                <a:solidFill>
                  <a:srgbClr val="FFC000"/>
                </a:solidFill>
              </a:ln>
              <a:effectLst/>
              <a:scene3d>
                <a:camera prst="orthographicFront"/>
                <a:lightRig rig="threePt" dir="t"/>
              </a:scene3d>
              <a:sp3d contourW="31750" prstMaterial="matte">
                <a:contourClr>
                  <a:srgbClr val="FFC000"/>
                </a:contourClr>
              </a:sp3d>
            </c:spPr>
            <c:extLst>
              <c:ext xmlns:c16="http://schemas.microsoft.com/office/drawing/2014/chart" uri="{C3380CC4-5D6E-409C-BE32-E72D297353CC}">
                <c16:uniqueId val="{00000005-71F5-4197-B557-30223B538F10}"/>
              </c:ext>
            </c:extLst>
          </c:dPt>
          <c:dPt>
            <c:idx val="3"/>
            <c:bubble3D val="0"/>
            <c:spPr>
              <a:solidFill>
                <a:schemeClr val="bg1">
                  <a:lumMod val="85000"/>
                </a:schemeClr>
              </a:solidFill>
              <a:ln w="31750">
                <a:solidFill>
                  <a:schemeClr val="bg1">
                    <a:lumMod val="85000"/>
                  </a:schemeClr>
                </a:solidFill>
              </a:ln>
              <a:effectLst/>
              <a:scene3d>
                <a:camera prst="orthographicFront"/>
                <a:lightRig rig="threePt" dir="t"/>
              </a:scene3d>
              <a:sp3d contourW="31750" prstMaterial="matte">
                <a:contourClr>
                  <a:schemeClr val="bg1">
                    <a:lumMod val="85000"/>
                  </a:schemeClr>
                </a:contourClr>
              </a:sp3d>
            </c:spPr>
            <c:extLst>
              <c:ext xmlns:c16="http://schemas.microsoft.com/office/drawing/2014/chart" uri="{C3380CC4-5D6E-409C-BE32-E72D297353CC}">
                <c16:uniqueId val="{00000007-71F5-4197-B557-30223B538F10}"/>
              </c:ext>
            </c:extLst>
          </c:dPt>
          <c:dPt>
            <c:idx val="4"/>
            <c:bubble3D val="0"/>
            <c:spPr>
              <a:solidFill>
                <a:schemeClr val="accent6">
                  <a:lumMod val="20000"/>
                  <a:lumOff val="80000"/>
                </a:schemeClr>
              </a:solidFill>
              <a:ln w="31750">
                <a:solidFill>
                  <a:schemeClr val="accent6">
                    <a:lumMod val="20000"/>
                    <a:lumOff val="80000"/>
                  </a:schemeClr>
                </a:solidFill>
              </a:ln>
              <a:effectLst/>
              <a:scene3d>
                <a:camera prst="orthographicFront"/>
                <a:lightRig rig="threePt" dir="t"/>
              </a:scene3d>
              <a:sp3d contourW="31750" prstMaterial="matte">
                <a:contourClr>
                  <a:schemeClr val="accent6">
                    <a:lumMod val="20000"/>
                    <a:lumOff val="80000"/>
                  </a:schemeClr>
                </a:contourClr>
              </a:sp3d>
            </c:spPr>
            <c:extLst>
              <c:ext xmlns:c16="http://schemas.microsoft.com/office/drawing/2014/chart" uri="{C3380CC4-5D6E-409C-BE32-E72D297353CC}">
                <c16:uniqueId val="{00000009-71F5-4197-B557-30223B538F10}"/>
              </c:ext>
            </c:extLst>
          </c:dPt>
          <c:dLbls>
            <c:spPr>
              <a:noFill/>
              <a:ln>
                <a:noFill/>
              </a:ln>
              <a:effectLst/>
            </c:spPr>
            <c:txPr>
              <a:bodyPr rot="0" spcFirstLastPara="1" vertOverflow="ellipsis" vert="horz" wrap="square" lIns="38100" tIns="19050" rIns="38100" bIns="19050" anchor="ctr" anchorCtr="0">
                <a:spAutoFit/>
              </a:bodyPr>
              <a:lstStyle/>
              <a:p>
                <a:pPr>
                  <a:defRPr sz="1200" b="0" i="0" u="none" strike="noStrike" kern="1200" baseline="0">
                    <a:solidFill>
                      <a:schemeClr val="tx1">
                        <a:lumMod val="75000"/>
                        <a:lumOff val="25000"/>
                      </a:schemeClr>
                    </a:solidFill>
                    <a:latin typeface="+mn-lt"/>
                    <a:ea typeface="+mn-ea"/>
                    <a:cs typeface="+mn-cs"/>
                  </a:defRPr>
                </a:pPr>
                <a:endParaRPr lang="lt-LT"/>
              </a:p>
            </c:txPr>
            <c:dLblPos val="inEnd"/>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multiLvlStrRef>
              <c:f>'Priedas Nr.'!$R$664:$S$668</c:f>
              <c:multiLvlStrCache>
                <c:ptCount val="5"/>
                <c:lvl>
                  <c:pt idx="0">
                    <c:v>2</c:v>
                  </c:pt>
                  <c:pt idx="1">
                    <c:v>0</c:v>
                  </c:pt>
                  <c:pt idx="2">
                    <c:v>2</c:v>
                  </c:pt>
                  <c:pt idx="3">
                    <c:v>7</c:v>
                  </c:pt>
                  <c:pt idx="4">
                    <c:v>4</c:v>
                  </c:pt>
                </c:lvl>
                <c:lvl>
                  <c:pt idx="0">
                    <c:v>Priemonė buvo įvykdyta pagal planą</c:v>
                  </c:pt>
                  <c:pt idx="1">
                    <c:v>Vykdant priemonę buvo pasiekta vertinimo kriterijų reikšmių mažiau nei 50 %</c:v>
                  </c:pt>
                  <c:pt idx="2">
                    <c:v>Vykdant priemonę buvo pasiekta vertinimo kriterijų reikšmių 50 % ir daugiau</c:v>
                  </c:pt>
                  <c:pt idx="3">
                    <c:v>Vykdant priemonę buvo pasiekta daugiau vertinimo kriterijų reikšmių nei planuota</c:v>
                  </c:pt>
                  <c:pt idx="4">
                    <c:v>Priemonė neįvykdyta, t.y. nepasiekta planuota vertinimo kriterijų reikšmė</c:v>
                  </c:pt>
                </c:lvl>
              </c:multiLvlStrCache>
            </c:multiLvlStrRef>
          </c:cat>
          <c:val>
            <c:numRef>
              <c:f>'Priedas Nr.'!$S$664:$S$668</c:f>
              <c:numCache>
                <c:formatCode>General</c:formatCode>
                <c:ptCount val="5"/>
                <c:pt idx="0">
                  <c:v>2</c:v>
                </c:pt>
                <c:pt idx="1">
                  <c:v>0</c:v>
                </c:pt>
                <c:pt idx="2">
                  <c:v>2</c:v>
                </c:pt>
                <c:pt idx="3">
                  <c:v>7</c:v>
                </c:pt>
                <c:pt idx="4">
                  <c:v>4</c:v>
                </c:pt>
              </c:numCache>
            </c:numRef>
          </c:val>
          <c:extLst>
            <c:ext xmlns:c16="http://schemas.microsoft.com/office/drawing/2014/chart" uri="{C3380CC4-5D6E-409C-BE32-E72D297353CC}">
              <c16:uniqueId val="{0000000A-71F5-4197-B557-30223B538F10}"/>
            </c:ext>
          </c:extLst>
        </c:ser>
        <c:dLbls>
          <c:dLblPos val="bestFit"/>
          <c:showLegendKey val="0"/>
          <c:showVal val="1"/>
          <c:showCatName val="0"/>
          <c:showSerName val="0"/>
          <c:showPercent val="0"/>
          <c:showBubbleSize val="0"/>
          <c:showLeaderLines val="1"/>
        </c:dLbls>
      </c:pie3DChart>
      <c:spPr>
        <a:solidFill>
          <a:schemeClr val="bg1">
            <a:lumMod val="95000"/>
          </a:schemeClr>
        </a:solidFill>
        <a:ln>
          <a:noFill/>
        </a:ln>
        <a:effectLst/>
      </c:spPr>
    </c:plotArea>
    <c:legend>
      <c:legendPos val="b"/>
      <c:layout>
        <c:manualLayout>
          <c:xMode val="edge"/>
          <c:yMode val="edge"/>
          <c:x val="2.256379873216996E-2"/>
          <c:y val="0.75093203096705152"/>
          <c:w val="0.95487225100822581"/>
          <c:h val="0.23416642482620731"/>
        </c:manualLayout>
      </c:layout>
      <c:overlay val="0"/>
      <c:spPr>
        <a:solidFill>
          <a:schemeClr val="bg1">
            <a:lumMod val="95000"/>
          </a:schemeClr>
        </a:solidFill>
        <a:ln>
          <a:gradFill flip="none" rotWithShape="1">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tileRect/>
          </a:gradFill>
        </a:ln>
        <a:effectLst/>
      </c:spPr>
      <c:txPr>
        <a:bodyPr rot="0" spcFirstLastPara="1" vertOverflow="ellipsis" vert="horz" wrap="square" anchor="ctr" anchorCtr="1"/>
        <a:lstStyle/>
        <a:p>
          <a:pPr>
            <a:defRPr sz="1200" b="0" i="0" u="none" strike="noStrike" kern="1200" baseline="0">
              <a:ln>
                <a:noFill/>
              </a:ln>
              <a:solidFill>
                <a:schemeClr val="tx1"/>
              </a:solidFill>
              <a:latin typeface="Times New Roman" panose="02020603050405020304" pitchFamily="18" charset="0"/>
              <a:ea typeface="+mn-ea"/>
              <a:cs typeface="Times New Roman" panose="02020603050405020304" pitchFamily="18" charset="0"/>
            </a:defRPr>
          </a:pPr>
          <a:endParaRPr lang="lt-L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lumMod val="85000"/>
      </a:schemeClr>
    </a:solidFill>
    <a:ln w="9525" cap="flat" cmpd="sng" algn="ctr">
      <a:solidFill>
        <a:schemeClr val="tx1">
          <a:lumMod val="15000"/>
          <a:lumOff val="85000"/>
        </a:schemeClr>
      </a:solidFill>
      <a:round/>
    </a:ln>
    <a:effectLst>
      <a:softEdge rad="0"/>
    </a:effectLst>
  </c:spPr>
  <c:txPr>
    <a:bodyPr/>
    <a:lstStyle/>
    <a:p>
      <a:pPr>
        <a:defRPr/>
      </a:pPr>
      <a:endParaRPr lang="lt-L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ctr">
              <a:defRPr sz="1400" b="1" i="0" u="none" strike="noStrike" kern="1200" spc="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lt-LT" b="1">
                <a:latin typeface="Times New Roman" panose="02020603050405020304" pitchFamily="18" charset="0"/>
                <a:cs typeface="Times New Roman" panose="02020603050405020304" pitchFamily="18" charset="0"/>
              </a:rPr>
              <a:t>08 programos vykdymas</a:t>
            </a:r>
            <a:endParaRPr lang="en-US" b="1">
              <a:latin typeface="Times New Roman" panose="02020603050405020304" pitchFamily="18" charset="0"/>
              <a:cs typeface="Times New Roman" panose="02020603050405020304" pitchFamily="18" charset="0"/>
            </a:endParaRPr>
          </a:p>
        </c:rich>
      </c:tx>
      <c:layout>
        <c:manualLayout>
          <c:xMode val="edge"/>
          <c:yMode val="edge"/>
          <c:x val="0.33486259871065305"/>
          <c:y val="2.2352316310111694E-2"/>
        </c:manualLayout>
      </c:layout>
      <c:overlay val="0"/>
      <c:spPr>
        <a:noFill/>
        <a:ln>
          <a:noFill/>
        </a:ln>
        <a:effectLst/>
      </c:spPr>
      <c:txPr>
        <a:bodyPr rot="0" spcFirstLastPara="1" vertOverflow="ellipsis" vert="horz" wrap="square" anchor="ctr" anchorCtr="1"/>
        <a:lstStyle/>
        <a:p>
          <a:pPr algn="ctr">
            <a:defRPr sz="1400" b="1" i="0" u="none" strike="noStrike" kern="1200" spc="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spPr>
            <a:ln w="31750"/>
            <a:scene3d>
              <a:camera prst="orthographicFront"/>
              <a:lightRig rig="threePt" dir="t"/>
            </a:scene3d>
            <a:sp3d prstMaterial="matte">
              <a:contourClr>
                <a:srgbClr val="000000"/>
              </a:contourClr>
            </a:sp3d>
          </c:spPr>
          <c:explosion val="5"/>
          <c:dPt>
            <c:idx val="0"/>
            <c:bubble3D val="0"/>
            <c:spPr>
              <a:solidFill>
                <a:srgbClr val="E2EFDA"/>
              </a:solidFill>
              <a:ln w="31750">
                <a:solidFill>
                  <a:schemeClr val="accent3">
                    <a:lumMod val="20000"/>
                    <a:lumOff val="80000"/>
                  </a:schemeClr>
                </a:solidFill>
              </a:ln>
              <a:effectLst/>
              <a:scene3d>
                <a:camera prst="orthographicFront"/>
                <a:lightRig rig="threePt" dir="t"/>
              </a:scene3d>
              <a:sp3d contourW="31750" prstMaterial="matte">
                <a:contourClr>
                  <a:schemeClr val="accent3">
                    <a:lumMod val="20000"/>
                    <a:lumOff val="80000"/>
                  </a:schemeClr>
                </a:contourClr>
              </a:sp3d>
            </c:spPr>
            <c:extLst>
              <c:ext xmlns:c16="http://schemas.microsoft.com/office/drawing/2014/chart" uri="{C3380CC4-5D6E-409C-BE32-E72D297353CC}">
                <c16:uniqueId val="{00000001-1598-437E-85CA-F66B46F47652}"/>
              </c:ext>
            </c:extLst>
          </c:dPt>
          <c:dPt>
            <c:idx val="1"/>
            <c:bubble3D val="0"/>
            <c:spPr>
              <a:solidFill>
                <a:srgbClr val="FFCCCC"/>
              </a:solidFill>
              <a:ln w="31750">
                <a:solidFill>
                  <a:srgbClr val="FFCCCC"/>
                </a:solidFill>
              </a:ln>
              <a:effectLst/>
              <a:scene3d>
                <a:camera prst="orthographicFront"/>
                <a:lightRig rig="threePt" dir="t"/>
              </a:scene3d>
              <a:sp3d contourW="31750" prstMaterial="matte">
                <a:contourClr>
                  <a:srgbClr val="FFCCCC"/>
                </a:contourClr>
              </a:sp3d>
            </c:spPr>
            <c:extLst>
              <c:ext xmlns:c16="http://schemas.microsoft.com/office/drawing/2014/chart" uri="{C3380CC4-5D6E-409C-BE32-E72D297353CC}">
                <c16:uniqueId val="{00000003-1598-437E-85CA-F66B46F47652}"/>
              </c:ext>
            </c:extLst>
          </c:dPt>
          <c:dPt>
            <c:idx val="2"/>
            <c:bubble3D val="0"/>
            <c:spPr>
              <a:solidFill>
                <a:srgbClr val="FFC000"/>
              </a:solidFill>
              <a:ln w="31750">
                <a:solidFill>
                  <a:srgbClr val="FFC000"/>
                </a:solidFill>
              </a:ln>
              <a:effectLst/>
              <a:scene3d>
                <a:camera prst="orthographicFront"/>
                <a:lightRig rig="threePt" dir="t"/>
              </a:scene3d>
              <a:sp3d contourW="31750" prstMaterial="matte">
                <a:contourClr>
                  <a:srgbClr val="FFC000"/>
                </a:contourClr>
              </a:sp3d>
            </c:spPr>
            <c:extLst>
              <c:ext xmlns:c16="http://schemas.microsoft.com/office/drawing/2014/chart" uri="{C3380CC4-5D6E-409C-BE32-E72D297353CC}">
                <c16:uniqueId val="{00000005-1598-437E-85CA-F66B46F47652}"/>
              </c:ext>
            </c:extLst>
          </c:dPt>
          <c:dPt>
            <c:idx val="3"/>
            <c:bubble3D val="0"/>
            <c:spPr>
              <a:solidFill>
                <a:schemeClr val="bg1">
                  <a:lumMod val="85000"/>
                </a:schemeClr>
              </a:solidFill>
              <a:ln w="31750">
                <a:solidFill>
                  <a:schemeClr val="bg1">
                    <a:lumMod val="85000"/>
                  </a:schemeClr>
                </a:solidFill>
              </a:ln>
              <a:effectLst/>
              <a:scene3d>
                <a:camera prst="orthographicFront"/>
                <a:lightRig rig="threePt" dir="t"/>
              </a:scene3d>
              <a:sp3d contourW="31750" prstMaterial="matte">
                <a:contourClr>
                  <a:schemeClr val="bg1">
                    <a:lumMod val="85000"/>
                  </a:schemeClr>
                </a:contourClr>
              </a:sp3d>
            </c:spPr>
            <c:extLst>
              <c:ext xmlns:c16="http://schemas.microsoft.com/office/drawing/2014/chart" uri="{C3380CC4-5D6E-409C-BE32-E72D297353CC}">
                <c16:uniqueId val="{00000007-1598-437E-85CA-F66B46F47652}"/>
              </c:ext>
            </c:extLst>
          </c:dPt>
          <c:dPt>
            <c:idx val="4"/>
            <c:bubble3D val="0"/>
            <c:spPr>
              <a:solidFill>
                <a:schemeClr val="accent6">
                  <a:lumMod val="20000"/>
                  <a:lumOff val="80000"/>
                </a:schemeClr>
              </a:solidFill>
              <a:ln w="31750">
                <a:solidFill>
                  <a:schemeClr val="accent6">
                    <a:lumMod val="20000"/>
                    <a:lumOff val="80000"/>
                  </a:schemeClr>
                </a:solidFill>
              </a:ln>
              <a:effectLst/>
              <a:scene3d>
                <a:camera prst="orthographicFront"/>
                <a:lightRig rig="threePt" dir="t"/>
              </a:scene3d>
              <a:sp3d contourW="31750" prstMaterial="matte">
                <a:contourClr>
                  <a:schemeClr val="accent6">
                    <a:lumMod val="20000"/>
                    <a:lumOff val="80000"/>
                  </a:schemeClr>
                </a:contourClr>
              </a:sp3d>
            </c:spPr>
            <c:extLst>
              <c:ext xmlns:c16="http://schemas.microsoft.com/office/drawing/2014/chart" uri="{C3380CC4-5D6E-409C-BE32-E72D297353CC}">
                <c16:uniqueId val="{00000009-1598-437E-85CA-F66B46F47652}"/>
              </c:ext>
            </c:extLst>
          </c:dPt>
          <c:dLbls>
            <c:spPr>
              <a:noFill/>
              <a:ln>
                <a:noFill/>
              </a:ln>
              <a:effectLst/>
            </c:spPr>
            <c:txPr>
              <a:bodyPr rot="0" spcFirstLastPara="1" vertOverflow="ellipsis" vert="horz" wrap="square" lIns="38100" tIns="19050" rIns="38100" bIns="19050" anchor="ctr" anchorCtr="0">
                <a:spAutoFit/>
              </a:bodyPr>
              <a:lstStyle/>
              <a:p>
                <a:pPr>
                  <a:defRPr sz="1200" b="0" i="0" u="none" strike="noStrike" kern="1200" baseline="0">
                    <a:solidFill>
                      <a:schemeClr val="tx1">
                        <a:lumMod val="75000"/>
                        <a:lumOff val="25000"/>
                      </a:schemeClr>
                    </a:solidFill>
                    <a:latin typeface="+mn-lt"/>
                    <a:ea typeface="+mn-ea"/>
                    <a:cs typeface="+mn-cs"/>
                  </a:defRPr>
                </a:pPr>
                <a:endParaRPr lang="lt-LT"/>
              </a:p>
            </c:txPr>
            <c:dLblPos val="inEnd"/>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multiLvlStrRef>
              <c:f>'Priedas Nr.'!$R$731:$S$735</c:f>
              <c:multiLvlStrCache>
                <c:ptCount val="5"/>
                <c:lvl>
                  <c:pt idx="0">
                    <c:v>22</c:v>
                  </c:pt>
                  <c:pt idx="1">
                    <c:v>2</c:v>
                  </c:pt>
                  <c:pt idx="2">
                    <c:v>6</c:v>
                  </c:pt>
                  <c:pt idx="3">
                    <c:v>10</c:v>
                  </c:pt>
                  <c:pt idx="4">
                    <c:v>6</c:v>
                  </c:pt>
                </c:lvl>
                <c:lvl>
                  <c:pt idx="0">
                    <c:v>Priemonė buvo įvykdyta pagal planą</c:v>
                  </c:pt>
                  <c:pt idx="1">
                    <c:v>Vykdant priemonę buvo pasiekta vertinimo kriterijų reikšmių mažiau nei 50 %</c:v>
                  </c:pt>
                  <c:pt idx="2">
                    <c:v>Vykdant priemonę buvo pasiekta vertinimo kriterijų reikšmių 50 % ir daugiau</c:v>
                  </c:pt>
                  <c:pt idx="3">
                    <c:v>Vykdant priemonę buvo pasiekta daugiau vertinimo kriterijų reikšmių nei planuota</c:v>
                  </c:pt>
                  <c:pt idx="4">
                    <c:v>Priemonė neįvykdyta, t.y. nepasiekta planuota vertinimo kriterijų reikšmė</c:v>
                  </c:pt>
                </c:lvl>
              </c:multiLvlStrCache>
            </c:multiLvlStrRef>
          </c:cat>
          <c:val>
            <c:numRef>
              <c:f>'Priedas Nr.'!$S$731:$S$735</c:f>
              <c:numCache>
                <c:formatCode>General</c:formatCode>
                <c:ptCount val="5"/>
                <c:pt idx="0">
                  <c:v>22</c:v>
                </c:pt>
                <c:pt idx="1">
                  <c:v>2</c:v>
                </c:pt>
                <c:pt idx="2">
                  <c:v>6</c:v>
                </c:pt>
                <c:pt idx="3">
                  <c:v>10</c:v>
                </c:pt>
                <c:pt idx="4">
                  <c:v>6</c:v>
                </c:pt>
              </c:numCache>
            </c:numRef>
          </c:val>
          <c:extLst>
            <c:ext xmlns:c16="http://schemas.microsoft.com/office/drawing/2014/chart" uri="{C3380CC4-5D6E-409C-BE32-E72D297353CC}">
              <c16:uniqueId val="{0000000A-1598-437E-85CA-F66B46F47652}"/>
            </c:ext>
          </c:extLst>
        </c:ser>
        <c:dLbls>
          <c:dLblPos val="bestFit"/>
          <c:showLegendKey val="0"/>
          <c:showVal val="1"/>
          <c:showCatName val="0"/>
          <c:showSerName val="0"/>
          <c:showPercent val="0"/>
          <c:showBubbleSize val="0"/>
          <c:showLeaderLines val="1"/>
        </c:dLbls>
      </c:pie3DChart>
      <c:spPr>
        <a:solidFill>
          <a:schemeClr val="bg1">
            <a:lumMod val="95000"/>
          </a:schemeClr>
        </a:solidFill>
        <a:ln>
          <a:noFill/>
        </a:ln>
        <a:effectLst/>
      </c:spPr>
    </c:plotArea>
    <c:legend>
      <c:legendPos val="b"/>
      <c:layout>
        <c:manualLayout>
          <c:xMode val="edge"/>
          <c:yMode val="edge"/>
          <c:x val="2.256379873216996E-2"/>
          <c:y val="0.75093203096705152"/>
          <c:w val="0.95487225100822581"/>
          <c:h val="0.23416642482620731"/>
        </c:manualLayout>
      </c:layout>
      <c:overlay val="0"/>
      <c:spPr>
        <a:solidFill>
          <a:schemeClr val="bg1">
            <a:lumMod val="95000"/>
          </a:schemeClr>
        </a:solidFill>
        <a:ln>
          <a:gradFill flip="none" rotWithShape="1">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tileRect/>
          </a:gradFill>
        </a:ln>
        <a:effectLst/>
      </c:spPr>
      <c:txPr>
        <a:bodyPr rot="0" spcFirstLastPara="1" vertOverflow="ellipsis" vert="horz" wrap="square" anchor="ctr" anchorCtr="1"/>
        <a:lstStyle/>
        <a:p>
          <a:pPr>
            <a:defRPr sz="1200" b="0" i="0" u="none" strike="noStrike" kern="1200" baseline="0">
              <a:ln>
                <a:noFill/>
              </a:ln>
              <a:solidFill>
                <a:schemeClr val="tx1"/>
              </a:solidFill>
              <a:latin typeface="Times New Roman" panose="02020603050405020304" pitchFamily="18" charset="0"/>
              <a:ea typeface="+mn-ea"/>
              <a:cs typeface="Times New Roman" panose="02020603050405020304" pitchFamily="18" charset="0"/>
            </a:defRPr>
          </a:pPr>
          <a:endParaRPr lang="lt-L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lumMod val="85000"/>
      </a:schemeClr>
    </a:solidFill>
    <a:ln w="9525" cap="flat" cmpd="sng" algn="ctr">
      <a:solidFill>
        <a:schemeClr val="tx1">
          <a:lumMod val="15000"/>
          <a:lumOff val="85000"/>
        </a:schemeClr>
      </a:solidFill>
      <a:round/>
    </a:ln>
    <a:effectLst>
      <a:softEdge rad="0"/>
    </a:effectLst>
  </c:spPr>
  <c:txPr>
    <a:bodyPr/>
    <a:lstStyle/>
    <a:p>
      <a:pPr>
        <a:defRPr/>
      </a:pPr>
      <a:endParaRPr lang="lt-L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ctr">
              <a:defRPr sz="1400" b="1" i="0" u="none" strike="noStrike" kern="1200" spc="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lt-LT" b="1">
                <a:latin typeface="Times New Roman" panose="02020603050405020304" pitchFamily="18" charset="0"/>
                <a:cs typeface="Times New Roman" panose="02020603050405020304" pitchFamily="18" charset="0"/>
              </a:rPr>
              <a:t>09 programos vykdymas</a:t>
            </a:r>
            <a:endParaRPr lang="en-US" b="1">
              <a:latin typeface="Times New Roman" panose="02020603050405020304" pitchFamily="18" charset="0"/>
              <a:cs typeface="Times New Roman" panose="02020603050405020304" pitchFamily="18" charset="0"/>
            </a:endParaRPr>
          </a:p>
        </c:rich>
      </c:tx>
      <c:layout>
        <c:manualLayout>
          <c:xMode val="edge"/>
          <c:yMode val="edge"/>
          <c:x val="0.33486259871065305"/>
          <c:y val="2.2352316310111694E-2"/>
        </c:manualLayout>
      </c:layout>
      <c:overlay val="0"/>
      <c:spPr>
        <a:noFill/>
        <a:ln>
          <a:noFill/>
        </a:ln>
        <a:effectLst/>
      </c:spPr>
      <c:txPr>
        <a:bodyPr rot="0" spcFirstLastPara="1" vertOverflow="ellipsis" vert="horz" wrap="square" anchor="ctr" anchorCtr="1"/>
        <a:lstStyle/>
        <a:p>
          <a:pPr algn="ctr">
            <a:defRPr sz="1400" b="1" i="0" u="none" strike="noStrike" kern="1200" spc="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spPr>
            <a:ln w="31750"/>
            <a:scene3d>
              <a:camera prst="orthographicFront"/>
              <a:lightRig rig="threePt" dir="t"/>
            </a:scene3d>
            <a:sp3d prstMaterial="matte">
              <a:contourClr>
                <a:srgbClr val="000000"/>
              </a:contourClr>
            </a:sp3d>
          </c:spPr>
          <c:explosion val="5"/>
          <c:dPt>
            <c:idx val="0"/>
            <c:bubble3D val="0"/>
            <c:spPr>
              <a:solidFill>
                <a:srgbClr val="E2EFDA"/>
              </a:solidFill>
              <a:ln w="31750">
                <a:solidFill>
                  <a:schemeClr val="accent3">
                    <a:lumMod val="20000"/>
                    <a:lumOff val="80000"/>
                  </a:schemeClr>
                </a:solidFill>
              </a:ln>
              <a:effectLst/>
              <a:scene3d>
                <a:camera prst="orthographicFront"/>
                <a:lightRig rig="threePt" dir="t"/>
              </a:scene3d>
              <a:sp3d contourW="31750" prstMaterial="matte">
                <a:contourClr>
                  <a:schemeClr val="accent3">
                    <a:lumMod val="20000"/>
                    <a:lumOff val="80000"/>
                  </a:schemeClr>
                </a:contourClr>
              </a:sp3d>
            </c:spPr>
            <c:extLst>
              <c:ext xmlns:c16="http://schemas.microsoft.com/office/drawing/2014/chart" uri="{C3380CC4-5D6E-409C-BE32-E72D297353CC}">
                <c16:uniqueId val="{00000001-C9D0-4EE5-9FF3-3851430122BC}"/>
              </c:ext>
            </c:extLst>
          </c:dPt>
          <c:dPt>
            <c:idx val="1"/>
            <c:bubble3D val="0"/>
            <c:spPr>
              <a:solidFill>
                <a:srgbClr val="FFCCCC"/>
              </a:solidFill>
              <a:ln w="31750">
                <a:solidFill>
                  <a:srgbClr val="FFCCCC"/>
                </a:solidFill>
              </a:ln>
              <a:effectLst/>
              <a:scene3d>
                <a:camera prst="orthographicFront"/>
                <a:lightRig rig="threePt" dir="t"/>
              </a:scene3d>
              <a:sp3d contourW="31750" prstMaterial="matte">
                <a:contourClr>
                  <a:srgbClr val="FFCCCC"/>
                </a:contourClr>
              </a:sp3d>
            </c:spPr>
            <c:extLst>
              <c:ext xmlns:c16="http://schemas.microsoft.com/office/drawing/2014/chart" uri="{C3380CC4-5D6E-409C-BE32-E72D297353CC}">
                <c16:uniqueId val="{00000003-C9D0-4EE5-9FF3-3851430122BC}"/>
              </c:ext>
            </c:extLst>
          </c:dPt>
          <c:dPt>
            <c:idx val="2"/>
            <c:bubble3D val="0"/>
            <c:spPr>
              <a:solidFill>
                <a:srgbClr val="FFC000"/>
              </a:solidFill>
              <a:ln w="31750">
                <a:solidFill>
                  <a:srgbClr val="FFC000"/>
                </a:solidFill>
              </a:ln>
              <a:effectLst/>
              <a:scene3d>
                <a:camera prst="orthographicFront"/>
                <a:lightRig rig="threePt" dir="t"/>
              </a:scene3d>
              <a:sp3d contourW="31750" prstMaterial="matte">
                <a:contourClr>
                  <a:srgbClr val="FFC000"/>
                </a:contourClr>
              </a:sp3d>
            </c:spPr>
            <c:extLst>
              <c:ext xmlns:c16="http://schemas.microsoft.com/office/drawing/2014/chart" uri="{C3380CC4-5D6E-409C-BE32-E72D297353CC}">
                <c16:uniqueId val="{00000005-C9D0-4EE5-9FF3-3851430122BC}"/>
              </c:ext>
            </c:extLst>
          </c:dPt>
          <c:dPt>
            <c:idx val="3"/>
            <c:bubble3D val="0"/>
            <c:spPr>
              <a:solidFill>
                <a:schemeClr val="bg1">
                  <a:lumMod val="85000"/>
                </a:schemeClr>
              </a:solidFill>
              <a:ln w="31750">
                <a:solidFill>
                  <a:schemeClr val="bg1">
                    <a:lumMod val="85000"/>
                  </a:schemeClr>
                </a:solidFill>
              </a:ln>
              <a:effectLst/>
              <a:scene3d>
                <a:camera prst="orthographicFront"/>
                <a:lightRig rig="threePt" dir="t"/>
              </a:scene3d>
              <a:sp3d contourW="31750" prstMaterial="matte">
                <a:contourClr>
                  <a:schemeClr val="bg1">
                    <a:lumMod val="85000"/>
                  </a:schemeClr>
                </a:contourClr>
              </a:sp3d>
            </c:spPr>
            <c:extLst>
              <c:ext xmlns:c16="http://schemas.microsoft.com/office/drawing/2014/chart" uri="{C3380CC4-5D6E-409C-BE32-E72D297353CC}">
                <c16:uniqueId val="{00000007-C9D0-4EE5-9FF3-3851430122BC}"/>
              </c:ext>
            </c:extLst>
          </c:dPt>
          <c:dPt>
            <c:idx val="4"/>
            <c:bubble3D val="0"/>
            <c:spPr>
              <a:solidFill>
                <a:schemeClr val="accent6">
                  <a:lumMod val="20000"/>
                  <a:lumOff val="80000"/>
                </a:schemeClr>
              </a:solidFill>
              <a:ln w="31750">
                <a:solidFill>
                  <a:schemeClr val="accent6">
                    <a:lumMod val="20000"/>
                    <a:lumOff val="80000"/>
                  </a:schemeClr>
                </a:solidFill>
              </a:ln>
              <a:effectLst/>
              <a:scene3d>
                <a:camera prst="orthographicFront"/>
                <a:lightRig rig="threePt" dir="t"/>
              </a:scene3d>
              <a:sp3d contourW="31750" prstMaterial="matte">
                <a:contourClr>
                  <a:schemeClr val="accent6">
                    <a:lumMod val="20000"/>
                    <a:lumOff val="80000"/>
                  </a:schemeClr>
                </a:contourClr>
              </a:sp3d>
            </c:spPr>
            <c:extLst>
              <c:ext xmlns:c16="http://schemas.microsoft.com/office/drawing/2014/chart" uri="{C3380CC4-5D6E-409C-BE32-E72D297353CC}">
                <c16:uniqueId val="{00000009-C9D0-4EE5-9FF3-3851430122BC}"/>
              </c:ext>
            </c:extLst>
          </c:dPt>
          <c:dLbls>
            <c:spPr>
              <a:noFill/>
              <a:ln>
                <a:noFill/>
              </a:ln>
              <a:effectLst/>
            </c:spPr>
            <c:txPr>
              <a:bodyPr rot="0" spcFirstLastPara="1" vertOverflow="ellipsis" vert="horz" wrap="square" lIns="38100" tIns="19050" rIns="38100" bIns="19050" anchor="ctr" anchorCtr="0">
                <a:spAutoFit/>
              </a:bodyPr>
              <a:lstStyle/>
              <a:p>
                <a:pPr>
                  <a:defRPr sz="1200" b="0" i="0" u="none" strike="noStrike" kern="1200" baseline="0">
                    <a:solidFill>
                      <a:schemeClr val="tx1">
                        <a:lumMod val="75000"/>
                        <a:lumOff val="25000"/>
                      </a:schemeClr>
                    </a:solidFill>
                    <a:latin typeface="+mn-lt"/>
                    <a:ea typeface="+mn-ea"/>
                    <a:cs typeface="+mn-cs"/>
                  </a:defRPr>
                </a:pPr>
                <a:endParaRPr lang="lt-LT"/>
              </a:p>
            </c:txPr>
            <c:dLblPos val="inEnd"/>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multiLvlStrRef>
              <c:f>'Priedas Nr.'!$R$929:$S$933</c:f>
              <c:multiLvlStrCache>
                <c:ptCount val="5"/>
                <c:lvl>
                  <c:pt idx="0">
                    <c:v>2</c:v>
                  </c:pt>
                  <c:pt idx="1">
                    <c:v>1</c:v>
                  </c:pt>
                  <c:pt idx="2">
                    <c:v>5</c:v>
                  </c:pt>
                  <c:pt idx="3">
                    <c:v>6</c:v>
                  </c:pt>
                  <c:pt idx="4">
                    <c:v>1</c:v>
                  </c:pt>
                </c:lvl>
                <c:lvl>
                  <c:pt idx="0">
                    <c:v>Priemonė buvo įvykdyta pagal planą</c:v>
                  </c:pt>
                  <c:pt idx="1">
                    <c:v>Vykdant priemonę buvo pasiekta vertinimo kriterijų reikšmių mažiau nei 50 %</c:v>
                  </c:pt>
                  <c:pt idx="2">
                    <c:v>Vykdant priemonę buvo pasiekta vertinimo kriterijų reikšmių 50 % ir daugiau</c:v>
                  </c:pt>
                  <c:pt idx="3">
                    <c:v>Vykdant priemonę buvo pasiekta daugiau vertinimo kriterijų reikšmių nei planuota</c:v>
                  </c:pt>
                  <c:pt idx="4">
                    <c:v>Priemonė neįvykdyta, t.y. nepasiekta planuota vertinimo kriterijų reikšmė</c:v>
                  </c:pt>
                </c:lvl>
              </c:multiLvlStrCache>
            </c:multiLvlStrRef>
          </c:cat>
          <c:val>
            <c:numRef>
              <c:f>'Priedas Nr.'!$S$929:$S$933</c:f>
              <c:numCache>
                <c:formatCode>General</c:formatCode>
                <c:ptCount val="5"/>
                <c:pt idx="0">
                  <c:v>2</c:v>
                </c:pt>
                <c:pt idx="1">
                  <c:v>1</c:v>
                </c:pt>
                <c:pt idx="2">
                  <c:v>5</c:v>
                </c:pt>
                <c:pt idx="3">
                  <c:v>6</c:v>
                </c:pt>
                <c:pt idx="4">
                  <c:v>1</c:v>
                </c:pt>
              </c:numCache>
            </c:numRef>
          </c:val>
          <c:extLst>
            <c:ext xmlns:c16="http://schemas.microsoft.com/office/drawing/2014/chart" uri="{C3380CC4-5D6E-409C-BE32-E72D297353CC}">
              <c16:uniqueId val="{0000000A-C9D0-4EE5-9FF3-3851430122BC}"/>
            </c:ext>
          </c:extLst>
        </c:ser>
        <c:dLbls>
          <c:dLblPos val="bestFit"/>
          <c:showLegendKey val="0"/>
          <c:showVal val="1"/>
          <c:showCatName val="0"/>
          <c:showSerName val="0"/>
          <c:showPercent val="0"/>
          <c:showBubbleSize val="0"/>
          <c:showLeaderLines val="1"/>
        </c:dLbls>
      </c:pie3DChart>
      <c:spPr>
        <a:solidFill>
          <a:schemeClr val="bg1">
            <a:lumMod val="95000"/>
          </a:schemeClr>
        </a:solidFill>
        <a:ln>
          <a:noFill/>
        </a:ln>
        <a:effectLst/>
      </c:spPr>
    </c:plotArea>
    <c:legend>
      <c:legendPos val="b"/>
      <c:layout>
        <c:manualLayout>
          <c:xMode val="edge"/>
          <c:yMode val="edge"/>
          <c:x val="2.256379873216996E-2"/>
          <c:y val="0.75093203096705152"/>
          <c:w val="0.95487225100822581"/>
          <c:h val="0.23416642482620731"/>
        </c:manualLayout>
      </c:layout>
      <c:overlay val="0"/>
      <c:spPr>
        <a:solidFill>
          <a:schemeClr val="bg1">
            <a:lumMod val="95000"/>
          </a:schemeClr>
        </a:solidFill>
        <a:ln>
          <a:gradFill flip="none" rotWithShape="1">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tileRect/>
          </a:gradFill>
        </a:ln>
        <a:effectLst/>
      </c:spPr>
      <c:txPr>
        <a:bodyPr rot="0" spcFirstLastPara="1" vertOverflow="ellipsis" vert="horz" wrap="square" anchor="ctr" anchorCtr="1"/>
        <a:lstStyle/>
        <a:p>
          <a:pPr>
            <a:defRPr sz="1200" b="0" i="0" u="none" strike="noStrike" kern="1200" baseline="0">
              <a:ln>
                <a:noFill/>
              </a:ln>
              <a:solidFill>
                <a:schemeClr val="tx1"/>
              </a:solidFill>
              <a:latin typeface="Times New Roman" panose="02020603050405020304" pitchFamily="18" charset="0"/>
              <a:ea typeface="+mn-ea"/>
              <a:cs typeface="Times New Roman" panose="02020603050405020304" pitchFamily="18" charset="0"/>
            </a:defRPr>
          </a:pPr>
          <a:endParaRPr lang="lt-L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lumMod val="85000"/>
      </a:schemeClr>
    </a:solidFill>
    <a:ln w="9525" cap="flat" cmpd="sng" algn="ctr">
      <a:solidFill>
        <a:schemeClr val="tx1">
          <a:lumMod val="15000"/>
          <a:lumOff val="85000"/>
        </a:schemeClr>
      </a:solidFill>
      <a:round/>
    </a:ln>
    <a:effectLst>
      <a:softEdge rad="0"/>
    </a:effectLst>
  </c:spPr>
  <c:txPr>
    <a:bodyPr/>
    <a:lstStyle/>
    <a:p>
      <a:pPr>
        <a:defRPr/>
      </a:pPr>
      <a:endParaRPr lang="lt-L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16</xdr:col>
      <xdr:colOff>31751</xdr:colOff>
      <xdr:row>15</xdr:row>
      <xdr:rowOff>122767</xdr:rowOff>
    </xdr:from>
    <xdr:to>
      <xdr:col>19</xdr:col>
      <xdr:colOff>31750</xdr:colOff>
      <xdr:row>20</xdr:row>
      <xdr:rowOff>8770</xdr:rowOff>
    </xdr:to>
    <xdr:graphicFrame macro="">
      <xdr:nvGraphicFramePr>
        <xdr:cNvPr id="3" name="Diagrama 2">
          <a:extLst>
            <a:ext uri="{FF2B5EF4-FFF2-40B4-BE49-F238E27FC236}">
              <a16:creationId xmlns:a16="http://schemas.microsoft.com/office/drawing/2014/main" id="{6D667819-A440-48E3-BDA0-2E438B4C18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42334</xdr:colOff>
      <xdr:row>175</xdr:row>
      <xdr:rowOff>228600</xdr:rowOff>
    </xdr:from>
    <xdr:to>
      <xdr:col>19</xdr:col>
      <xdr:colOff>38100</xdr:colOff>
      <xdr:row>181</xdr:row>
      <xdr:rowOff>614135</xdr:rowOff>
    </xdr:to>
    <xdr:graphicFrame macro="">
      <xdr:nvGraphicFramePr>
        <xdr:cNvPr id="5" name="Diagrama 4">
          <a:extLst>
            <a:ext uri="{FF2B5EF4-FFF2-40B4-BE49-F238E27FC236}">
              <a16:creationId xmlns:a16="http://schemas.microsoft.com/office/drawing/2014/main" id="{092DF314-0320-4DD5-B21F-F4F068C264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31750</xdr:colOff>
      <xdr:row>225</xdr:row>
      <xdr:rowOff>10584</xdr:rowOff>
    </xdr:from>
    <xdr:to>
      <xdr:col>19</xdr:col>
      <xdr:colOff>21166</xdr:colOff>
      <xdr:row>237</xdr:row>
      <xdr:rowOff>21469</xdr:rowOff>
    </xdr:to>
    <xdr:graphicFrame macro="">
      <xdr:nvGraphicFramePr>
        <xdr:cNvPr id="7" name="Diagrama 6">
          <a:extLst>
            <a:ext uri="{FF2B5EF4-FFF2-40B4-BE49-F238E27FC236}">
              <a16:creationId xmlns:a16="http://schemas.microsoft.com/office/drawing/2014/main" id="{5273A1A5-6C13-49F2-9AEF-AD63E31D72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21167</xdr:colOff>
      <xdr:row>274</xdr:row>
      <xdr:rowOff>116416</xdr:rowOff>
    </xdr:from>
    <xdr:to>
      <xdr:col>18</xdr:col>
      <xdr:colOff>2095500</xdr:colOff>
      <xdr:row>281</xdr:row>
      <xdr:rowOff>106134</xdr:rowOff>
    </xdr:to>
    <xdr:graphicFrame macro="">
      <xdr:nvGraphicFramePr>
        <xdr:cNvPr id="8" name="Diagrama 7">
          <a:extLst>
            <a:ext uri="{FF2B5EF4-FFF2-40B4-BE49-F238E27FC236}">
              <a16:creationId xmlns:a16="http://schemas.microsoft.com/office/drawing/2014/main" id="{160E044F-7FC5-4016-9012-9A86763466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52917</xdr:colOff>
      <xdr:row>469</xdr:row>
      <xdr:rowOff>116417</xdr:rowOff>
    </xdr:from>
    <xdr:to>
      <xdr:col>19</xdr:col>
      <xdr:colOff>10583</xdr:colOff>
      <xdr:row>471</xdr:row>
      <xdr:rowOff>2021719</xdr:rowOff>
    </xdr:to>
    <xdr:graphicFrame macro="">
      <xdr:nvGraphicFramePr>
        <xdr:cNvPr id="9" name="Diagrama 8">
          <a:extLst>
            <a:ext uri="{FF2B5EF4-FFF2-40B4-BE49-F238E27FC236}">
              <a16:creationId xmlns:a16="http://schemas.microsoft.com/office/drawing/2014/main" id="{6DB85FD9-523B-4838-824A-641445E7DD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16</xdr:col>
      <xdr:colOff>52917</xdr:colOff>
      <xdr:row>550</xdr:row>
      <xdr:rowOff>179917</xdr:rowOff>
    </xdr:from>
    <xdr:to>
      <xdr:col>19</xdr:col>
      <xdr:colOff>31750</xdr:colOff>
      <xdr:row>558</xdr:row>
      <xdr:rowOff>1016302</xdr:rowOff>
    </xdr:to>
    <xdr:graphicFrame macro="">
      <xdr:nvGraphicFramePr>
        <xdr:cNvPr id="10" name="Diagrama 9">
          <a:extLst>
            <a:ext uri="{FF2B5EF4-FFF2-40B4-BE49-F238E27FC236}">
              <a16:creationId xmlns:a16="http://schemas.microsoft.com/office/drawing/2014/main" id="{6D3BEC00-0232-43EC-98DF-B3D8C1CE2F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16</xdr:col>
      <xdr:colOff>31750</xdr:colOff>
      <xdr:row>669</xdr:row>
      <xdr:rowOff>116417</xdr:rowOff>
    </xdr:from>
    <xdr:to>
      <xdr:col>19</xdr:col>
      <xdr:colOff>10583</xdr:colOff>
      <xdr:row>679</xdr:row>
      <xdr:rowOff>455386</xdr:rowOff>
    </xdr:to>
    <xdr:graphicFrame macro="">
      <xdr:nvGraphicFramePr>
        <xdr:cNvPr id="11" name="Diagrama 10">
          <a:extLst>
            <a:ext uri="{FF2B5EF4-FFF2-40B4-BE49-F238E27FC236}">
              <a16:creationId xmlns:a16="http://schemas.microsoft.com/office/drawing/2014/main" id="{C26C1C0C-B5C7-4DF9-805C-203A375D5A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16</xdr:col>
      <xdr:colOff>42334</xdr:colOff>
      <xdr:row>736</xdr:row>
      <xdr:rowOff>127000</xdr:rowOff>
    </xdr:from>
    <xdr:to>
      <xdr:col>19</xdr:col>
      <xdr:colOff>10583</xdr:colOff>
      <xdr:row>743</xdr:row>
      <xdr:rowOff>296636</xdr:rowOff>
    </xdr:to>
    <xdr:graphicFrame macro="">
      <xdr:nvGraphicFramePr>
        <xdr:cNvPr id="12" name="Diagrama 11">
          <a:extLst>
            <a:ext uri="{FF2B5EF4-FFF2-40B4-BE49-F238E27FC236}">
              <a16:creationId xmlns:a16="http://schemas.microsoft.com/office/drawing/2014/main" id="{D2CF1751-FEE9-4149-8E95-0B7CBA1E46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16</xdr:col>
      <xdr:colOff>42333</xdr:colOff>
      <xdr:row>935</xdr:row>
      <xdr:rowOff>10583</xdr:rowOff>
    </xdr:from>
    <xdr:to>
      <xdr:col>19</xdr:col>
      <xdr:colOff>0</xdr:colOff>
      <xdr:row>944</xdr:row>
      <xdr:rowOff>328385</xdr:rowOff>
    </xdr:to>
    <xdr:graphicFrame macro="">
      <xdr:nvGraphicFramePr>
        <xdr:cNvPr id="13" name="Diagrama 12">
          <a:extLst>
            <a:ext uri="{FF2B5EF4-FFF2-40B4-BE49-F238E27FC236}">
              <a16:creationId xmlns:a16="http://schemas.microsoft.com/office/drawing/2014/main" id="{731B916F-140C-4123-A355-9F26ED32EC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010"/>
  <sheetViews>
    <sheetView tabSelected="1" zoomScaleNormal="100" workbookViewId="0">
      <selection activeCell="A3" sqref="A3:O3"/>
    </sheetView>
  </sheetViews>
  <sheetFormatPr defaultColWidth="9.140625" defaultRowHeight="15" x14ac:dyDescent="0.25"/>
  <cols>
    <col min="1" max="1" width="12" style="4" customWidth="1"/>
    <col min="2" max="2" width="30.28515625" style="34" customWidth="1"/>
    <col min="3" max="3" width="9.5703125" style="4" customWidth="1"/>
    <col min="4" max="4" width="11.5703125" style="4" hidden="1" customWidth="1"/>
    <col min="5" max="5" width="9.7109375" style="4" customWidth="1"/>
    <col min="6" max="6" width="9.5703125" style="4" customWidth="1"/>
    <col min="7" max="7" width="0.140625" style="4" hidden="1" customWidth="1"/>
    <col min="8" max="8" width="8.7109375" style="4" customWidth="1"/>
    <col min="9" max="9" width="8.7109375" style="145" customWidth="1"/>
    <col min="10" max="10" width="31" style="4" customWidth="1"/>
    <col min="11" max="11" width="7.42578125" style="4" customWidth="1"/>
    <col min="12" max="12" width="9.42578125" style="46" customWidth="1"/>
    <col min="13" max="13" width="9.85546875" style="4" customWidth="1"/>
    <col min="14" max="14" width="59.42578125" style="4" customWidth="1"/>
    <col min="15" max="15" width="44.28515625" style="4" customWidth="1"/>
    <col min="16" max="16" width="12.5703125" style="4" customWidth="1"/>
    <col min="17" max="17" width="9.140625" style="4"/>
    <col min="18" max="18" width="53" style="4" customWidth="1"/>
    <col min="19" max="19" width="31.7109375" style="4" customWidth="1"/>
    <col min="20" max="16384" width="9.140625" style="4"/>
  </cols>
  <sheetData>
    <row r="1" spans="1:19" s="2" customFormat="1" ht="30" x14ac:dyDescent="0.25">
      <c r="A1" s="325"/>
      <c r="B1" s="325"/>
      <c r="C1" s="325"/>
      <c r="D1" s="325"/>
      <c r="E1" s="325"/>
      <c r="F1" s="325"/>
      <c r="G1" s="325"/>
      <c r="H1" s="325"/>
      <c r="I1" s="325"/>
      <c r="J1" s="325"/>
      <c r="K1" s="325"/>
      <c r="L1" s="325"/>
      <c r="M1" s="325"/>
      <c r="N1" s="325"/>
      <c r="O1" s="34" t="s">
        <v>2115</v>
      </c>
    </row>
    <row r="2" spans="1:19" s="3" customFormat="1" x14ac:dyDescent="0.25">
      <c r="A2" s="30"/>
      <c r="B2" s="30"/>
      <c r="C2" s="30"/>
      <c r="D2" s="30"/>
      <c r="E2" s="30"/>
      <c r="F2" s="30"/>
      <c r="G2" s="30"/>
      <c r="H2" s="30"/>
      <c r="I2" s="30"/>
      <c r="J2" s="30"/>
      <c r="K2" s="30"/>
      <c r="L2" s="30"/>
      <c r="M2" s="30"/>
      <c r="N2" s="30"/>
      <c r="O2" s="30"/>
    </row>
    <row r="3" spans="1:19" x14ac:dyDescent="0.25">
      <c r="A3" s="455" t="s">
        <v>2111</v>
      </c>
      <c r="B3" s="455"/>
      <c r="C3" s="455"/>
      <c r="D3" s="455"/>
      <c r="E3" s="455"/>
      <c r="F3" s="455"/>
      <c r="G3" s="455"/>
      <c r="H3" s="455"/>
      <c r="I3" s="455"/>
      <c r="J3" s="455"/>
      <c r="K3" s="455"/>
      <c r="L3" s="455"/>
      <c r="M3" s="455"/>
      <c r="N3" s="455"/>
      <c r="O3" s="455"/>
      <c r="P3" s="325"/>
      <c r="Q3" s="325"/>
      <c r="R3" s="325"/>
      <c r="S3" s="325"/>
    </row>
    <row r="5" spans="1:19" ht="15.75" thickBot="1" x14ac:dyDescent="0.3">
      <c r="J5" s="1"/>
      <c r="O5" s="326" t="s">
        <v>2110</v>
      </c>
    </row>
    <row r="6" spans="1:19" ht="45" customHeight="1" x14ac:dyDescent="0.25">
      <c r="A6" s="463" t="s">
        <v>0</v>
      </c>
      <c r="B6" s="466" t="s">
        <v>1</v>
      </c>
      <c r="C6" s="469" t="s">
        <v>2</v>
      </c>
      <c r="D6" s="474" t="s">
        <v>3</v>
      </c>
      <c r="E6" s="475"/>
      <c r="F6" s="466" t="s">
        <v>4</v>
      </c>
      <c r="G6" s="466" t="s">
        <v>5</v>
      </c>
      <c r="H6" s="476"/>
      <c r="I6" s="479" t="s">
        <v>1601</v>
      </c>
      <c r="J6" s="469" t="s">
        <v>6</v>
      </c>
      <c r="K6" s="477"/>
      <c r="L6" s="477"/>
      <c r="M6" s="477"/>
      <c r="N6" s="477"/>
      <c r="O6" s="478"/>
    </row>
    <row r="7" spans="1:19" x14ac:dyDescent="0.25">
      <c r="A7" s="464"/>
      <c r="B7" s="467"/>
      <c r="C7" s="470"/>
      <c r="D7" s="467" t="s">
        <v>7</v>
      </c>
      <c r="E7" s="467" t="s">
        <v>8</v>
      </c>
      <c r="F7" s="467"/>
      <c r="G7" s="467" t="s">
        <v>7</v>
      </c>
      <c r="H7" s="467" t="s">
        <v>8</v>
      </c>
      <c r="I7" s="480"/>
      <c r="J7" s="470" t="s">
        <v>9</v>
      </c>
      <c r="K7" s="470" t="s">
        <v>10</v>
      </c>
      <c r="L7" s="470">
        <v>2025</v>
      </c>
      <c r="M7" s="482"/>
      <c r="N7" s="470" t="s">
        <v>11</v>
      </c>
      <c r="O7" s="472" t="s">
        <v>12</v>
      </c>
    </row>
    <row r="8" spans="1:19" ht="15.75" thickBot="1" x14ac:dyDescent="0.3">
      <c r="A8" s="465"/>
      <c r="B8" s="468"/>
      <c r="C8" s="471"/>
      <c r="D8" s="468"/>
      <c r="E8" s="468"/>
      <c r="F8" s="468"/>
      <c r="G8" s="468"/>
      <c r="H8" s="468"/>
      <c r="I8" s="481"/>
      <c r="J8" s="471"/>
      <c r="K8" s="471"/>
      <c r="L8" s="47" t="s">
        <v>13</v>
      </c>
      <c r="M8" s="5" t="s">
        <v>14</v>
      </c>
      <c r="N8" s="471"/>
      <c r="O8" s="473"/>
    </row>
    <row r="9" spans="1:19" ht="16.5" thickBot="1" x14ac:dyDescent="0.3">
      <c r="A9" s="6" t="s">
        <v>15</v>
      </c>
      <c r="B9" s="35" t="s">
        <v>16</v>
      </c>
      <c r="C9" s="7"/>
      <c r="D9" s="8">
        <f>D10+D42+D67+D109+D136+D152+0.1</f>
        <v>30338.699999999997</v>
      </c>
      <c r="E9" s="8">
        <f>E10+E42+E67+E109+E136+E152+0.1</f>
        <v>30338.699999999997</v>
      </c>
      <c r="F9" s="8">
        <f>F10+F42+F67+F109+F136+F152</f>
        <v>26608.7</v>
      </c>
      <c r="G9" s="8">
        <f>G10+G42+G67+G109+G136+G152-0.1</f>
        <v>3730</v>
      </c>
      <c r="H9" s="8">
        <f>H10+H42+H67+H109+H136+H152-0.1</f>
        <v>3730</v>
      </c>
      <c r="I9" s="146">
        <f>SUM(F9/E9)</f>
        <v>0.87705471889039421</v>
      </c>
      <c r="J9" s="452"/>
      <c r="K9" s="453"/>
      <c r="L9" s="453"/>
      <c r="M9" s="453"/>
      <c r="N9" s="453"/>
      <c r="O9" s="454"/>
      <c r="Q9" s="312"/>
      <c r="R9" s="313" t="s">
        <v>1</v>
      </c>
      <c r="S9" s="314" t="s">
        <v>2095</v>
      </c>
    </row>
    <row r="10" spans="1:19" ht="39" thickBot="1" x14ac:dyDescent="0.3">
      <c r="A10" s="9" t="s">
        <v>17</v>
      </c>
      <c r="B10" s="36" t="s">
        <v>18</v>
      </c>
      <c r="C10" s="10"/>
      <c r="D10" s="11">
        <f>D11+D18+D27+D30+D37+D38</f>
        <v>2257.3000000000002</v>
      </c>
      <c r="E10" s="11">
        <f>E11+E18+E27+E30+E37+E38</f>
        <v>2257.3000000000002</v>
      </c>
      <c r="F10" s="11">
        <f>F11+F18+F27+F30+F37+F38-0.1</f>
        <v>969.8</v>
      </c>
      <c r="G10" s="11">
        <f>G11+G18+G27+G30+G37+G38+0.1</f>
        <v>1287.5</v>
      </c>
      <c r="H10" s="11">
        <f>H11+H18+H27+H30+H37+H38+0.1</f>
        <v>1287.5</v>
      </c>
      <c r="I10" s="147">
        <f t="shared" ref="I10:I14" si="0">SUM(F10/E10)</f>
        <v>0.42962831701590393</v>
      </c>
      <c r="J10" s="45" t="s">
        <v>19</v>
      </c>
      <c r="K10" s="12" t="s">
        <v>1602</v>
      </c>
      <c r="L10" s="51">
        <v>1095.3</v>
      </c>
      <c r="M10" s="51">
        <v>1117.4000000000001</v>
      </c>
      <c r="N10" s="450"/>
      <c r="O10" s="451"/>
      <c r="Q10" s="315"/>
      <c r="R10" s="316" t="s">
        <v>2096</v>
      </c>
      <c r="S10" s="317">
        <v>33</v>
      </c>
    </row>
    <row r="11" spans="1:19" ht="142.5" customHeight="1" x14ac:dyDescent="0.25">
      <c r="A11" s="385" t="s">
        <v>20</v>
      </c>
      <c r="B11" s="336" t="s">
        <v>21</v>
      </c>
      <c r="C11" s="14"/>
      <c r="D11" s="15">
        <f>SUM(D12:D17)</f>
        <v>172.2</v>
      </c>
      <c r="E11" s="15">
        <f>SUM(E12:E17)</f>
        <v>172.2</v>
      </c>
      <c r="F11" s="15">
        <f>SUM(F12:F17)</f>
        <v>88</v>
      </c>
      <c r="G11" s="15">
        <f>SUM(G12:G17)</f>
        <v>84.2</v>
      </c>
      <c r="H11" s="15">
        <f>SUM(H12:H17)</f>
        <v>84.2</v>
      </c>
      <c r="I11" s="148">
        <f t="shared" si="0"/>
        <v>0.5110336817653891</v>
      </c>
      <c r="J11" s="41" t="s">
        <v>22</v>
      </c>
      <c r="K11" s="16" t="s">
        <v>23</v>
      </c>
      <c r="L11" s="17">
        <v>30</v>
      </c>
      <c r="M11" s="215">
        <v>30</v>
      </c>
      <c r="N11" s="41" t="s">
        <v>1683</v>
      </c>
      <c r="O11" s="42" t="s">
        <v>1603</v>
      </c>
      <c r="P11" s="284"/>
      <c r="Q11" s="318"/>
      <c r="R11" s="316" t="s">
        <v>2097</v>
      </c>
      <c r="S11" s="317">
        <v>1</v>
      </c>
    </row>
    <row r="12" spans="1:19" ht="34.5" customHeight="1" x14ac:dyDescent="0.25">
      <c r="A12" s="386"/>
      <c r="B12" s="337"/>
      <c r="C12" s="20" t="s">
        <v>24</v>
      </c>
      <c r="D12" s="21">
        <v>30</v>
      </c>
      <c r="E12" s="21">
        <v>30</v>
      </c>
      <c r="F12" s="21">
        <v>6.3</v>
      </c>
      <c r="G12" s="21">
        <v>23.7</v>
      </c>
      <c r="H12" s="67">
        <v>23.7</v>
      </c>
      <c r="I12" s="149">
        <f t="shared" si="0"/>
        <v>0.21</v>
      </c>
      <c r="J12" s="68" t="s">
        <v>25</v>
      </c>
      <c r="K12" s="22" t="s">
        <v>23</v>
      </c>
      <c r="L12" s="23">
        <v>99</v>
      </c>
      <c r="M12" s="134">
        <v>100</v>
      </c>
      <c r="N12" s="43" t="s">
        <v>26</v>
      </c>
      <c r="O12" s="44"/>
      <c r="Q12" s="319"/>
      <c r="R12" s="316" t="s">
        <v>2098</v>
      </c>
      <c r="S12" s="320">
        <v>11</v>
      </c>
    </row>
    <row r="13" spans="1:19" ht="28.5" customHeight="1" x14ac:dyDescent="0.25">
      <c r="A13" s="386"/>
      <c r="B13" s="337"/>
      <c r="C13" s="20" t="s">
        <v>27</v>
      </c>
      <c r="D13" s="21">
        <v>9</v>
      </c>
      <c r="E13" s="21">
        <v>9</v>
      </c>
      <c r="F13" s="21">
        <v>2.5</v>
      </c>
      <c r="G13" s="21">
        <v>6.5</v>
      </c>
      <c r="H13" s="21">
        <v>6.5</v>
      </c>
      <c r="I13" s="79">
        <f t="shared" si="0"/>
        <v>0.27777777777777779</v>
      </c>
      <c r="J13" s="43" t="s">
        <v>28</v>
      </c>
      <c r="K13" s="22" t="s">
        <v>23</v>
      </c>
      <c r="L13" s="23">
        <v>20</v>
      </c>
      <c r="M13" s="134">
        <v>46.8</v>
      </c>
      <c r="N13" s="43" t="s">
        <v>1679</v>
      </c>
      <c r="O13" s="44"/>
      <c r="Q13" s="321"/>
      <c r="R13" s="316" t="s">
        <v>2099</v>
      </c>
      <c r="S13" s="320">
        <v>6</v>
      </c>
    </row>
    <row r="14" spans="1:19" ht="207.75" customHeight="1" x14ac:dyDescent="0.25">
      <c r="A14" s="386"/>
      <c r="B14" s="337"/>
      <c r="C14" s="20" t="s">
        <v>29</v>
      </c>
      <c r="D14" s="21">
        <v>133.19999999999999</v>
      </c>
      <c r="E14" s="21">
        <v>133.19999999999999</v>
      </c>
      <c r="F14" s="21">
        <v>79.2</v>
      </c>
      <c r="G14" s="21">
        <v>54</v>
      </c>
      <c r="H14" s="21">
        <v>54</v>
      </c>
      <c r="I14" s="79">
        <f t="shared" si="0"/>
        <v>0.59459459459459463</v>
      </c>
      <c r="J14" s="43" t="s">
        <v>30</v>
      </c>
      <c r="K14" s="22" t="s">
        <v>23</v>
      </c>
      <c r="L14" s="23">
        <v>5</v>
      </c>
      <c r="M14" s="134">
        <v>6.8</v>
      </c>
      <c r="N14" s="267" t="s">
        <v>2006</v>
      </c>
      <c r="O14" s="266"/>
      <c r="Q14" s="324"/>
      <c r="R14" s="316" t="s">
        <v>2100</v>
      </c>
      <c r="S14" s="320">
        <v>1</v>
      </c>
    </row>
    <row r="15" spans="1:19" ht="38.25" x14ac:dyDescent="0.25">
      <c r="A15" s="386"/>
      <c r="B15" s="337"/>
      <c r="C15" s="20"/>
      <c r="D15" s="21"/>
      <c r="E15" s="21"/>
      <c r="F15" s="21"/>
      <c r="G15" s="21"/>
      <c r="H15" s="21"/>
      <c r="I15" s="150"/>
      <c r="J15" s="43" t="s">
        <v>31</v>
      </c>
      <c r="K15" s="22" t="s">
        <v>23</v>
      </c>
      <c r="L15" s="23">
        <v>50</v>
      </c>
      <c r="M15" s="141">
        <v>68.400000000000006</v>
      </c>
      <c r="N15" s="43" t="s">
        <v>32</v>
      </c>
      <c r="O15" s="44"/>
      <c r="Q15" s="312"/>
      <c r="R15" s="323" t="s">
        <v>2101</v>
      </c>
      <c r="S15" s="320">
        <f>+SUM(S10:S14)</f>
        <v>52</v>
      </c>
    </row>
    <row r="16" spans="1:19" ht="117" customHeight="1" x14ac:dyDescent="0.25">
      <c r="A16" s="386"/>
      <c r="B16" s="337"/>
      <c r="C16" s="20"/>
      <c r="D16" s="21"/>
      <c r="E16" s="21"/>
      <c r="F16" s="21"/>
      <c r="G16" s="21"/>
      <c r="H16" s="21"/>
      <c r="I16" s="150"/>
      <c r="J16" s="43" t="s">
        <v>33</v>
      </c>
      <c r="K16" s="22" t="s">
        <v>23</v>
      </c>
      <c r="L16" s="23">
        <v>30</v>
      </c>
      <c r="M16" s="265">
        <v>30</v>
      </c>
      <c r="N16" s="43" t="s">
        <v>1684</v>
      </c>
      <c r="O16" s="44"/>
    </row>
    <row r="17" spans="1:16" ht="54.75" customHeight="1" thickBot="1" x14ac:dyDescent="0.3">
      <c r="A17" s="387"/>
      <c r="B17" s="338"/>
      <c r="C17" s="20"/>
      <c r="D17" s="21"/>
      <c r="E17" s="21"/>
      <c r="F17" s="21"/>
      <c r="G17" s="21"/>
      <c r="H17" s="21"/>
      <c r="I17" s="150"/>
      <c r="J17" s="43" t="s">
        <v>34</v>
      </c>
      <c r="K17" s="22" t="s">
        <v>35</v>
      </c>
      <c r="L17" s="23">
        <v>1</v>
      </c>
      <c r="M17" s="135">
        <v>1</v>
      </c>
      <c r="N17" s="43" t="s">
        <v>1680</v>
      </c>
      <c r="O17" s="44"/>
    </row>
    <row r="18" spans="1:16" ht="95.25" customHeight="1" x14ac:dyDescent="0.25">
      <c r="A18" s="385" t="s">
        <v>36</v>
      </c>
      <c r="B18" s="336" t="s">
        <v>37</v>
      </c>
      <c r="C18" s="14"/>
      <c r="D18" s="15">
        <f>D19+D20+D24</f>
        <v>307.89999999999998</v>
      </c>
      <c r="E18" s="15">
        <f>E19+E20+E24</f>
        <v>307.89999999999998</v>
      </c>
      <c r="F18" s="15">
        <f>F19+F20+F24</f>
        <v>146.1</v>
      </c>
      <c r="G18" s="15">
        <f>G19+G20+G24</f>
        <v>161.80000000000001</v>
      </c>
      <c r="H18" s="15">
        <f>H19+H20+H24</f>
        <v>161.80000000000001</v>
      </c>
      <c r="I18" s="148">
        <f t="shared" ref="I18" si="1">SUM(F18/E18)</f>
        <v>0.4745047093212082</v>
      </c>
      <c r="J18" s="41" t="s">
        <v>38</v>
      </c>
      <c r="K18" s="16" t="s">
        <v>35</v>
      </c>
      <c r="L18" s="17">
        <v>1</v>
      </c>
      <c r="M18" s="136">
        <v>1</v>
      </c>
      <c r="N18" s="124" t="s">
        <v>2074</v>
      </c>
      <c r="O18" s="208"/>
      <c r="P18" s="181"/>
    </row>
    <row r="19" spans="1:16" ht="39" thickBot="1" x14ac:dyDescent="0.3">
      <c r="A19" s="387"/>
      <c r="B19" s="338"/>
      <c r="C19" s="20"/>
      <c r="D19" s="21"/>
      <c r="E19" s="21"/>
      <c r="F19" s="21"/>
      <c r="G19" s="21"/>
      <c r="H19" s="21"/>
      <c r="I19" s="150"/>
      <c r="J19" s="43" t="s">
        <v>39</v>
      </c>
      <c r="K19" s="22" t="s">
        <v>35</v>
      </c>
      <c r="L19" s="23">
        <v>2</v>
      </c>
      <c r="M19" s="140">
        <v>1</v>
      </c>
      <c r="N19" s="43" t="s">
        <v>1694</v>
      </c>
      <c r="O19" s="44" t="s">
        <v>1693</v>
      </c>
    </row>
    <row r="20" spans="1:16" ht="18" customHeight="1" x14ac:dyDescent="0.25">
      <c r="A20" s="385" t="s">
        <v>40</v>
      </c>
      <c r="B20" s="336" t="s">
        <v>41</v>
      </c>
      <c r="C20" s="14"/>
      <c r="D20" s="15">
        <f>SUM(D21:D23)</f>
        <v>169.7</v>
      </c>
      <c r="E20" s="15">
        <f>SUM(E21:E23)</f>
        <v>169.7</v>
      </c>
      <c r="F20" s="15">
        <f>SUM(F21:F23)</f>
        <v>82.7</v>
      </c>
      <c r="G20" s="15">
        <f>SUM(G21:G23)</f>
        <v>87</v>
      </c>
      <c r="H20" s="15">
        <f>SUM(H21:H23)</f>
        <v>87</v>
      </c>
      <c r="I20" s="151">
        <f t="shared" ref="I20" si="2">SUM(F20/E20)</f>
        <v>0.48733058338243967</v>
      </c>
      <c r="J20" s="336" t="s">
        <v>42</v>
      </c>
      <c r="K20" s="339" t="s">
        <v>35</v>
      </c>
      <c r="L20" s="342">
        <v>1</v>
      </c>
      <c r="M20" s="345">
        <v>1</v>
      </c>
      <c r="N20" s="374" t="s">
        <v>2009</v>
      </c>
      <c r="O20" s="351"/>
    </row>
    <row r="21" spans="1:16" x14ac:dyDescent="0.25">
      <c r="A21" s="386"/>
      <c r="B21" s="337"/>
      <c r="C21" s="20" t="s">
        <v>29</v>
      </c>
      <c r="D21" s="21">
        <v>87</v>
      </c>
      <c r="E21" s="21">
        <v>87</v>
      </c>
      <c r="F21" s="21"/>
      <c r="G21" s="21">
        <v>87</v>
      </c>
      <c r="H21" s="21">
        <v>87</v>
      </c>
      <c r="I21" s="79">
        <f t="shared" ref="I21:I23" si="3">SUM(F21/E21)</f>
        <v>0</v>
      </c>
      <c r="J21" s="337"/>
      <c r="K21" s="340"/>
      <c r="L21" s="343"/>
      <c r="M21" s="346"/>
      <c r="N21" s="375"/>
      <c r="O21" s="352"/>
    </row>
    <row r="22" spans="1:16" x14ac:dyDescent="0.25">
      <c r="A22" s="386"/>
      <c r="B22" s="337"/>
      <c r="C22" s="20" t="s">
        <v>43</v>
      </c>
      <c r="D22" s="21">
        <v>21.8</v>
      </c>
      <c r="E22" s="21">
        <v>21.8</v>
      </c>
      <c r="F22" s="21">
        <v>21.8</v>
      </c>
      <c r="G22" s="21"/>
      <c r="H22" s="21"/>
      <c r="I22" s="79">
        <f t="shared" si="3"/>
        <v>1</v>
      </c>
      <c r="J22" s="337"/>
      <c r="K22" s="340"/>
      <c r="L22" s="343"/>
      <c r="M22" s="346"/>
      <c r="N22" s="375"/>
      <c r="O22" s="352"/>
    </row>
    <row r="23" spans="1:16" ht="15.75" customHeight="1" thickBot="1" x14ac:dyDescent="0.3">
      <c r="A23" s="387"/>
      <c r="B23" s="338"/>
      <c r="C23" s="20" t="s">
        <v>24</v>
      </c>
      <c r="D23" s="21">
        <v>60.9</v>
      </c>
      <c r="E23" s="21">
        <v>60.9</v>
      </c>
      <c r="F23" s="21">
        <v>60.9</v>
      </c>
      <c r="G23" s="21"/>
      <c r="H23" s="21"/>
      <c r="I23" s="79">
        <f t="shared" si="3"/>
        <v>1</v>
      </c>
      <c r="J23" s="338"/>
      <c r="K23" s="341"/>
      <c r="L23" s="344"/>
      <c r="M23" s="347"/>
      <c r="N23" s="376"/>
      <c r="O23" s="353"/>
    </row>
    <row r="24" spans="1:16" ht="25.5" x14ac:dyDescent="0.25">
      <c r="A24" s="385" t="s">
        <v>44</v>
      </c>
      <c r="B24" s="336" t="s">
        <v>45</v>
      </c>
      <c r="C24" s="14" t="s">
        <v>43</v>
      </c>
      <c r="D24" s="15">
        <f>SUM(D25:D26)+138.2</f>
        <v>138.19999999999999</v>
      </c>
      <c r="E24" s="15">
        <f>SUM(E25:E26)+138.2</f>
        <v>138.19999999999999</v>
      </c>
      <c r="F24" s="15">
        <f>SUM(F25:F26)+63.4</f>
        <v>63.4</v>
      </c>
      <c r="G24" s="15">
        <f>SUM(G25:G26)+74.8</f>
        <v>74.8</v>
      </c>
      <c r="H24" s="15">
        <f>SUM(H25:H26)+74.8</f>
        <v>74.8</v>
      </c>
      <c r="I24" s="148">
        <f t="shared" ref="I24" si="4">SUM(F24/E24)</f>
        <v>0.45875542691751087</v>
      </c>
      <c r="J24" s="41" t="s">
        <v>46</v>
      </c>
      <c r="K24" s="16" t="s">
        <v>35</v>
      </c>
      <c r="L24" s="17">
        <v>1</v>
      </c>
      <c r="M24" s="136">
        <v>1</v>
      </c>
      <c r="N24" s="41" t="s">
        <v>1695</v>
      </c>
      <c r="O24" s="333"/>
    </row>
    <row r="25" spans="1:16" ht="25.5" x14ac:dyDescent="0.25">
      <c r="A25" s="386"/>
      <c r="B25" s="337"/>
      <c r="C25" s="20"/>
      <c r="D25" s="21"/>
      <c r="E25" s="21"/>
      <c r="F25" s="21"/>
      <c r="G25" s="21"/>
      <c r="H25" s="21"/>
      <c r="I25" s="150"/>
      <c r="J25" s="43" t="s">
        <v>47</v>
      </c>
      <c r="K25" s="22" t="s">
        <v>35</v>
      </c>
      <c r="L25" s="23">
        <v>1</v>
      </c>
      <c r="M25" s="135">
        <v>1</v>
      </c>
      <c r="N25" s="43"/>
      <c r="O25" s="334"/>
    </row>
    <row r="26" spans="1:16" ht="41.25" customHeight="1" thickBot="1" x14ac:dyDescent="0.3">
      <c r="A26" s="387"/>
      <c r="B26" s="338"/>
      <c r="C26" s="20"/>
      <c r="D26" s="21"/>
      <c r="E26" s="21"/>
      <c r="F26" s="21"/>
      <c r="G26" s="21"/>
      <c r="H26" s="21"/>
      <c r="I26" s="150"/>
      <c r="J26" s="20" t="s">
        <v>48</v>
      </c>
      <c r="K26" s="22" t="s">
        <v>35</v>
      </c>
      <c r="L26" s="23">
        <v>1</v>
      </c>
      <c r="M26" s="135">
        <v>1</v>
      </c>
      <c r="N26" s="43" t="s">
        <v>1687</v>
      </c>
      <c r="O26" s="335"/>
    </row>
    <row r="27" spans="1:16" ht="153.75" customHeight="1" x14ac:dyDescent="0.25">
      <c r="A27" s="459" t="s">
        <v>49</v>
      </c>
      <c r="B27" s="336" t="s">
        <v>50</v>
      </c>
      <c r="C27" s="14"/>
      <c r="D27" s="15">
        <f>SUM(D28:D29)</f>
        <v>1164.8</v>
      </c>
      <c r="E27" s="15">
        <f>SUM(E28:E29)</f>
        <v>1164.8</v>
      </c>
      <c r="F27" s="15">
        <f>SUM(F28:F29)</f>
        <v>723.4</v>
      </c>
      <c r="G27" s="15">
        <f>SUM(G28:G29)</f>
        <v>441.4</v>
      </c>
      <c r="H27" s="15">
        <f>SUM(H28:H29)</f>
        <v>441.4</v>
      </c>
      <c r="I27" s="148">
        <f t="shared" ref="I27:I29" si="5">SUM(F27/E27)</f>
        <v>0.62105082417582413</v>
      </c>
      <c r="J27" s="41" t="s">
        <v>51</v>
      </c>
      <c r="K27" s="16" t="s">
        <v>23</v>
      </c>
      <c r="L27" s="17">
        <v>55</v>
      </c>
      <c r="M27" s="136">
        <v>55</v>
      </c>
      <c r="N27" s="41" t="s">
        <v>2083</v>
      </c>
      <c r="O27" s="42" t="s">
        <v>1688</v>
      </c>
      <c r="P27" s="181"/>
    </row>
    <row r="28" spans="1:16" ht="24" customHeight="1" x14ac:dyDescent="0.25">
      <c r="A28" s="460"/>
      <c r="B28" s="337"/>
      <c r="C28" s="20" t="s">
        <v>24</v>
      </c>
      <c r="D28" s="21">
        <v>1044.8</v>
      </c>
      <c r="E28" s="21">
        <v>1044.8</v>
      </c>
      <c r="F28" s="21">
        <v>669.3</v>
      </c>
      <c r="G28" s="21">
        <v>375.5</v>
      </c>
      <c r="H28" s="67">
        <v>375.5</v>
      </c>
      <c r="I28" s="149">
        <f t="shared" si="5"/>
        <v>0.64060107197549765</v>
      </c>
      <c r="J28" s="360" t="s">
        <v>52</v>
      </c>
      <c r="K28" s="362" t="s">
        <v>23</v>
      </c>
      <c r="L28" s="363">
        <v>30</v>
      </c>
      <c r="M28" s="418">
        <v>30</v>
      </c>
      <c r="N28" s="365"/>
      <c r="O28" s="380" t="s">
        <v>1689</v>
      </c>
    </row>
    <row r="29" spans="1:16" ht="18.75" customHeight="1" thickBot="1" x14ac:dyDescent="0.3">
      <c r="A29" s="461"/>
      <c r="B29" s="338"/>
      <c r="C29" s="20" t="s">
        <v>43</v>
      </c>
      <c r="D29" s="21">
        <v>120</v>
      </c>
      <c r="E29" s="21">
        <v>120</v>
      </c>
      <c r="F29" s="21">
        <v>54.1</v>
      </c>
      <c r="G29" s="21">
        <v>65.900000000000006</v>
      </c>
      <c r="H29" s="21">
        <v>65.900000000000006</v>
      </c>
      <c r="I29" s="152">
        <f t="shared" si="5"/>
        <v>0.45083333333333336</v>
      </c>
      <c r="J29" s="361"/>
      <c r="K29" s="341"/>
      <c r="L29" s="344"/>
      <c r="M29" s="347"/>
      <c r="N29" s="338"/>
      <c r="O29" s="353"/>
    </row>
    <row r="30" spans="1:16" ht="27.75" customHeight="1" x14ac:dyDescent="0.25">
      <c r="A30" s="385" t="s">
        <v>53</v>
      </c>
      <c r="B30" s="336" t="s">
        <v>54</v>
      </c>
      <c r="C30" s="14" t="s">
        <v>43</v>
      </c>
      <c r="D30" s="15">
        <f>SUM(D31:D36)+12.4</f>
        <v>12.4</v>
      </c>
      <c r="E30" s="15">
        <f>SUM(E31:E36)+12.4</f>
        <v>12.4</v>
      </c>
      <c r="F30" s="15">
        <f>SUM(F31:F36)+12.4</f>
        <v>12.4</v>
      </c>
      <c r="G30" s="15"/>
      <c r="H30" s="15"/>
      <c r="I30" s="148">
        <f t="shared" ref="I30" si="6">SUM(F30/E30)</f>
        <v>1</v>
      </c>
      <c r="J30" s="41" t="s">
        <v>55</v>
      </c>
      <c r="K30" s="16" t="s">
        <v>35</v>
      </c>
      <c r="L30" s="17">
        <v>1</v>
      </c>
      <c r="M30" s="136">
        <v>1</v>
      </c>
      <c r="N30" s="41" t="s">
        <v>1690</v>
      </c>
      <c r="O30" s="42"/>
      <c r="P30" s="175"/>
    </row>
    <row r="31" spans="1:16" ht="76.5" customHeight="1" x14ac:dyDescent="0.25">
      <c r="A31" s="386"/>
      <c r="B31" s="337"/>
      <c r="C31" s="20"/>
      <c r="D31" s="21"/>
      <c r="E31" s="21"/>
      <c r="F31" s="21"/>
      <c r="G31" s="21"/>
      <c r="H31" s="21"/>
      <c r="I31" s="150"/>
      <c r="J31" s="43" t="s">
        <v>56</v>
      </c>
      <c r="K31" s="22" t="s">
        <v>23</v>
      </c>
      <c r="L31" s="23">
        <v>100</v>
      </c>
      <c r="M31" s="135">
        <v>100</v>
      </c>
      <c r="N31" s="43" t="s">
        <v>1691</v>
      </c>
      <c r="O31" s="44"/>
    </row>
    <row r="32" spans="1:16" ht="117" customHeight="1" x14ac:dyDescent="0.25">
      <c r="A32" s="386"/>
      <c r="B32" s="337"/>
      <c r="C32" s="20"/>
      <c r="D32" s="21"/>
      <c r="E32" s="21"/>
      <c r="F32" s="21"/>
      <c r="G32" s="21"/>
      <c r="H32" s="21"/>
      <c r="I32" s="150"/>
      <c r="J32" s="43" t="s">
        <v>57</v>
      </c>
      <c r="K32" s="22" t="s">
        <v>35</v>
      </c>
      <c r="L32" s="23">
        <v>2</v>
      </c>
      <c r="M32" s="144">
        <v>12</v>
      </c>
      <c r="N32" s="43" t="s">
        <v>1692</v>
      </c>
      <c r="O32" s="44"/>
    </row>
    <row r="33" spans="1:16" ht="129.75" customHeight="1" x14ac:dyDescent="0.25">
      <c r="A33" s="386"/>
      <c r="B33" s="337"/>
      <c r="C33" s="20"/>
      <c r="D33" s="21"/>
      <c r="E33" s="21"/>
      <c r="F33" s="21"/>
      <c r="G33" s="21"/>
      <c r="H33" s="21"/>
      <c r="I33" s="150"/>
      <c r="J33" s="43" t="s">
        <v>58</v>
      </c>
      <c r="K33" s="22" t="s">
        <v>35</v>
      </c>
      <c r="L33" s="23">
        <v>4</v>
      </c>
      <c r="M33" s="135">
        <v>4</v>
      </c>
      <c r="N33" s="43" t="s">
        <v>1696</v>
      </c>
      <c r="O33" s="44"/>
    </row>
    <row r="34" spans="1:16" ht="51" x14ac:dyDescent="0.25">
      <c r="A34" s="386"/>
      <c r="B34" s="337"/>
      <c r="C34" s="20"/>
      <c r="D34" s="21"/>
      <c r="E34" s="21"/>
      <c r="F34" s="21"/>
      <c r="G34" s="21"/>
      <c r="H34" s="21"/>
      <c r="I34" s="150"/>
      <c r="J34" s="43" t="s">
        <v>59</v>
      </c>
      <c r="K34" s="22" t="s">
        <v>35</v>
      </c>
      <c r="L34" s="23">
        <v>1</v>
      </c>
      <c r="M34" s="138">
        <v>0</v>
      </c>
      <c r="N34" s="43"/>
      <c r="O34" s="285" t="s">
        <v>2075</v>
      </c>
    </row>
    <row r="35" spans="1:16" ht="51" x14ac:dyDescent="0.25">
      <c r="A35" s="386"/>
      <c r="B35" s="337"/>
      <c r="C35" s="20"/>
      <c r="D35" s="21"/>
      <c r="E35" s="21"/>
      <c r="F35" s="21"/>
      <c r="G35" s="21"/>
      <c r="H35" s="21"/>
      <c r="I35" s="150"/>
      <c r="J35" s="43" t="s">
        <v>60</v>
      </c>
      <c r="K35" s="22" t="s">
        <v>35</v>
      </c>
      <c r="L35" s="23">
        <v>1</v>
      </c>
      <c r="M35" s="138">
        <v>0</v>
      </c>
      <c r="N35" s="43"/>
      <c r="O35" s="44" t="s">
        <v>1604</v>
      </c>
    </row>
    <row r="36" spans="1:16" ht="51.75" thickBot="1" x14ac:dyDescent="0.3">
      <c r="A36" s="387"/>
      <c r="B36" s="338"/>
      <c r="C36" s="20"/>
      <c r="D36" s="21"/>
      <c r="E36" s="21"/>
      <c r="F36" s="21"/>
      <c r="G36" s="21"/>
      <c r="H36" s="21"/>
      <c r="I36" s="150"/>
      <c r="J36" s="43" t="s">
        <v>61</v>
      </c>
      <c r="K36" s="22" t="s">
        <v>35</v>
      </c>
      <c r="L36" s="23">
        <v>1</v>
      </c>
      <c r="M36" s="138">
        <v>0</v>
      </c>
      <c r="N36" s="43"/>
      <c r="O36" s="44" t="s">
        <v>1606</v>
      </c>
    </row>
    <row r="37" spans="1:16" ht="66.75" customHeight="1" thickBot="1" x14ac:dyDescent="0.3">
      <c r="A37" s="13" t="s">
        <v>62</v>
      </c>
      <c r="B37" s="37" t="s">
        <v>63</v>
      </c>
      <c r="C37" s="14"/>
      <c r="D37" s="24"/>
      <c r="E37" s="24"/>
      <c r="F37" s="24"/>
      <c r="G37" s="24"/>
      <c r="H37" s="24"/>
      <c r="I37" s="153"/>
      <c r="J37" s="41" t="s">
        <v>64</v>
      </c>
      <c r="K37" s="16" t="s">
        <v>35</v>
      </c>
      <c r="L37" s="17">
        <v>6</v>
      </c>
      <c r="M37" s="143">
        <v>5</v>
      </c>
      <c r="N37" s="41" t="s">
        <v>1697</v>
      </c>
      <c r="O37" s="42" t="s">
        <v>1698</v>
      </c>
      <c r="P37" s="175"/>
    </row>
    <row r="38" spans="1:16" ht="24.75" customHeight="1" x14ac:dyDescent="0.25">
      <c r="A38" s="385" t="s">
        <v>65</v>
      </c>
      <c r="B38" s="336" t="s">
        <v>66</v>
      </c>
      <c r="C38" s="14"/>
      <c r="D38" s="15">
        <f>SUM(D39:D41)</f>
        <v>600</v>
      </c>
      <c r="E38" s="15">
        <f>SUM(E39:E41)</f>
        <v>600</v>
      </c>
      <c r="F38" s="15"/>
      <c r="G38" s="15">
        <f>SUM(G39:G41)</f>
        <v>600</v>
      </c>
      <c r="H38" s="15">
        <f>SUM(H39:H41)</f>
        <v>600</v>
      </c>
      <c r="I38" s="148">
        <f t="shared" ref="I38" si="7">SUM(F38/E38)</f>
        <v>0</v>
      </c>
      <c r="J38" s="41" t="s">
        <v>67</v>
      </c>
      <c r="K38" s="16" t="s">
        <v>35</v>
      </c>
      <c r="L38" s="17">
        <v>1</v>
      </c>
      <c r="M38" s="137">
        <v>0</v>
      </c>
      <c r="N38" s="330"/>
      <c r="O38" s="333"/>
      <c r="P38" s="175"/>
    </row>
    <row r="39" spans="1:16" ht="15.75" thickBot="1" x14ac:dyDescent="0.3">
      <c r="A39" s="387"/>
      <c r="B39" s="338"/>
      <c r="C39" s="20"/>
      <c r="D39" s="21"/>
      <c r="E39" s="21"/>
      <c r="F39" s="21"/>
      <c r="G39" s="21"/>
      <c r="H39" s="21"/>
      <c r="I39" s="150"/>
      <c r="J39" s="43" t="s">
        <v>68</v>
      </c>
      <c r="K39" s="22" t="s">
        <v>35</v>
      </c>
      <c r="L39" s="23">
        <v>11</v>
      </c>
      <c r="M39" s="138">
        <v>0</v>
      </c>
      <c r="N39" s="332"/>
      <c r="O39" s="335"/>
    </row>
    <row r="40" spans="1:16" ht="76.5" customHeight="1" thickBot="1" x14ac:dyDescent="0.3">
      <c r="A40" s="13" t="s">
        <v>69</v>
      </c>
      <c r="B40" s="37" t="s">
        <v>70</v>
      </c>
      <c r="C40" s="14" t="s">
        <v>27</v>
      </c>
      <c r="D40" s="24">
        <v>200</v>
      </c>
      <c r="E40" s="24">
        <v>200</v>
      </c>
      <c r="F40" s="24"/>
      <c r="G40" s="24">
        <v>200</v>
      </c>
      <c r="H40" s="24">
        <v>200</v>
      </c>
      <c r="I40" s="148">
        <f t="shared" ref="I40:I62" si="8">SUM(F40/E40)</f>
        <v>0</v>
      </c>
      <c r="J40" s="41" t="s">
        <v>67</v>
      </c>
      <c r="K40" s="16" t="s">
        <v>35</v>
      </c>
      <c r="L40" s="17">
        <v>1</v>
      </c>
      <c r="M40" s="136">
        <v>1</v>
      </c>
      <c r="N40" s="41" t="s">
        <v>71</v>
      </c>
      <c r="O40" s="42" t="s">
        <v>1607</v>
      </c>
    </row>
    <row r="41" spans="1:16" ht="52.5" customHeight="1" thickBot="1" x14ac:dyDescent="0.3">
      <c r="A41" s="13" t="s">
        <v>72</v>
      </c>
      <c r="B41" s="37" t="s">
        <v>73</v>
      </c>
      <c r="C41" s="14" t="s">
        <v>27</v>
      </c>
      <c r="D41" s="24">
        <v>400</v>
      </c>
      <c r="E41" s="24">
        <v>400</v>
      </c>
      <c r="F41" s="24"/>
      <c r="G41" s="24">
        <v>400</v>
      </c>
      <c r="H41" s="24">
        <v>400</v>
      </c>
      <c r="I41" s="148">
        <f t="shared" si="8"/>
        <v>0</v>
      </c>
      <c r="J41" s="41" t="s">
        <v>68</v>
      </c>
      <c r="K41" s="16" t="s">
        <v>35</v>
      </c>
      <c r="L41" s="17">
        <v>11</v>
      </c>
      <c r="M41" s="137">
        <v>0</v>
      </c>
      <c r="N41" s="41" t="s">
        <v>1681</v>
      </c>
      <c r="O41" s="42" t="s">
        <v>1682</v>
      </c>
    </row>
    <row r="42" spans="1:16" ht="39" thickBot="1" x14ac:dyDescent="0.3">
      <c r="A42" s="9" t="s">
        <v>74</v>
      </c>
      <c r="B42" s="36" t="s">
        <v>75</v>
      </c>
      <c r="C42" s="10"/>
      <c r="D42" s="11">
        <f>D43+D48+D51+D52+D59+D62</f>
        <v>489.1</v>
      </c>
      <c r="E42" s="11">
        <f>E43+E48+E51+E52+E59+E62</f>
        <v>489.1</v>
      </c>
      <c r="F42" s="11">
        <f>F43+F48+F51+F52+F59+F62-0.1</f>
        <v>285.39999999999998</v>
      </c>
      <c r="G42" s="11">
        <f>G43+G48+G51+G52+G59+G62+0.1</f>
        <v>203.7</v>
      </c>
      <c r="H42" s="11">
        <f>H43+H48+H51+H52+H59+H62+0.1</f>
        <v>203.7</v>
      </c>
      <c r="I42" s="147">
        <f t="shared" si="8"/>
        <v>0.58352075240237167</v>
      </c>
      <c r="J42" s="424"/>
      <c r="K42" s="462"/>
      <c r="L42" s="462"/>
      <c r="M42" s="462"/>
      <c r="N42" s="462"/>
      <c r="O42" s="425"/>
    </row>
    <row r="43" spans="1:16" ht="51.75" thickBot="1" x14ac:dyDescent="0.3">
      <c r="A43" s="13" t="s">
        <v>76</v>
      </c>
      <c r="B43" s="37" t="s">
        <v>77</v>
      </c>
      <c r="C43" s="14"/>
      <c r="D43" s="15">
        <f>SUM(D44:D45)</f>
        <v>139.4</v>
      </c>
      <c r="E43" s="15">
        <f>SUM(E44:E45)</f>
        <v>139.4</v>
      </c>
      <c r="F43" s="15">
        <f>SUM(F44:F45)</f>
        <v>115.7</v>
      </c>
      <c r="G43" s="15">
        <f>SUM(G44:G45)</f>
        <v>23.7</v>
      </c>
      <c r="H43" s="15">
        <f>SUM(H44:H45)</f>
        <v>23.7</v>
      </c>
      <c r="I43" s="154">
        <f t="shared" si="8"/>
        <v>0.82998565279770442</v>
      </c>
      <c r="J43" s="41" t="s">
        <v>78</v>
      </c>
      <c r="K43" s="16" t="s">
        <v>35</v>
      </c>
      <c r="L43" s="17">
        <v>2</v>
      </c>
      <c r="M43" s="176">
        <v>16</v>
      </c>
      <c r="N43" s="41" t="s">
        <v>1699</v>
      </c>
      <c r="O43" s="42"/>
      <c r="P43" s="175"/>
    </row>
    <row r="44" spans="1:16" ht="54.75" customHeight="1" thickBot="1" x14ac:dyDescent="0.3">
      <c r="A44" s="13" t="s">
        <v>79</v>
      </c>
      <c r="B44" s="37" t="s">
        <v>80</v>
      </c>
      <c r="C44" s="14" t="s">
        <v>27</v>
      </c>
      <c r="D44" s="24">
        <v>79.400000000000006</v>
      </c>
      <c r="E44" s="24">
        <v>79.400000000000006</v>
      </c>
      <c r="F44" s="24">
        <v>79.400000000000006</v>
      </c>
      <c r="G44" s="24"/>
      <c r="H44" s="24"/>
      <c r="I44" s="154">
        <f t="shared" si="8"/>
        <v>1</v>
      </c>
      <c r="J44" s="41" t="s">
        <v>81</v>
      </c>
      <c r="K44" s="16" t="s">
        <v>35</v>
      </c>
      <c r="L44" s="17">
        <v>12</v>
      </c>
      <c r="M44" s="143">
        <v>11</v>
      </c>
      <c r="N44" s="41" t="s">
        <v>1700</v>
      </c>
      <c r="O44" s="42" t="s">
        <v>1701</v>
      </c>
    </row>
    <row r="45" spans="1:16" ht="23.25" customHeight="1" x14ac:dyDescent="0.25">
      <c r="A45" s="385" t="s">
        <v>82</v>
      </c>
      <c r="B45" s="336" t="s">
        <v>83</v>
      </c>
      <c r="C45" s="14"/>
      <c r="D45" s="15">
        <f>SUM(D46:D47)</f>
        <v>60</v>
      </c>
      <c r="E45" s="15">
        <f>SUM(E46:E47)</f>
        <v>60</v>
      </c>
      <c r="F45" s="15">
        <f>SUM(F46:F47)</f>
        <v>36.299999999999997</v>
      </c>
      <c r="G45" s="15">
        <f>SUM(G46:G47)</f>
        <v>23.7</v>
      </c>
      <c r="H45" s="15">
        <f>SUM(H46:H47)</f>
        <v>23.7</v>
      </c>
      <c r="I45" s="148">
        <f t="shared" si="8"/>
        <v>0.60499999999999998</v>
      </c>
      <c r="J45" s="371" t="s">
        <v>84</v>
      </c>
      <c r="K45" s="339" t="s">
        <v>35</v>
      </c>
      <c r="L45" s="342">
        <v>10</v>
      </c>
      <c r="M45" s="448">
        <v>4</v>
      </c>
      <c r="N45" s="336" t="s">
        <v>1703</v>
      </c>
      <c r="O45" s="351" t="s">
        <v>1702</v>
      </c>
    </row>
    <row r="46" spans="1:16" x14ac:dyDescent="0.25">
      <c r="A46" s="386"/>
      <c r="B46" s="337"/>
      <c r="C46" s="20" t="s">
        <v>43</v>
      </c>
      <c r="D46" s="21">
        <v>50</v>
      </c>
      <c r="E46" s="21">
        <v>50</v>
      </c>
      <c r="F46" s="21">
        <v>26.3</v>
      </c>
      <c r="G46" s="21">
        <v>23.7</v>
      </c>
      <c r="H46" s="67">
        <v>23.7</v>
      </c>
      <c r="I46" s="149">
        <f t="shared" si="8"/>
        <v>0.52600000000000002</v>
      </c>
      <c r="J46" s="372"/>
      <c r="K46" s="340"/>
      <c r="L46" s="343"/>
      <c r="M46" s="449"/>
      <c r="N46" s="337"/>
      <c r="O46" s="352"/>
    </row>
    <row r="47" spans="1:16" ht="15.75" thickBot="1" x14ac:dyDescent="0.3">
      <c r="A47" s="387"/>
      <c r="B47" s="338"/>
      <c r="C47" s="20" t="s">
        <v>24</v>
      </c>
      <c r="D47" s="21">
        <v>10</v>
      </c>
      <c r="E47" s="21">
        <v>10</v>
      </c>
      <c r="F47" s="21">
        <v>10</v>
      </c>
      <c r="G47" s="21"/>
      <c r="H47" s="21"/>
      <c r="I47" s="79">
        <f t="shared" si="8"/>
        <v>1</v>
      </c>
      <c r="J47" s="361"/>
      <c r="K47" s="341"/>
      <c r="L47" s="344"/>
      <c r="M47" s="378"/>
      <c r="N47" s="338"/>
      <c r="O47" s="353"/>
    </row>
    <row r="48" spans="1:16" ht="54.75" customHeight="1" x14ac:dyDescent="0.25">
      <c r="A48" s="385" t="s">
        <v>85</v>
      </c>
      <c r="B48" s="336" t="s">
        <v>86</v>
      </c>
      <c r="C48" s="14"/>
      <c r="D48" s="15">
        <f>SUM(D49:D50)</f>
        <v>50</v>
      </c>
      <c r="E48" s="15">
        <f>SUM(E49:E50)</f>
        <v>50</v>
      </c>
      <c r="F48" s="15">
        <f>SUM(F49:F50)</f>
        <v>50</v>
      </c>
      <c r="G48" s="15"/>
      <c r="H48" s="15"/>
      <c r="I48" s="148">
        <f t="shared" si="8"/>
        <v>1</v>
      </c>
      <c r="J48" s="41" t="s">
        <v>84</v>
      </c>
      <c r="K48" s="16" t="s">
        <v>35</v>
      </c>
      <c r="L48" s="17">
        <v>17</v>
      </c>
      <c r="M48" s="143">
        <v>12</v>
      </c>
      <c r="N48" s="41" t="s">
        <v>1704</v>
      </c>
      <c r="O48" s="42" t="s">
        <v>1608</v>
      </c>
      <c r="P48" s="290"/>
    </row>
    <row r="49" spans="1:16" x14ac:dyDescent="0.25">
      <c r="A49" s="386"/>
      <c r="B49" s="337"/>
      <c r="C49" s="20" t="s">
        <v>24</v>
      </c>
      <c r="D49" s="21">
        <v>15</v>
      </c>
      <c r="E49" s="21">
        <v>15</v>
      </c>
      <c r="F49" s="21">
        <v>15</v>
      </c>
      <c r="G49" s="21"/>
      <c r="H49" s="67"/>
      <c r="I49" s="149">
        <f t="shared" si="8"/>
        <v>1</v>
      </c>
      <c r="J49" s="68" t="s">
        <v>87</v>
      </c>
      <c r="K49" s="22" t="s">
        <v>35</v>
      </c>
      <c r="L49" s="23">
        <v>1</v>
      </c>
      <c r="M49" s="138">
        <v>0</v>
      </c>
      <c r="N49" s="178" t="s">
        <v>1605</v>
      </c>
      <c r="O49" s="177" t="s">
        <v>1605</v>
      </c>
    </row>
    <row r="50" spans="1:16" ht="64.5" thickBot="1" x14ac:dyDescent="0.3">
      <c r="A50" s="387"/>
      <c r="B50" s="338"/>
      <c r="C50" s="20" t="s">
        <v>43</v>
      </c>
      <c r="D50" s="21">
        <v>35</v>
      </c>
      <c r="E50" s="21">
        <v>35</v>
      </c>
      <c r="F50" s="21">
        <v>35</v>
      </c>
      <c r="G50" s="21"/>
      <c r="H50" s="21"/>
      <c r="I50" s="79">
        <f t="shared" si="8"/>
        <v>1</v>
      </c>
      <c r="J50" s="43" t="s">
        <v>88</v>
      </c>
      <c r="K50" s="22" t="s">
        <v>35</v>
      </c>
      <c r="L50" s="23">
        <v>1</v>
      </c>
      <c r="M50" s="138">
        <v>0</v>
      </c>
      <c r="N50" s="179" t="s">
        <v>1605</v>
      </c>
      <c r="O50" s="177" t="s">
        <v>1605</v>
      </c>
    </row>
    <row r="51" spans="1:16" ht="92.25" customHeight="1" thickBot="1" x14ac:dyDescent="0.3">
      <c r="A51" s="13" t="s">
        <v>89</v>
      </c>
      <c r="B51" s="37" t="s">
        <v>90</v>
      </c>
      <c r="C51" s="14" t="s">
        <v>43</v>
      </c>
      <c r="D51" s="24">
        <v>19.399999999999999</v>
      </c>
      <c r="E51" s="24">
        <v>19.399999999999999</v>
      </c>
      <c r="F51" s="24">
        <v>0.6</v>
      </c>
      <c r="G51" s="24">
        <v>18.8</v>
      </c>
      <c r="H51" s="24">
        <v>18.8</v>
      </c>
      <c r="I51" s="154">
        <f t="shared" si="8"/>
        <v>3.0927835051546393E-2</v>
      </c>
      <c r="J51" s="41" t="s">
        <v>91</v>
      </c>
      <c r="K51" s="16" t="s">
        <v>23</v>
      </c>
      <c r="L51" s="17">
        <v>24</v>
      </c>
      <c r="M51" s="137">
        <v>0</v>
      </c>
      <c r="N51" s="41" t="s">
        <v>1705</v>
      </c>
      <c r="O51" s="42" t="s">
        <v>1706</v>
      </c>
      <c r="P51" s="139"/>
    </row>
    <row r="52" spans="1:16" ht="54" customHeight="1" x14ac:dyDescent="0.25">
      <c r="A52" s="385" t="s">
        <v>92</v>
      </c>
      <c r="B52" s="336" t="s">
        <v>93</v>
      </c>
      <c r="C52" s="14"/>
      <c r="D52" s="15">
        <f>D53+D54+D55+D58</f>
        <v>232.3</v>
      </c>
      <c r="E52" s="15">
        <f>E53+E54+E55+E58</f>
        <v>232.3</v>
      </c>
      <c r="F52" s="15">
        <f>F53+F54+F55+F58</f>
        <v>76.2</v>
      </c>
      <c r="G52" s="15">
        <f>G53+G54+G55+G58</f>
        <v>156.1</v>
      </c>
      <c r="H52" s="15">
        <f>H53+H54+H55+H58</f>
        <v>156.1</v>
      </c>
      <c r="I52" s="148">
        <f t="shared" si="8"/>
        <v>0.32802410675850191</v>
      </c>
      <c r="J52" s="41" t="s">
        <v>94</v>
      </c>
      <c r="K52" s="16" t="s">
        <v>35</v>
      </c>
      <c r="L52" s="17">
        <v>3</v>
      </c>
      <c r="M52" s="180">
        <v>1</v>
      </c>
      <c r="N52" s="41" t="s">
        <v>1707</v>
      </c>
      <c r="O52" s="42" t="s">
        <v>1652</v>
      </c>
      <c r="P52" s="175"/>
    </row>
    <row r="53" spans="1:16" ht="25.5" x14ac:dyDescent="0.25">
      <c r="A53" s="386"/>
      <c r="B53" s="337"/>
      <c r="C53" s="20"/>
      <c r="D53" s="21"/>
      <c r="E53" s="21"/>
      <c r="F53" s="21"/>
      <c r="G53" s="21"/>
      <c r="H53" s="67"/>
      <c r="I53" s="149"/>
      <c r="J53" s="68" t="s">
        <v>95</v>
      </c>
      <c r="K53" s="22" t="s">
        <v>35</v>
      </c>
      <c r="L53" s="23">
        <v>2</v>
      </c>
      <c r="M53" s="135">
        <v>2</v>
      </c>
      <c r="N53" s="43"/>
      <c r="O53" s="44"/>
    </row>
    <row r="54" spans="1:16" ht="39" thickBot="1" x14ac:dyDescent="0.3">
      <c r="A54" s="387"/>
      <c r="B54" s="338"/>
      <c r="C54" s="20"/>
      <c r="D54" s="21"/>
      <c r="E54" s="21"/>
      <c r="F54" s="21"/>
      <c r="G54" s="21"/>
      <c r="H54" s="21"/>
      <c r="I54" s="79"/>
      <c r="J54" s="43" t="s">
        <v>96</v>
      </c>
      <c r="K54" s="22" t="s">
        <v>35</v>
      </c>
      <c r="L54" s="54">
        <v>7500</v>
      </c>
      <c r="M54" s="206">
        <v>4323</v>
      </c>
      <c r="N54" s="43" t="s">
        <v>1711</v>
      </c>
      <c r="O54" s="44" t="s">
        <v>1712</v>
      </c>
    </row>
    <row r="55" spans="1:16" ht="54.75" customHeight="1" x14ac:dyDescent="0.25">
      <c r="A55" s="385" t="s">
        <v>97</v>
      </c>
      <c r="B55" s="336" t="s">
        <v>98</v>
      </c>
      <c r="C55" s="14"/>
      <c r="D55" s="15">
        <f>SUM(D56:D57)</f>
        <v>212.3</v>
      </c>
      <c r="E55" s="15">
        <f>SUM(E56:E57)</f>
        <v>212.3</v>
      </c>
      <c r="F55" s="15">
        <f>SUM(F56:F57)</f>
        <v>56.2</v>
      </c>
      <c r="G55" s="15">
        <f>SUM(G56:G57)</f>
        <v>156.1</v>
      </c>
      <c r="H55" s="15">
        <f>SUM(H56:H57)</f>
        <v>156.1</v>
      </c>
      <c r="I55" s="148">
        <f t="shared" si="8"/>
        <v>0.26471973622232692</v>
      </c>
      <c r="J55" s="371" t="s">
        <v>99</v>
      </c>
      <c r="K55" s="339" t="s">
        <v>35</v>
      </c>
      <c r="L55" s="342">
        <v>2</v>
      </c>
      <c r="M55" s="440">
        <v>1</v>
      </c>
      <c r="N55" s="336" t="s">
        <v>1709</v>
      </c>
      <c r="O55" s="351" t="s">
        <v>1708</v>
      </c>
    </row>
    <row r="56" spans="1:16" x14ac:dyDescent="0.25">
      <c r="A56" s="386"/>
      <c r="B56" s="337"/>
      <c r="C56" s="20" t="s">
        <v>43</v>
      </c>
      <c r="D56" s="21">
        <v>200</v>
      </c>
      <c r="E56" s="21">
        <v>200</v>
      </c>
      <c r="F56" s="21">
        <v>52.6</v>
      </c>
      <c r="G56" s="21">
        <v>147.4</v>
      </c>
      <c r="H56" s="67">
        <v>147.4</v>
      </c>
      <c r="I56" s="149">
        <f t="shared" si="8"/>
        <v>0.26300000000000001</v>
      </c>
      <c r="J56" s="372"/>
      <c r="K56" s="340"/>
      <c r="L56" s="343"/>
      <c r="M56" s="358"/>
      <c r="N56" s="337"/>
      <c r="O56" s="352"/>
    </row>
    <row r="57" spans="1:16" ht="24.75" customHeight="1" thickBot="1" x14ac:dyDescent="0.3">
      <c r="A57" s="387"/>
      <c r="B57" s="338"/>
      <c r="C57" s="20" t="s">
        <v>24</v>
      </c>
      <c r="D57" s="21">
        <v>12.3</v>
      </c>
      <c r="E57" s="21">
        <v>12.3</v>
      </c>
      <c r="F57" s="21">
        <v>3.6</v>
      </c>
      <c r="G57" s="21">
        <v>8.6999999999999993</v>
      </c>
      <c r="H57" s="21">
        <v>8.6999999999999993</v>
      </c>
      <c r="I57" s="79">
        <f t="shared" si="8"/>
        <v>0.29268292682926828</v>
      </c>
      <c r="J57" s="361"/>
      <c r="K57" s="341"/>
      <c r="L57" s="344"/>
      <c r="M57" s="359"/>
      <c r="N57" s="338"/>
      <c r="O57" s="353"/>
    </row>
    <row r="58" spans="1:16" ht="31.5" customHeight="1" thickBot="1" x14ac:dyDescent="0.3">
      <c r="A58" s="13" t="s">
        <v>100</v>
      </c>
      <c r="B58" s="37" t="s">
        <v>101</v>
      </c>
      <c r="C58" s="14" t="s">
        <v>43</v>
      </c>
      <c r="D58" s="24">
        <v>20</v>
      </c>
      <c r="E58" s="24">
        <v>20</v>
      </c>
      <c r="F58" s="24">
        <v>20</v>
      </c>
      <c r="G58" s="24"/>
      <c r="H58" s="24"/>
      <c r="I58" s="154">
        <f t="shared" si="8"/>
        <v>1</v>
      </c>
      <c r="J58" s="41" t="s">
        <v>95</v>
      </c>
      <c r="K58" s="16" t="s">
        <v>35</v>
      </c>
      <c r="L58" s="17">
        <v>2</v>
      </c>
      <c r="M58" s="136">
        <v>2</v>
      </c>
      <c r="N58" s="41" t="s">
        <v>1710</v>
      </c>
      <c r="O58" s="42"/>
    </row>
    <row r="59" spans="1:16" ht="26.25" thickBot="1" x14ac:dyDescent="0.3">
      <c r="A59" s="13" t="s">
        <v>102</v>
      </c>
      <c r="B59" s="37" t="s">
        <v>103</v>
      </c>
      <c r="C59" s="14"/>
      <c r="D59" s="15">
        <f>SUM(D60:D61)</f>
        <v>43</v>
      </c>
      <c r="E59" s="15">
        <f>SUM(E60:E61)</f>
        <v>43</v>
      </c>
      <c r="F59" s="15">
        <f>SUM(F60:F61)</f>
        <v>43</v>
      </c>
      <c r="G59" s="15"/>
      <c r="H59" s="15"/>
      <c r="I59" s="154">
        <f t="shared" si="8"/>
        <v>1</v>
      </c>
      <c r="J59" s="41" t="s">
        <v>104</v>
      </c>
      <c r="K59" s="16" t="s">
        <v>35</v>
      </c>
      <c r="L59" s="17">
        <v>37</v>
      </c>
      <c r="M59" s="136">
        <v>37</v>
      </c>
      <c r="N59" s="41"/>
      <c r="O59" s="42"/>
      <c r="P59" s="181"/>
    </row>
    <row r="60" spans="1:16" ht="57" customHeight="1" thickBot="1" x14ac:dyDescent="0.3">
      <c r="A60" s="13" t="s">
        <v>105</v>
      </c>
      <c r="B60" s="37" t="s">
        <v>106</v>
      </c>
      <c r="C60" s="14" t="s">
        <v>43</v>
      </c>
      <c r="D60" s="24">
        <v>32</v>
      </c>
      <c r="E60" s="24">
        <v>32</v>
      </c>
      <c r="F60" s="24">
        <v>32</v>
      </c>
      <c r="G60" s="24"/>
      <c r="H60" s="24"/>
      <c r="I60" s="154">
        <f t="shared" si="8"/>
        <v>1</v>
      </c>
      <c r="J60" s="41" t="s">
        <v>107</v>
      </c>
      <c r="K60" s="16" t="s">
        <v>108</v>
      </c>
      <c r="L60" s="17">
        <v>15</v>
      </c>
      <c r="M60" s="136">
        <v>15</v>
      </c>
      <c r="N60" s="41" t="s">
        <v>1713</v>
      </c>
      <c r="O60" s="42"/>
    </row>
    <row r="61" spans="1:16" ht="40.5" customHeight="1" thickBot="1" x14ac:dyDescent="0.3">
      <c r="A61" s="13" t="s">
        <v>109</v>
      </c>
      <c r="B61" s="37" t="s">
        <v>110</v>
      </c>
      <c r="C61" s="14" t="s">
        <v>43</v>
      </c>
      <c r="D61" s="24">
        <v>11</v>
      </c>
      <c r="E61" s="24">
        <v>11</v>
      </c>
      <c r="F61" s="24">
        <v>11</v>
      </c>
      <c r="G61" s="24"/>
      <c r="H61" s="24"/>
      <c r="I61" s="154">
        <f t="shared" si="8"/>
        <v>1</v>
      </c>
      <c r="J61" s="41" t="s">
        <v>107</v>
      </c>
      <c r="K61" s="16" t="s">
        <v>108</v>
      </c>
      <c r="L61" s="17">
        <v>22</v>
      </c>
      <c r="M61" s="136">
        <v>22</v>
      </c>
      <c r="N61" s="41" t="s">
        <v>2076</v>
      </c>
      <c r="O61" s="42"/>
    </row>
    <row r="62" spans="1:16" ht="40.5" customHeight="1" x14ac:dyDescent="0.25">
      <c r="A62" s="385" t="s">
        <v>111</v>
      </c>
      <c r="B62" s="336" t="s">
        <v>112</v>
      </c>
      <c r="C62" s="14" t="s">
        <v>43</v>
      </c>
      <c r="D62" s="15">
        <f>SUM(D63:D66)+5</f>
        <v>5</v>
      </c>
      <c r="E62" s="15">
        <f>SUM(E63:E66)+5</f>
        <v>5</v>
      </c>
      <c r="F62" s="15"/>
      <c r="G62" s="15">
        <f>SUM(G63:G66)+5</f>
        <v>5</v>
      </c>
      <c r="H62" s="15">
        <f>SUM(H63:H66)+5</f>
        <v>5</v>
      </c>
      <c r="I62" s="154">
        <f t="shared" si="8"/>
        <v>0</v>
      </c>
      <c r="J62" s="41" t="s">
        <v>113</v>
      </c>
      <c r="K62" s="16" t="s">
        <v>35</v>
      </c>
      <c r="L62" s="17">
        <v>1</v>
      </c>
      <c r="M62" s="137">
        <v>0</v>
      </c>
      <c r="N62" s="41" t="s">
        <v>1714</v>
      </c>
      <c r="O62" s="42" t="s">
        <v>1715</v>
      </c>
      <c r="P62" s="175"/>
    </row>
    <row r="63" spans="1:16" ht="167.25" customHeight="1" x14ac:dyDescent="0.25">
      <c r="A63" s="386"/>
      <c r="B63" s="337"/>
      <c r="C63" s="20"/>
      <c r="D63" s="21"/>
      <c r="E63" s="21"/>
      <c r="F63" s="21"/>
      <c r="G63" s="21"/>
      <c r="H63" s="21"/>
      <c r="I63" s="150"/>
      <c r="J63" s="43" t="s">
        <v>114</v>
      </c>
      <c r="K63" s="22" t="s">
        <v>23</v>
      </c>
      <c r="L63" s="23">
        <v>100</v>
      </c>
      <c r="M63" s="140">
        <v>90</v>
      </c>
      <c r="N63" s="43" t="s">
        <v>1716</v>
      </c>
      <c r="O63" s="44" t="s">
        <v>1663</v>
      </c>
    </row>
    <row r="64" spans="1:16" ht="51" x14ac:dyDescent="0.25">
      <c r="A64" s="386"/>
      <c r="B64" s="337"/>
      <c r="C64" s="20"/>
      <c r="D64" s="21"/>
      <c r="E64" s="21"/>
      <c r="F64" s="21"/>
      <c r="G64" s="21"/>
      <c r="H64" s="21"/>
      <c r="I64" s="150"/>
      <c r="J64" s="43" t="s">
        <v>115</v>
      </c>
      <c r="K64" s="22" t="s">
        <v>35</v>
      </c>
      <c r="L64" s="23">
        <v>50</v>
      </c>
      <c r="M64" s="135">
        <v>50</v>
      </c>
      <c r="N64" s="43"/>
      <c r="O64" s="44"/>
    </row>
    <row r="65" spans="1:16" ht="51" x14ac:dyDescent="0.25">
      <c r="A65" s="386"/>
      <c r="B65" s="337"/>
      <c r="C65" s="20"/>
      <c r="D65" s="21"/>
      <c r="E65" s="21"/>
      <c r="F65" s="21"/>
      <c r="G65" s="21"/>
      <c r="H65" s="21"/>
      <c r="I65" s="150"/>
      <c r="J65" s="43" t="s">
        <v>116</v>
      </c>
      <c r="K65" s="22" t="s">
        <v>23</v>
      </c>
      <c r="L65" s="23">
        <v>90</v>
      </c>
      <c r="M65" s="135">
        <v>90</v>
      </c>
      <c r="N65" s="43"/>
      <c r="O65" s="44"/>
    </row>
    <row r="66" spans="1:16" ht="39" thickBot="1" x14ac:dyDescent="0.3">
      <c r="A66" s="387"/>
      <c r="B66" s="338"/>
      <c r="C66" s="20"/>
      <c r="D66" s="21"/>
      <c r="E66" s="21"/>
      <c r="F66" s="21"/>
      <c r="G66" s="21"/>
      <c r="H66" s="21"/>
      <c r="I66" s="150"/>
      <c r="J66" s="43" t="s">
        <v>117</v>
      </c>
      <c r="K66" s="22" t="s">
        <v>118</v>
      </c>
      <c r="L66" s="23">
        <v>30</v>
      </c>
      <c r="M66" s="134">
        <v>39</v>
      </c>
      <c r="N66" s="43" t="s">
        <v>1717</v>
      </c>
      <c r="O66" s="44"/>
    </row>
    <row r="67" spans="1:16" ht="51" customHeight="1" x14ac:dyDescent="0.25">
      <c r="A67" s="401" t="s">
        <v>119</v>
      </c>
      <c r="B67" s="404" t="s">
        <v>120</v>
      </c>
      <c r="C67" s="407"/>
      <c r="D67" s="395">
        <f>D68+D69+D93+D94+D99+D101+D107+D108</f>
        <v>14758.4</v>
      </c>
      <c r="E67" s="395">
        <f>E68+E69+E93+E94+E99+E101+E107+E108</f>
        <v>14758.4</v>
      </c>
      <c r="F67" s="395">
        <f>F68+F69+F93+F94+F99+F101+F107+F108-0.1</f>
        <v>13491.300000000001</v>
      </c>
      <c r="G67" s="395">
        <f>G68+G69+G93+G94+G99+G101+G107+G108</f>
        <v>1267.1000000000001</v>
      </c>
      <c r="H67" s="395">
        <f>H68+H69+H93+H94+H99+H101+H107+H108</f>
        <v>1267.1000000000001</v>
      </c>
      <c r="I67" s="398">
        <f>SUM(F67/E67)</f>
        <v>0.91414380962705999</v>
      </c>
      <c r="J67" s="45" t="s">
        <v>121</v>
      </c>
      <c r="K67" s="12" t="s">
        <v>35</v>
      </c>
      <c r="L67" s="50">
        <v>295.5</v>
      </c>
      <c r="M67" s="50">
        <v>296</v>
      </c>
      <c r="N67" s="444" t="s">
        <v>123</v>
      </c>
      <c r="O67" s="446"/>
    </row>
    <row r="68" spans="1:16" ht="52.5" customHeight="1" thickBot="1" x14ac:dyDescent="0.3">
      <c r="A68" s="403"/>
      <c r="B68" s="406"/>
      <c r="C68" s="409"/>
      <c r="D68" s="397"/>
      <c r="E68" s="397"/>
      <c r="F68" s="397"/>
      <c r="G68" s="397"/>
      <c r="H68" s="397"/>
      <c r="I68" s="400"/>
      <c r="J68" s="55" t="s">
        <v>122</v>
      </c>
      <c r="K68" s="56" t="s">
        <v>35</v>
      </c>
      <c r="L68" s="57">
        <v>2.4</v>
      </c>
      <c r="M68" s="57">
        <v>2</v>
      </c>
      <c r="N68" s="445"/>
      <c r="O68" s="447"/>
    </row>
    <row r="69" spans="1:16" x14ac:dyDescent="0.25">
      <c r="A69" s="385" t="s">
        <v>124</v>
      </c>
      <c r="B69" s="336" t="s">
        <v>125</v>
      </c>
      <c r="C69" s="14"/>
      <c r="D69" s="15">
        <f>D70+D71+D77+D78+D81+D82+D83+D87+D91+D92</f>
        <v>10705.3</v>
      </c>
      <c r="E69" s="15">
        <f>E70+E71+E77+E78+E81+E82+E83+E87+E91+E92</f>
        <v>10705.3</v>
      </c>
      <c r="F69" s="15">
        <f>F70+F71+F77+F78+F81+F82+F83+F87+F91+F92</f>
        <v>10006.9</v>
      </c>
      <c r="G69" s="15">
        <f>G70+G71+G77+G78+G81+G82+G83+G87+G91+G92+0.1</f>
        <v>698.50000000000011</v>
      </c>
      <c r="H69" s="15">
        <f>H70+H71+H77+H78+H81+H82+H83+H87+H91+H92+0.1</f>
        <v>698.50000000000011</v>
      </c>
      <c r="I69" s="151">
        <f t="shared" ref="I69:I83" si="9">SUM(F69/E69)</f>
        <v>0.93476128646558254</v>
      </c>
      <c r="J69" s="41" t="s">
        <v>126</v>
      </c>
      <c r="K69" s="16" t="s">
        <v>35</v>
      </c>
      <c r="L69" s="17">
        <v>330</v>
      </c>
      <c r="M69" s="176">
        <v>349</v>
      </c>
      <c r="N69" s="330"/>
      <c r="O69" s="333"/>
      <c r="P69" s="181"/>
    </row>
    <row r="70" spans="1:16" ht="26.25" thickBot="1" x14ac:dyDescent="0.3">
      <c r="A70" s="387"/>
      <c r="B70" s="338"/>
      <c r="C70" s="20"/>
      <c r="D70" s="21"/>
      <c r="E70" s="21"/>
      <c r="F70" s="21"/>
      <c r="G70" s="21"/>
      <c r="H70" s="21"/>
      <c r="I70" s="79"/>
      <c r="J70" s="43" t="s">
        <v>127</v>
      </c>
      <c r="K70" s="22" t="s">
        <v>35</v>
      </c>
      <c r="L70" s="23">
        <v>2</v>
      </c>
      <c r="M70" s="135">
        <v>2</v>
      </c>
      <c r="N70" s="332"/>
      <c r="O70" s="335"/>
    </row>
    <row r="71" spans="1:16" ht="93" customHeight="1" x14ac:dyDescent="0.25">
      <c r="A71" s="385" t="s">
        <v>128</v>
      </c>
      <c r="B71" s="336" t="s">
        <v>129</v>
      </c>
      <c r="C71" s="14"/>
      <c r="D71" s="15">
        <f>SUM(D72:D76)</f>
        <v>8157.6</v>
      </c>
      <c r="E71" s="15">
        <f>SUM(E72:E76)</f>
        <v>8157.6</v>
      </c>
      <c r="F71" s="15">
        <f>SUM(F72:F76)</f>
        <v>7974.4000000000005</v>
      </c>
      <c r="G71" s="15">
        <f>SUM(G72:G76)</f>
        <v>183.20000000000002</v>
      </c>
      <c r="H71" s="15">
        <f>SUM(H72:H76)</f>
        <v>183.20000000000002</v>
      </c>
      <c r="I71" s="148">
        <f t="shared" si="9"/>
        <v>0.97754241443561829</v>
      </c>
      <c r="J71" s="41" t="s">
        <v>130</v>
      </c>
      <c r="K71" s="16" t="s">
        <v>108</v>
      </c>
      <c r="L71" s="17">
        <v>215</v>
      </c>
      <c r="M71" s="176">
        <v>217</v>
      </c>
      <c r="N71" s="41" t="s">
        <v>1718</v>
      </c>
      <c r="O71" s="42"/>
    </row>
    <row r="72" spans="1:16" ht="52.5" customHeight="1" x14ac:dyDescent="0.25">
      <c r="A72" s="386"/>
      <c r="B72" s="337"/>
      <c r="C72" s="20" t="s">
        <v>43</v>
      </c>
      <c r="D72" s="21">
        <v>8116.7</v>
      </c>
      <c r="E72" s="21">
        <v>8116.7</v>
      </c>
      <c r="F72" s="21">
        <v>7938.7</v>
      </c>
      <c r="G72" s="21">
        <v>178</v>
      </c>
      <c r="H72" s="67">
        <v>178</v>
      </c>
      <c r="I72" s="149">
        <f t="shared" si="9"/>
        <v>0.97806990525706261</v>
      </c>
      <c r="J72" s="68" t="s">
        <v>131</v>
      </c>
      <c r="K72" s="22" t="s">
        <v>108</v>
      </c>
      <c r="L72" s="23">
        <v>77.5</v>
      </c>
      <c r="M72" s="134">
        <v>79</v>
      </c>
      <c r="N72" s="43" t="s">
        <v>1719</v>
      </c>
      <c r="O72" s="44"/>
    </row>
    <row r="73" spans="1:16" ht="17.25" customHeight="1" x14ac:dyDescent="0.25">
      <c r="A73" s="386"/>
      <c r="B73" s="337"/>
      <c r="C73" s="20" t="s">
        <v>132</v>
      </c>
      <c r="D73" s="21">
        <v>1.5</v>
      </c>
      <c r="E73" s="21">
        <v>1.5</v>
      </c>
      <c r="F73" s="21">
        <v>0.6</v>
      </c>
      <c r="G73" s="21">
        <v>0.9</v>
      </c>
      <c r="H73" s="67">
        <v>0.9</v>
      </c>
      <c r="I73" s="149">
        <f t="shared" si="9"/>
        <v>0.39999999999999997</v>
      </c>
      <c r="J73" s="360" t="s">
        <v>133</v>
      </c>
      <c r="K73" s="362" t="s">
        <v>23</v>
      </c>
      <c r="L73" s="363">
        <v>100</v>
      </c>
      <c r="M73" s="418">
        <v>100</v>
      </c>
      <c r="N73" s="365"/>
      <c r="O73" s="380"/>
    </row>
    <row r="74" spans="1:16" x14ac:dyDescent="0.25">
      <c r="A74" s="386"/>
      <c r="B74" s="337"/>
      <c r="C74" s="20" t="s">
        <v>29</v>
      </c>
      <c r="D74" s="21">
        <v>1.3</v>
      </c>
      <c r="E74" s="21">
        <v>1.3</v>
      </c>
      <c r="F74" s="21">
        <v>1</v>
      </c>
      <c r="G74" s="21">
        <v>0.3</v>
      </c>
      <c r="H74" s="67">
        <v>0.3</v>
      </c>
      <c r="I74" s="149">
        <f t="shared" si="9"/>
        <v>0.76923076923076916</v>
      </c>
      <c r="J74" s="372"/>
      <c r="K74" s="340"/>
      <c r="L74" s="343"/>
      <c r="M74" s="346"/>
      <c r="N74" s="337"/>
      <c r="O74" s="352"/>
    </row>
    <row r="75" spans="1:16" x14ac:dyDescent="0.25">
      <c r="A75" s="386"/>
      <c r="B75" s="337"/>
      <c r="C75" s="20" t="s">
        <v>24</v>
      </c>
      <c r="D75" s="21">
        <v>38</v>
      </c>
      <c r="E75" s="21">
        <v>38</v>
      </c>
      <c r="F75" s="21">
        <v>34</v>
      </c>
      <c r="G75" s="21">
        <v>4</v>
      </c>
      <c r="H75" s="67">
        <v>4</v>
      </c>
      <c r="I75" s="149">
        <f t="shared" si="9"/>
        <v>0.89473684210526316</v>
      </c>
      <c r="J75" s="372"/>
      <c r="K75" s="340"/>
      <c r="L75" s="343"/>
      <c r="M75" s="346"/>
      <c r="N75" s="337"/>
      <c r="O75" s="352"/>
    </row>
    <row r="76" spans="1:16" ht="15.75" thickBot="1" x14ac:dyDescent="0.3">
      <c r="A76" s="387"/>
      <c r="B76" s="338"/>
      <c r="C76" s="20" t="s">
        <v>27</v>
      </c>
      <c r="D76" s="21">
        <v>0.1</v>
      </c>
      <c r="E76" s="21">
        <v>0.1</v>
      </c>
      <c r="F76" s="21">
        <v>0.1</v>
      </c>
      <c r="G76" s="21"/>
      <c r="H76" s="21"/>
      <c r="I76" s="79">
        <f t="shared" si="9"/>
        <v>1</v>
      </c>
      <c r="J76" s="338"/>
      <c r="K76" s="341"/>
      <c r="L76" s="344"/>
      <c r="M76" s="347"/>
      <c r="N76" s="338"/>
      <c r="O76" s="353"/>
    </row>
    <row r="77" spans="1:16" ht="26.25" thickBot="1" x14ac:dyDescent="0.3">
      <c r="A77" s="13" t="s">
        <v>134</v>
      </c>
      <c r="B77" s="37" t="s">
        <v>135</v>
      </c>
      <c r="C77" s="14" t="s">
        <v>43</v>
      </c>
      <c r="D77" s="24">
        <v>175.9</v>
      </c>
      <c r="E77" s="24">
        <v>175.9</v>
      </c>
      <c r="F77" s="24">
        <v>171.1</v>
      </c>
      <c r="G77" s="24">
        <v>4.8</v>
      </c>
      <c r="H77" s="24">
        <v>4.8</v>
      </c>
      <c r="I77" s="154">
        <f t="shared" si="9"/>
        <v>0.97271176805002835</v>
      </c>
      <c r="J77" s="41" t="s">
        <v>136</v>
      </c>
      <c r="K77" s="16" t="s">
        <v>23</v>
      </c>
      <c r="L77" s="17">
        <v>100</v>
      </c>
      <c r="M77" s="136">
        <v>100</v>
      </c>
      <c r="N77" s="41"/>
      <c r="O77" s="42"/>
    </row>
    <row r="78" spans="1:16" ht="20.25" customHeight="1" x14ac:dyDescent="0.25">
      <c r="A78" s="385" t="s">
        <v>137</v>
      </c>
      <c r="B78" s="336" t="s">
        <v>138</v>
      </c>
      <c r="C78" s="14"/>
      <c r="D78" s="15">
        <f>SUM(D79:D80)</f>
        <v>989.8</v>
      </c>
      <c r="E78" s="15">
        <f>SUM(E79:E80)</f>
        <v>989.8</v>
      </c>
      <c r="F78" s="15">
        <f>SUM(F79:F80)</f>
        <v>951.1</v>
      </c>
      <c r="G78" s="15">
        <f>SUM(G79:G80)</f>
        <v>38.700000000000003</v>
      </c>
      <c r="H78" s="15">
        <f>SUM(H79:H80)</f>
        <v>38.700000000000003</v>
      </c>
      <c r="I78" s="148">
        <f t="shared" si="9"/>
        <v>0.96090119216003245</v>
      </c>
      <c r="J78" s="336" t="s">
        <v>136</v>
      </c>
      <c r="K78" s="339" t="s">
        <v>23</v>
      </c>
      <c r="L78" s="342">
        <v>100</v>
      </c>
      <c r="M78" s="345">
        <v>100</v>
      </c>
      <c r="N78" s="336"/>
      <c r="O78" s="351"/>
    </row>
    <row r="79" spans="1:16" x14ac:dyDescent="0.25">
      <c r="A79" s="386"/>
      <c r="B79" s="337"/>
      <c r="C79" s="20" t="s">
        <v>43</v>
      </c>
      <c r="D79" s="21">
        <v>977.8</v>
      </c>
      <c r="E79" s="21">
        <v>977.8</v>
      </c>
      <c r="F79" s="21">
        <v>939.1</v>
      </c>
      <c r="G79" s="21">
        <v>38.700000000000003</v>
      </c>
      <c r="H79" s="67">
        <v>38.700000000000003</v>
      </c>
      <c r="I79" s="149">
        <f t="shared" si="9"/>
        <v>0.96042135406013507</v>
      </c>
      <c r="J79" s="372"/>
      <c r="K79" s="340"/>
      <c r="L79" s="343"/>
      <c r="M79" s="346"/>
      <c r="N79" s="337"/>
      <c r="O79" s="352"/>
    </row>
    <row r="80" spans="1:16" ht="15.75" thickBot="1" x14ac:dyDescent="0.3">
      <c r="A80" s="387"/>
      <c r="B80" s="338"/>
      <c r="C80" s="20" t="s">
        <v>24</v>
      </c>
      <c r="D80" s="21">
        <v>12</v>
      </c>
      <c r="E80" s="21">
        <v>12</v>
      </c>
      <c r="F80" s="21">
        <v>12</v>
      </c>
      <c r="G80" s="21"/>
      <c r="H80" s="21"/>
      <c r="I80" s="79">
        <f t="shared" si="9"/>
        <v>1</v>
      </c>
      <c r="J80" s="338"/>
      <c r="K80" s="341"/>
      <c r="L80" s="344"/>
      <c r="M80" s="347"/>
      <c r="N80" s="338"/>
      <c r="O80" s="353"/>
    </row>
    <row r="81" spans="1:16" ht="26.25" thickBot="1" x14ac:dyDescent="0.3">
      <c r="A81" s="13" t="s">
        <v>139</v>
      </c>
      <c r="B81" s="37" t="s">
        <v>140</v>
      </c>
      <c r="C81" s="14" t="s">
        <v>43</v>
      </c>
      <c r="D81" s="24">
        <v>200</v>
      </c>
      <c r="E81" s="24">
        <v>200</v>
      </c>
      <c r="F81" s="24">
        <v>81.900000000000006</v>
      </c>
      <c r="G81" s="24">
        <v>118.1</v>
      </c>
      <c r="H81" s="24">
        <v>118.1</v>
      </c>
      <c r="I81" s="154">
        <f t="shared" si="9"/>
        <v>0.40950000000000003</v>
      </c>
      <c r="J81" s="41" t="s">
        <v>136</v>
      </c>
      <c r="K81" s="16" t="s">
        <v>23</v>
      </c>
      <c r="L81" s="17">
        <v>100</v>
      </c>
      <c r="M81" s="136">
        <v>100</v>
      </c>
      <c r="N81" s="41"/>
      <c r="O81" s="42"/>
    </row>
    <row r="82" spans="1:16" ht="409.5" customHeight="1" thickBot="1" x14ac:dyDescent="0.3">
      <c r="A82" s="13" t="s">
        <v>141</v>
      </c>
      <c r="B82" s="37" t="s">
        <v>142</v>
      </c>
      <c r="C82" s="14" t="s">
        <v>43</v>
      </c>
      <c r="D82" s="24">
        <v>822.9</v>
      </c>
      <c r="E82" s="24">
        <v>822.9</v>
      </c>
      <c r="F82" s="24">
        <v>511.4</v>
      </c>
      <c r="G82" s="24">
        <v>311.5</v>
      </c>
      <c r="H82" s="24">
        <v>311.5</v>
      </c>
      <c r="I82" s="154">
        <f t="shared" si="9"/>
        <v>0.62146068781139874</v>
      </c>
      <c r="J82" s="41" t="s">
        <v>143</v>
      </c>
      <c r="K82" s="16" t="s">
        <v>23</v>
      </c>
      <c r="L82" s="17">
        <v>100</v>
      </c>
      <c r="M82" s="136">
        <v>100</v>
      </c>
      <c r="N82" s="41" t="s">
        <v>1720</v>
      </c>
      <c r="O82" s="327" t="s">
        <v>1721</v>
      </c>
    </row>
    <row r="83" spans="1:16" ht="42.75" customHeight="1" x14ac:dyDescent="0.25">
      <c r="A83" s="385" t="s">
        <v>144</v>
      </c>
      <c r="B83" s="336" t="s">
        <v>145</v>
      </c>
      <c r="C83" s="14" t="s">
        <v>43</v>
      </c>
      <c r="D83" s="15">
        <f>SUM(D84:D86)+262.2</f>
        <v>262.2</v>
      </c>
      <c r="E83" s="15">
        <f>SUM(E84:E86)+262.2</f>
        <v>262.2</v>
      </c>
      <c r="F83" s="15">
        <f>SUM(F84:F86)+245.1</f>
        <v>245.1</v>
      </c>
      <c r="G83" s="15">
        <f>SUM(G84:G86)+17.1</f>
        <v>17.100000000000001</v>
      </c>
      <c r="H83" s="15">
        <f>SUM(H84:H86)+17.1</f>
        <v>17.100000000000001</v>
      </c>
      <c r="I83" s="154">
        <f t="shared" si="9"/>
        <v>0.93478260869565222</v>
      </c>
      <c r="J83" s="41" t="s">
        <v>146</v>
      </c>
      <c r="K83" s="16" t="s">
        <v>35</v>
      </c>
      <c r="L83" s="17">
        <v>60</v>
      </c>
      <c r="M83" s="176">
        <v>68</v>
      </c>
      <c r="N83" s="41" t="s">
        <v>1722</v>
      </c>
      <c r="O83" s="42"/>
    </row>
    <row r="84" spans="1:16" ht="25.5" x14ac:dyDescent="0.25">
      <c r="A84" s="386"/>
      <c r="B84" s="337"/>
      <c r="C84" s="20"/>
      <c r="D84" s="21"/>
      <c r="E84" s="21"/>
      <c r="F84" s="21"/>
      <c r="G84" s="21"/>
      <c r="H84" s="21"/>
      <c r="I84" s="150"/>
      <c r="J84" s="43" t="s">
        <v>147</v>
      </c>
      <c r="K84" s="22" t="s">
        <v>35</v>
      </c>
      <c r="L84" s="23">
        <v>3</v>
      </c>
      <c r="M84" s="135">
        <v>3</v>
      </c>
      <c r="N84" s="43" t="s">
        <v>2004</v>
      </c>
      <c r="O84" s="44"/>
    </row>
    <row r="85" spans="1:16" ht="25.5" x14ac:dyDescent="0.25">
      <c r="A85" s="386"/>
      <c r="B85" s="337"/>
      <c r="C85" s="20"/>
      <c r="D85" s="21"/>
      <c r="E85" s="21"/>
      <c r="F85" s="21"/>
      <c r="G85" s="21"/>
      <c r="H85" s="21"/>
      <c r="I85" s="150"/>
      <c r="J85" s="43" t="s">
        <v>148</v>
      </c>
      <c r="K85" s="22" t="s">
        <v>35</v>
      </c>
      <c r="L85" s="23">
        <v>3</v>
      </c>
      <c r="M85" s="185">
        <v>1</v>
      </c>
      <c r="N85" s="43" t="s">
        <v>1723</v>
      </c>
      <c r="O85" s="44" t="s">
        <v>2005</v>
      </c>
    </row>
    <row r="86" spans="1:16" ht="51.75" thickBot="1" x14ac:dyDescent="0.3">
      <c r="A86" s="387"/>
      <c r="B86" s="338"/>
      <c r="C86" s="20"/>
      <c r="D86" s="21"/>
      <c r="E86" s="21"/>
      <c r="F86" s="21"/>
      <c r="G86" s="21"/>
      <c r="H86" s="21"/>
      <c r="I86" s="150"/>
      <c r="J86" s="43" t="s">
        <v>149</v>
      </c>
      <c r="K86" s="22" t="s">
        <v>35</v>
      </c>
      <c r="L86" s="23">
        <v>60</v>
      </c>
      <c r="M86" s="134">
        <v>483</v>
      </c>
      <c r="N86" s="219" t="s">
        <v>150</v>
      </c>
      <c r="O86" s="44"/>
    </row>
    <row r="87" spans="1:16" ht="24.75" customHeight="1" x14ac:dyDescent="0.25">
      <c r="A87" s="385" t="s">
        <v>151</v>
      </c>
      <c r="B87" s="336" t="s">
        <v>152</v>
      </c>
      <c r="C87" s="14"/>
      <c r="D87" s="15">
        <f>SUM(D88:D90)</f>
        <v>20.8</v>
      </c>
      <c r="E87" s="15">
        <f>SUM(E88:E90)</f>
        <v>20.8</v>
      </c>
      <c r="F87" s="15">
        <f>SUM(F88:F90)</f>
        <v>10.4</v>
      </c>
      <c r="G87" s="15">
        <f>SUM(G88:G90)</f>
        <v>10.4</v>
      </c>
      <c r="H87" s="15">
        <f>SUM(H88:H90)</f>
        <v>10.4</v>
      </c>
      <c r="I87" s="148">
        <f t="shared" ref="I87:I151" si="10">SUM(F87/E87)</f>
        <v>0.5</v>
      </c>
      <c r="J87" s="336" t="s">
        <v>153</v>
      </c>
      <c r="K87" s="339" t="s">
        <v>108</v>
      </c>
      <c r="L87" s="342">
        <v>6</v>
      </c>
      <c r="M87" s="345">
        <v>6</v>
      </c>
      <c r="N87" s="336" t="s">
        <v>1725</v>
      </c>
      <c r="O87" s="351"/>
    </row>
    <row r="88" spans="1:16" x14ac:dyDescent="0.25">
      <c r="A88" s="386"/>
      <c r="B88" s="337"/>
      <c r="C88" s="20" t="s">
        <v>43</v>
      </c>
      <c r="D88" s="21">
        <v>3.1</v>
      </c>
      <c r="E88" s="21">
        <v>3.1</v>
      </c>
      <c r="F88" s="21"/>
      <c r="G88" s="21">
        <v>3.1</v>
      </c>
      <c r="H88" s="67">
        <v>3.1</v>
      </c>
      <c r="I88" s="149">
        <f t="shared" si="10"/>
        <v>0</v>
      </c>
      <c r="J88" s="372"/>
      <c r="K88" s="340"/>
      <c r="L88" s="343"/>
      <c r="M88" s="346"/>
      <c r="N88" s="337"/>
      <c r="O88" s="352"/>
    </row>
    <row r="89" spans="1:16" x14ac:dyDescent="0.25">
      <c r="A89" s="386"/>
      <c r="B89" s="337"/>
      <c r="C89" s="20" t="s">
        <v>29</v>
      </c>
      <c r="D89" s="21">
        <v>10.4</v>
      </c>
      <c r="E89" s="21">
        <v>10.4</v>
      </c>
      <c r="F89" s="21">
        <v>3.1</v>
      </c>
      <c r="G89" s="21">
        <v>7.3</v>
      </c>
      <c r="H89" s="67">
        <v>7.3</v>
      </c>
      <c r="I89" s="149">
        <f t="shared" si="10"/>
        <v>0.29807692307692307</v>
      </c>
      <c r="J89" s="372"/>
      <c r="K89" s="340"/>
      <c r="L89" s="343"/>
      <c r="M89" s="346"/>
      <c r="N89" s="337"/>
      <c r="O89" s="352"/>
    </row>
    <row r="90" spans="1:16" ht="15.75" customHeight="1" thickBot="1" x14ac:dyDescent="0.3">
      <c r="A90" s="387"/>
      <c r="B90" s="338"/>
      <c r="C90" s="20" t="s">
        <v>24</v>
      </c>
      <c r="D90" s="21">
        <v>7.3</v>
      </c>
      <c r="E90" s="21">
        <v>7.3</v>
      </c>
      <c r="F90" s="21">
        <v>7.3</v>
      </c>
      <c r="G90" s="21"/>
      <c r="H90" s="21"/>
      <c r="I90" s="79">
        <f t="shared" si="10"/>
        <v>1</v>
      </c>
      <c r="J90" s="338"/>
      <c r="K90" s="341"/>
      <c r="L90" s="344"/>
      <c r="M90" s="347"/>
      <c r="N90" s="338"/>
      <c r="O90" s="353"/>
    </row>
    <row r="91" spans="1:16" ht="51.75" thickBot="1" x14ac:dyDescent="0.3">
      <c r="A91" s="13" t="s">
        <v>154</v>
      </c>
      <c r="B91" s="37" t="s">
        <v>155</v>
      </c>
      <c r="C91" s="14" t="s">
        <v>43</v>
      </c>
      <c r="D91" s="24">
        <v>20</v>
      </c>
      <c r="E91" s="24">
        <v>20</v>
      </c>
      <c r="F91" s="24">
        <v>15.5</v>
      </c>
      <c r="G91" s="24">
        <v>4.5</v>
      </c>
      <c r="H91" s="24">
        <v>4.5</v>
      </c>
      <c r="I91" s="154">
        <f t="shared" si="10"/>
        <v>0.77500000000000002</v>
      </c>
      <c r="J91" s="41" t="s">
        <v>136</v>
      </c>
      <c r="K91" s="16" t="s">
        <v>23</v>
      </c>
      <c r="L91" s="17">
        <v>100</v>
      </c>
      <c r="M91" s="136">
        <v>100</v>
      </c>
      <c r="N91" s="41" t="s">
        <v>156</v>
      </c>
      <c r="O91" s="42"/>
    </row>
    <row r="92" spans="1:16" ht="39" thickBot="1" x14ac:dyDescent="0.3">
      <c r="A92" s="13" t="s">
        <v>157</v>
      </c>
      <c r="B92" s="37" t="s">
        <v>158</v>
      </c>
      <c r="C92" s="14" t="s">
        <v>43</v>
      </c>
      <c r="D92" s="24">
        <v>56.1</v>
      </c>
      <c r="E92" s="24">
        <v>56.1</v>
      </c>
      <c r="F92" s="24">
        <v>46</v>
      </c>
      <c r="G92" s="24">
        <v>10.1</v>
      </c>
      <c r="H92" s="24">
        <v>10.1</v>
      </c>
      <c r="I92" s="154">
        <f t="shared" si="10"/>
        <v>0.81996434937611407</v>
      </c>
      <c r="J92" s="41" t="s">
        <v>159</v>
      </c>
      <c r="K92" s="16" t="s">
        <v>23</v>
      </c>
      <c r="L92" s="17">
        <v>100</v>
      </c>
      <c r="M92" s="136">
        <v>100</v>
      </c>
      <c r="N92" s="41" t="s">
        <v>160</v>
      </c>
      <c r="O92" s="42"/>
    </row>
    <row r="93" spans="1:16" ht="230.25" thickBot="1" x14ac:dyDescent="0.3">
      <c r="A93" s="13" t="s">
        <v>161</v>
      </c>
      <c r="B93" s="37" t="s">
        <v>162</v>
      </c>
      <c r="C93" s="14" t="s">
        <v>43</v>
      </c>
      <c r="D93" s="24">
        <v>38</v>
      </c>
      <c r="E93" s="24">
        <v>38</v>
      </c>
      <c r="F93" s="24">
        <v>35.700000000000003</v>
      </c>
      <c r="G93" s="24">
        <v>2.2999999999999998</v>
      </c>
      <c r="H93" s="24">
        <v>2.2999999999999998</v>
      </c>
      <c r="I93" s="154">
        <f t="shared" si="10"/>
        <v>0.93947368421052635</v>
      </c>
      <c r="J93" s="41" t="s">
        <v>163</v>
      </c>
      <c r="K93" s="16" t="s">
        <v>35</v>
      </c>
      <c r="L93" s="17">
        <v>300</v>
      </c>
      <c r="M93" s="183">
        <v>2080</v>
      </c>
      <c r="N93" s="41" t="s">
        <v>1724</v>
      </c>
      <c r="O93" s="42"/>
      <c r="P93" s="284"/>
    </row>
    <row r="94" spans="1:16" ht="42.75" customHeight="1" x14ac:dyDescent="0.25">
      <c r="A94" s="385" t="s">
        <v>164</v>
      </c>
      <c r="B94" s="336" t="s">
        <v>165</v>
      </c>
      <c r="C94" s="14"/>
      <c r="D94" s="15">
        <f>SUM(D95:D98)</f>
        <v>1164.5999999999999</v>
      </c>
      <c r="E94" s="15">
        <f>SUM(E95:E98)</f>
        <v>1164.5999999999999</v>
      </c>
      <c r="F94" s="15">
        <f>SUM(F95:F98)</f>
        <v>1004.6</v>
      </c>
      <c r="G94" s="15">
        <f>SUM(G95:G98)</f>
        <v>160</v>
      </c>
      <c r="H94" s="15">
        <f>SUM(H95:H98)</f>
        <v>160</v>
      </c>
      <c r="I94" s="151">
        <f t="shared" si="10"/>
        <v>0.8626137729692599</v>
      </c>
      <c r="J94" s="41" t="s">
        <v>166</v>
      </c>
      <c r="K94" s="16" t="s">
        <v>23</v>
      </c>
      <c r="L94" s="17">
        <v>100</v>
      </c>
      <c r="M94" s="136">
        <v>100</v>
      </c>
      <c r="N94" s="330"/>
      <c r="O94" s="333"/>
      <c r="P94" s="181"/>
    </row>
    <row r="95" spans="1:16" ht="26.25" thickBot="1" x14ac:dyDescent="0.3">
      <c r="A95" s="387"/>
      <c r="B95" s="338"/>
      <c r="C95" s="20"/>
      <c r="D95" s="21"/>
      <c r="E95" s="21"/>
      <c r="F95" s="21"/>
      <c r="G95" s="21"/>
      <c r="H95" s="21"/>
      <c r="I95" s="79"/>
      <c r="J95" s="43" t="s">
        <v>167</v>
      </c>
      <c r="K95" s="22" t="s">
        <v>23</v>
      </c>
      <c r="L95" s="23">
        <v>100</v>
      </c>
      <c r="M95" s="135">
        <v>100</v>
      </c>
      <c r="N95" s="332"/>
      <c r="O95" s="335"/>
    </row>
    <row r="96" spans="1:16" ht="26.25" thickBot="1" x14ac:dyDescent="0.3">
      <c r="A96" s="13" t="s">
        <v>168</v>
      </c>
      <c r="B96" s="37" t="s">
        <v>169</v>
      </c>
      <c r="C96" s="14" t="s">
        <v>43</v>
      </c>
      <c r="D96" s="24">
        <v>482.3</v>
      </c>
      <c r="E96" s="24">
        <v>482.3</v>
      </c>
      <c r="F96" s="24">
        <v>462</v>
      </c>
      <c r="G96" s="24">
        <v>20.3</v>
      </c>
      <c r="H96" s="24">
        <v>20.3</v>
      </c>
      <c r="I96" s="154">
        <f t="shared" si="10"/>
        <v>0.9579100145137881</v>
      </c>
      <c r="J96" s="41" t="s">
        <v>170</v>
      </c>
      <c r="K96" s="16" t="s">
        <v>23</v>
      </c>
      <c r="L96" s="17">
        <v>100</v>
      </c>
      <c r="M96" s="136">
        <v>100</v>
      </c>
      <c r="N96" s="41"/>
      <c r="O96" s="42"/>
    </row>
    <row r="97" spans="1:16" ht="15.75" thickBot="1" x14ac:dyDescent="0.3">
      <c r="A97" s="13" t="s">
        <v>171</v>
      </c>
      <c r="B97" s="37" t="s">
        <v>172</v>
      </c>
      <c r="C97" s="14" t="s">
        <v>43</v>
      </c>
      <c r="D97" s="24">
        <v>15</v>
      </c>
      <c r="E97" s="24">
        <v>15</v>
      </c>
      <c r="F97" s="24">
        <v>12.5</v>
      </c>
      <c r="G97" s="24">
        <v>2.5</v>
      </c>
      <c r="H97" s="24">
        <v>2.5</v>
      </c>
      <c r="I97" s="154">
        <f t="shared" si="10"/>
        <v>0.83333333333333337</v>
      </c>
      <c r="J97" s="41" t="s">
        <v>173</v>
      </c>
      <c r="K97" s="16" t="s">
        <v>23</v>
      </c>
      <c r="L97" s="17">
        <v>100</v>
      </c>
      <c r="M97" s="136">
        <v>100</v>
      </c>
      <c r="N97" s="41"/>
      <c r="O97" s="42"/>
    </row>
    <row r="98" spans="1:16" ht="39" thickBot="1" x14ac:dyDescent="0.3">
      <c r="A98" s="13" t="s">
        <v>174</v>
      </c>
      <c r="B98" s="37" t="s">
        <v>175</v>
      </c>
      <c r="C98" s="14" t="s">
        <v>43</v>
      </c>
      <c r="D98" s="24">
        <v>667.3</v>
      </c>
      <c r="E98" s="24">
        <v>667.3</v>
      </c>
      <c r="F98" s="24">
        <v>530.1</v>
      </c>
      <c r="G98" s="24">
        <v>137.19999999999999</v>
      </c>
      <c r="H98" s="24">
        <v>137.19999999999999</v>
      </c>
      <c r="I98" s="154">
        <f t="shared" si="10"/>
        <v>0.7943953244417804</v>
      </c>
      <c r="J98" s="41" t="s">
        <v>176</v>
      </c>
      <c r="K98" s="16" t="s">
        <v>35</v>
      </c>
      <c r="L98" s="17">
        <v>11</v>
      </c>
      <c r="M98" s="136">
        <v>11</v>
      </c>
      <c r="N98" s="41"/>
      <c r="O98" s="42"/>
    </row>
    <row r="99" spans="1:16" x14ac:dyDescent="0.25">
      <c r="A99" s="385" t="s">
        <v>177</v>
      </c>
      <c r="B99" s="336" t="s">
        <v>178</v>
      </c>
      <c r="C99" s="14" t="s">
        <v>43</v>
      </c>
      <c r="D99" s="15">
        <f>SUM(D100:D100)+375.5</f>
        <v>375.5</v>
      </c>
      <c r="E99" s="15">
        <f>SUM(E100:E100)+375.5</f>
        <v>375.5</v>
      </c>
      <c r="F99" s="15">
        <f>SUM(F100:F100)+366.3</f>
        <v>366.3</v>
      </c>
      <c r="G99" s="15">
        <f>SUM(G100:G100)+9.2</f>
        <v>9.1999999999999993</v>
      </c>
      <c r="H99" s="15">
        <f>SUM(H100:H100)+9.2</f>
        <v>9.1999999999999993</v>
      </c>
      <c r="I99" s="151">
        <f t="shared" si="10"/>
        <v>0.97549933422103863</v>
      </c>
      <c r="J99" s="41" t="s">
        <v>179</v>
      </c>
      <c r="K99" s="16" t="s">
        <v>35</v>
      </c>
      <c r="L99" s="17">
        <v>5</v>
      </c>
      <c r="M99" s="136">
        <v>5</v>
      </c>
      <c r="N99" s="330"/>
      <c r="O99" s="333"/>
      <c r="P99" s="181"/>
    </row>
    <row r="100" spans="1:16" ht="26.25" thickBot="1" x14ac:dyDescent="0.3">
      <c r="A100" s="387"/>
      <c r="B100" s="338"/>
      <c r="C100" s="20"/>
      <c r="D100" s="21"/>
      <c r="E100" s="21"/>
      <c r="F100" s="21"/>
      <c r="G100" s="21"/>
      <c r="H100" s="21"/>
      <c r="I100" s="79"/>
      <c r="J100" s="43" t="s">
        <v>180</v>
      </c>
      <c r="K100" s="22" t="s">
        <v>35</v>
      </c>
      <c r="L100" s="23">
        <v>10</v>
      </c>
      <c r="M100" s="135">
        <v>10</v>
      </c>
      <c r="N100" s="332"/>
      <c r="O100" s="335"/>
    </row>
    <row r="101" spans="1:16" ht="25.5" x14ac:dyDescent="0.25">
      <c r="A101" s="13" t="s">
        <v>181</v>
      </c>
      <c r="B101" s="37" t="s">
        <v>182</v>
      </c>
      <c r="C101" s="14"/>
      <c r="D101" s="15">
        <f>SUM(D102:D106)</f>
        <v>1948.7</v>
      </c>
      <c r="E101" s="15">
        <f>SUM(E102:E106)</f>
        <v>1948.7</v>
      </c>
      <c r="F101" s="15">
        <f>SUM(F102:F106)</f>
        <v>1948</v>
      </c>
      <c r="G101" s="15">
        <f>SUM(G102:G106)</f>
        <v>0.7</v>
      </c>
      <c r="H101" s="15">
        <f>SUM(H102:H106)</f>
        <v>0.7</v>
      </c>
      <c r="I101" s="148">
        <f t="shared" si="10"/>
        <v>0.99964078616513574</v>
      </c>
      <c r="J101" s="41" t="s">
        <v>183</v>
      </c>
      <c r="K101" s="16" t="s">
        <v>23</v>
      </c>
      <c r="L101" s="17">
        <v>100</v>
      </c>
      <c r="M101" s="136">
        <v>100</v>
      </c>
      <c r="N101" s="41"/>
      <c r="O101" s="42"/>
      <c r="P101" s="175"/>
    </row>
    <row r="102" spans="1:16" ht="63.75" x14ac:dyDescent="0.25">
      <c r="A102" s="18"/>
      <c r="B102" s="38"/>
      <c r="C102" s="20" t="s">
        <v>24</v>
      </c>
      <c r="D102" s="21">
        <v>72.8</v>
      </c>
      <c r="E102" s="21">
        <v>72.8</v>
      </c>
      <c r="F102" s="21">
        <v>72.8</v>
      </c>
      <c r="G102" s="21"/>
      <c r="H102" s="67"/>
      <c r="I102" s="149">
        <f t="shared" si="10"/>
        <v>1</v>
      </c>
      <c r="J102" s="68" t="s">
        <v>184</v>
      </c>
      <c r="K102" s="22" t="s">
        <v>23</v>
      </c>
      <c r="L102" s="23">
        <v>100</v>
      </c>
      <c r="M102" s="186">
        <v>94.92</v>
      </c>
      <c r="N102" s="43"/>
      <c r="O102" s="44" t="s">
        <v>1726</v>
      </c>
    </row>
    <row r="103" spans="1:16" ht="25.5" x14ac:dyDescent="0.25">
      <c r="A103" s="18"/>
      <c r="B103" s="38"/>
      <c r="C103" s="20" t="s">
        <v>185</v>
      </c>
      <c r="D103" s="21">
        <v>0.6</v>
      </c>
      <c r="E103" s="21">
        <v>0.6</v>
      </c>
      <c r="F103" s="21"/>
      <c r="G103" s="21">
        <v>0.6</v>
      </c>
      <c r="H103" s="67">
        <v>0.6</v>
      </c>
      <c r="I103" s="149">
        <f t="shared" si="10"/>
        <v>0</v>
      </c>
      <c r="J103" s="68" t="s">
        <v>186</v>
      </c>
      <c r="K103" s="22" t="s">
        <v>23</v>
      </c>
      <c r="L103" s="23">
        <v>2</v>
      </c>
      <c r="M103" s="138">
        <v>0</v>
      </c>
      <c r="N103" s="43"/>
      <c r="O103" s="44" t="s">
        <v>1727</v>
      </c>
    </row>
    <row r="104" spans="1:16" ht="38.25" x14ac:dyDescent="0.25">
      <c r="A104" s="18"/>
      <c r="B104" s="38"/>
      <c r="C104" s="20" t="s">
        <v>43</v>
      </c>
      <c r="D104" s="21">
        <v>1875.3</v>
      </c>
      <c r="E104" s="21">
        <v>1875.3</v>
      </c>
      <c r="F104" s="21">
        <v>1875.2</v>
      </c>
      <c r="G104" s="21">
        <v>0.1</v>
      </c>
      <c r="H104" s="21">
        <v>0.1</v>
      </c>
      <c r="I104" s="79">
        <f t="shared" si="10"/>
        <v>0.99994667519863489</v>
      </c>
      <c r="J104" s="43" t="s">
        <v>187</v>
      </c>
      <c r="K104" s="22" t="s">
        <v>23</v>
      </c>
      <c r="L104" s="23">
        <v>20</v>
      </c>
      <c r="M104" s="184">
        <v>45.69</v>
      </c>
      <c r="N104" s="43"/>
      <c r="O104" s="44"/>
    </row>
    <row r="105" spans="1:16" ht="38.25" x14ac:dyDescent="0.25">
      <c r="A105" s="18"/>
      <c r="B105" s="38"/>
      <c r="C105" s="20"/>
      <c r="D105" s="21"/>
      <c r="E105" s="21"/>
      <c r="F105" s="21"/>
      <c r="G105" s="21"/>
      <c r="H105" s="21"/>
      <c r="I105" s="152"/>
      <c r="J105" s="43" t="s">
        <v>1729</v>
      </c>
      <c r="K105" s="22" t="s">
        <v>23</v>
      </c>
      <c r="L105" s="23">
        <v>5</v>
      </c>
      <c r="M105" s="209">
        <v>0.67</v>
      </c>
      <c r="N105" s="43" t="s">
        <v>1728</v>
      </c>
      <c r="O105" s="44" t="s">
        <v>1730</v>
      </c>
    </row>
    <row r="106" spans="1:16" ht="39" thickBot="1" x14ac:dyDescent="0.3">
      <c r="A106" s="18"/>
      <c r="B106" s="38"/>
      <c r="C106" s="20"/>
      <c r="D106" s="21"/>
      <c r="E106" s="21"/>
      <c r="F106" s="21"/>
      <c r="G106" s="21"/>
      <c r="H106" s="21"/>
      <c r="I106" s="155"/>
      <c r="J106" s="43" t="s">
        <v>188</v>
      </c>
      <c r="K106" s="22" t="s">
        <v>23</v>
      </c>
      <c r="L106" s="23">
        <v>50</v>
      </c>
      <c r="M106" s="184">
        <v>65.42</v>
      </c>
      <c r="N106" s="43"/>
      <c r="O106" s="44"/>
    </row>
    <row r="107" spans="1:16" ht="51.75" thickBot="1" x14ac:dyDescent="0.3">
      <c r="A107" s="13" t="s">
        <v>189</v>
      </c>
      <c r="B107" s="37" t="s">
        <v>190</v>
      </c>
      <c r="C107" s="14" t="s">
        <v>43</v>
      </c>
      <c r="D107" s="24">
        <v>162.9</v>
      </c>
      <c r="E107" s="24">
        <v>162.9</v>
      </c>
      <c r="F107" s="24">
        <v>129.69999999999999</v>
      </c>
      <c r="G107" s="24">
        <v>33.200000000000003</v>
      </c>
      <c r="H107" s="24">
        <v>33.200000000000003</v>
      </c>
      <c r="I107" s="156">
        <f t="shared" si="10"/>
        <v>0.79619398403928776</v>
      </c>
      <c r="J107" s="41" t="s">
        <v>191</v>
      </c>
      <c r="K107" s="16" t="s">
        <v>23</v>
      </c>
      <c r="L107" s="17">
        <v>100</v>
      </c>
      <c r="M107" s="143">
        <v>80</v>
      </c>
      <c r="N107" s="41" t="s">
        <v>1731</v>
      </c>
      <c r="O107" s="125" t="s">
        <v>1732</v>
      </c>
      <c r="P107" s="175"/>
    </row>
    <row r="108" spans="1:16" ht="26.25" thickBot="1" x14ac:dyDescent="0.3">
      <c r="A108" s="13" t="s">
        <v>192</v>
      </c>
      <c r="B108" s="37" t="s">
        <v>193</v>
      </c>
      <c r="C108" s="14" t="s">
        <v>43</v>
      </c>
      <c r="D108" s="24">
        <v>363.4</v>
      </c>
      <c r="E108" s="24">
        <v>363.4</v>
      </c>
      <c r="F108" s="24">
        <v>0.2</v>
      </c>
      <c r="G108" s="24">
        <v>363.2</v>
      </c>
      <c r="H108" s="24">
        <v>363.2</v>
      </c>
      <c r="I108" s="156">
        <f t="shared" si="10"/>
        <v>5.5035773252614208E-4</v>
      </c>
      <c r="J108" s="41" t="s">
        <v>194</v>
      </c>
      <c r="K108" s="16" t="s">
        <v>23</v>
      </c>
      <c r="L108" s="17">
        <v>100</v>
      </c>
      <c r="M108" s="136">
        <v>100</v>
      </c>
      <c r="N108" s="41" t="s">
        <v>1733</v>
      </c>
      <c r="O108" s="42"/>
      <c r="P108" s="181"/>
    </row>
    <row r="109" spans="1:16" ht="26.25" thickBot="1" x14ac:dyDescent="0.3">
      <c r="A109" s="9" t="s">
        <v>195</v>
      </c>
      <c r="B109" s="36" t="s">
        <v>196</v>
      </c>
      <c r="C109" s="10"/>
      <c r="D109" s="11">
        <f>D110+D111+D112+D113+D114+D115+D116+D117+D118+D119+D120+D121+D122+D123+D124+D127+D130+D132+D133+D134+D135-0.1</f>
        <v>831.69999999999993</v>
      </c>
      <c r="E109" s="11">
        <f>E110+E111+E112+E113+E114+E115+E116+E117+E118+E119+E120+E121+E122+E123+E124+E127+E130+E132+E133+E134+E135-0.1</f>
        <v>831.69999999999993</v>
      </c>
      <c r="F109" s="11">
        <f>F110+F111+F112+F113+F114+F115+F116+F117+F118+F119+F120+F121+F122+F123+F124+F127+F130+F132+F133+F134+F135</f>
        <v>808.09999999999991</v>
      </c>
      <c r="G109" s="11">
        <f>G110+G111+G112+G113+G114+G115+G116+G117+G118+G119+G120+G121+G122+G123+G124+G127+G130+G132+G133+G134+G135</f>
        <v>23.7</v>
      </c>
      <c r="H109" s="11">
        <f>H110+H111+H112+H113+H114+H115+H116+H117+H118+H119+H120+H121+H122+H123+H124+H127+H130+H132+H133+H134+H135</f>
        <v>23.7</v>
      </c>
      <c r="I109" s="157">
        <f t="shared" si="10"/>
        <v>0.9716243837922327</v>
      </c>
      <c r="J109" s="45" t="s">
        <v>197</v>
      </c>
      <c r="K109" s="12" t="s">
        <v>35</v>
      </c>
      <c r="L109" s="50">
        <v>21</v>
      </c>
      <c r="M109" s="50">
        <v>21</v>
      </c>
      <c r="N109" s="424"/>
      <c r="O109" s="425"/>
    </row>
    <row r="110" spans="1:16" ht="15.75" thickBot="1" x14ac:dyDescent="0.3">
      <c r="A110" s="13" t="s">
        <v>198</v>
      </c>
      <c r="B110" s="37" t="s">
        <v>199</v>
      </c>
      <c r="C110" s="14" t="s">
        <v>200</v>
      </c>
      <c r="D110" s="24">
        <v>12</v>
      </c>
      <c r="E110" s="24">
        <v>12</v>
      </c>
      <c r="F110" s="24">
        <v>12</v>
      </c>
      <c r="G110" s="24"/>
      <c r="H110" s="24"/>
      <c r="I110" s="158">
        <f t="shared" si="10"/>
        <v>1</v>
      </c>
      <c r="J110" s="41" t="s">
        <v>136</v>
      </c>
      <c r="K110" s="16" t="s">
        <v>23</v>
      </c>
      <c r="L110" s="17">
        <v>100</v>
      </c>
      <c r="M110" s="136">
        <v>100</v>
      </c>
      <c r="N110" s="41"/>
      <c r="O110" s="42"/>
      <c r="P110" s="181"/>
    </row>
    <row r="111" spans="1:16" ht="15.75" thickBot="1" x14ac:dyDescent="0.3">
      <c r="A111" s="13" t="s">
        <v>201</v>
      </c>
      <c r="B111" s="37" t="s">
        <v>202</v>
      </c>
      <c r="C111" s="14" t="s">
        <v>200</v>
      </c>
      <c r="D111" s="24">
        <v>0.8</v>
      </c>
      <c r="E111" s="24">
        <v>0.8</v>
      </c>
      <c r="F111" s="24">
        <v>0.8</v>
      </c>
      <c r="G111" s="24"/>
      <c r="H111" s="24"/>
      <c r="I111" s="158">
        <f t="shared" si="10"/>
        <v>1</v>
      </c>
      <c r="J111" s="41" t="s">
        <v>136</v>
      </c>
      <c r="K111" s="16" t="s">
        <v>23</v>
      </c>
      <c r="L111" s="17">
        <v>100</v>
      </c>
      <c r="M111" s="136">
        <v>100</v>
      </c>
      <c r="N111" s="41"/>
      <c r="O111" s="42"/>
      <c r="P111" s="181"/>
    </row>
    <row r="112" spans="1:16" ht="15.75" thickBot="1" x14ac:dyDescent="0.3">
      <c r="A112" s="13" t="s">
        <v>203</v>
      </c>
      <c r="B112" s="37" t="s">
        <v>204</v>
      </c>
      <c r="C112" s="14" t="s">
        <v>200</v>
      </c>
      <c r="D112" s="24">
        <v>39.799999999999997</v>
      </c>
      <c r="E112" s="24">
        <v>39.799999999999997</v>
      </c>
      <c r="F112" s="24">
        <v>39.299999999999997</v>
      </c>
      <c r="G112" s="24">
        <v>0.5</v>
      </c>
      <c r="H112" s="24">
        <v>0.5</v>
      </c>
      <c r="I112" s="158">
        <f t="shared" si="10"/>
        <v>0.98743718592964824</v>
      </c>
      <c r="J112" s="41" t="s">
        <v>136</v>
      </c>
      <c r="K112" s="16" t="s">
        <v>23</v>
      </c>
      <c r="L112" s="17">
        <v>100</v>
      </c>
      <c r="M112" s="136">
        <v>100</v>
      </c>
      <c r="N112" s="41"/>
      <c r="O112" s="42"/>
      <c r="P112" s="181"/>
    </row>
    <row r="113" spans="1:16" ht="15.75" thickBot="1" x14ac:dyDescent="0.3">
      <c r="A113" s="13" t="s">
        <v>205</v>
      </c>
      <c r="B113" s="37" t="s">
        <v>206</v>
      </c>
      <c r="C113" s="14" t="s">
        <v>200</v>
      </c>
      <c r="D113" s="24">
        <v>61.7</v>
      </c>
      <c r="E113" s="24">
        <v>61.7</v>
      </c>
      <c r="F113" s="24">
        <v>61.7</v>
      </c>
      <c r="G113" s="24"/>
      <c r="H113" s="24"/>
      <c r="I113" s="158">
        <f t="shared" si="10"/>
        <v>1</v>
      </c>
      <c r="J113" s="41" t="s">
        <v>136</v>
      </c>
      <c r="K113" s="16" t="s">
        <v>23</v>
      </c>
      <c r="L113" s="17">
        <v>100</v>
      </c>
      <c r="M113" s="136">
        <v>100</v>
      </c>
      <c r="N113" s="41"/>
      <c r="O113" s="42"/>
      <c r="P113" s="181"/>
    </row>
    <row r="114" spans="1:16" ht="15.75" thickBot="1" x14ac:dyDescent="0.3">
      <c r="A114" s="13" t="s">
        <v>207</v>
      </c>
      <c r="B114" s="37" t="s">
        <v>208</v>
      </c>
      <c r="C114" s="14" t="s">
        <v>200</v>
      </c>
      <c r="D114" s="24">
        <v>2</v>
      </c>
      <c r="E114" s="24">
        <v>2</v>
      </c>
      <c r="F114" s="24">
        <v>2</v>
      </c>
      <c r="G114" s="24"/>
      <c r="H114" s="24"/>
      <c r="I114" s="158">
        <f t="shared" si="10"/>
        <v>1</v>
      </c>
      <c r="J114" s="41" t="s">
        <v>136</v>
      </c>
      <c r="K114" s="16" t="s">
        <v>23</v>
      </c>
      <c r="L114" s="17">
        <v>100</v>
      </c>
      <c r="M114" s="136">
        <v>100</v>
      </c>
      <c r="N114" s="41"/>
      <c r="O114" s="42"/>
      <c r="P114" s="181"/>
    </row>
    <row r="115" spans="1:16" ht="26.25" thickBot="1" x14ac:dyDescent="0.3">
      <c r="A115" s="13" t="s">
        <v>209</v>
      </c>
      <c r="B115" s="37" t="s">
        <v>210</v>
      </c>
      <c r="C115" s="14" t="s">
        <v>200</v>
      </c>
      <c r="D115" s="24">
        <v>19</v>
      </c>
      <c r="E115" s="24">
        <v>19</v>
      </c>
      <c r="F115" s="24">
        <v>19</v>
      </c>
      <c r="G115" s="24"/>
      <c r="H115" s="69"/>
      <c r="I115" s="158">
        <f t="shared" si="10"/>
        <v>1</v>
      </c>
      <c r="J115" s="41" t="s">
        <v>136</v>
      </c>
      <c r="K115" s="16" t="s">
        <v>23</v>
      </c>
      <c r="L115" s="17">
        <v>100</v>
      </c>
      <c r="M115" s="136">
        <v>100</v>
      </c>
      <c r="N115" s="41"/>
      <c r="O115" s="42"/>
      <c r="P115" s="181"/>
    </row>
    <row r="116" spans="1:16" ht="15.75" thickBot="1" x14ac:dyDescent="0.3">
      <c r="A116" s="13" t="s">
        <v>211</v>
      </c>
      <c r="B116" s="37" t="s">
        <v>212</v>
      </c>
      <c r="C116" s="14" t="s">
        <v>200</v>
      </c>
      <c r="D116" s="24">
        <v>38.200000000000003</v>
      </c>
      <c r="E116" s="24">
        <v>38.200000000000003</v>
      </c>
      <c r="F116" s="24">
        <v>37.9</v>
      </c>
      <c r="G116" s="24">
        <v>0.3</v>
      </c>
      <c r="H116" s="24">
        <v>0.3</v>
      </c>
      <c r="I116" s="158">
        <f t="shared" si="10"/>
        <v>0.9921465968586386</v>
      </c>
      <c r="J116" s="41" t="s">
        <v>136</v>
      </c>
      <c r="K116" s="16" t="s">
        <v>23</v>
      </c>
      <c r="L116" s="17">
        <v>100</v>
      </c>
      <c r="M116" s="136">
        <v>100</v>
      </c>
      <c r="N116" s="41"/>
      <c r="O116" s="42"/>
      <c r="P116" s="181"/>
    </row>
    <row r="117" spans="1:16" ht="15.75" thickBot="1" x14ac:dyDescent="0.3">
      <c r="A117" s="13" t="s">
        <v>213</v>
      </c>
      <c r="B117" s="37" t="s">
        <v>214</v>
      </c>
      <c r="C117" s="14" t="s">
        <v>200</v>
      </c>
      <c r="D117" s="24">
        <v>80.599999999999994</v>
      </c>
      <c r="E117" s="24">
        <v>80.599999999999994</v>
      </c>
      <c r="F117" s="24">
        <v>80.599999999999994</v>
      </c>
      <c r="G117" s="24"/>
      <c r="H117" s="24"/>
      <c r="I117" s="158">
        <f t="shared" si="10"/>
        <v>1</v>
      </c>
      <c r="J117" s="41" t="s">
        <v>136</v>
      </c>
      <c r="K117" s="16" t="s">
        <v>23</v>
      </c>
      <c r="L117" s="17">
        <v>100</v>
      </c>
      <c r="M117" s="136">
        <v>100</v>
      </c>
      <c r="N117" s="41"/>
      <c r="O117" s="42"/>
      <c r="P117" s="181"/>
    </row>
    <row r="118" spans="1:16" ht="15.75" thickBot="1" x14ac:dyDescent="0.3">
      <c r="A118" s="13" t="s">
        <v>215</v>
      </c>
      <c r="B118" s="37" t="s">
        <v>216</v>
      </c>
      <c r="C118" s="14" t="s">
        <v>200</v>
      </c>
      <c r="D118" s="24">
        <v>19.899999999999999</v>
      </c>
      <c r="E118" s="24">
        <v>19.899999999999999</v>
      </c>
      <c r="F118" s="24">
        <v>18.399999999999999</v>
      </c>
      <c r="G118" s="24">
        <v>1.5</v>
      </c>
      <c r="H118" s="24">
        <v>1.5</v>
      </c>
      <c r="I118" s="158">
        <f t="shared" si="10"/>
        <v>0.92462311557788945</v>
      </c>
      <c r="J118" s="41" t="s">
        <v>136</v>
      </c>
      <c r="K118" s="16" t="s">
        <v>23</v>
      </c>
      <c r="L118" s="17">
        <v>100</v>
      </c>
      <c r="M118" s="136">
        <v>100</v>
      </c>
      <c r="N118" s="41"/>
      <c r="O118" s="42"/>
      <c r="P118" s="181"/>
    </row>
    <row r="119" spans="1:16" ht="15.75" thickBot="1" x14ac:dyDescent="0.3">
      <c r="A119" s="13" t="s">
        <v>217</v>
      </c>
      <c r="B119" s="37" t="s">
        <v>218</v>
      </c>
      <c r="C119" s="14" t="s">
        <v>200</v>
      </c>
      <c r="D119" s="24">
        <v>119.6</v>
      </c>
      <c r="E119" s="24">
        <v>119.6</v>
      </c>
      <c r="F119" s="24">
        <v>108.2</v>
      </c>
      <c r="G119" s="24">
        <v>11.4</v>
      </c>
      <c r="H119" s="24">
        <v>11.4</v>
      </c>
      <c r="I119" s="158">
        <f t="shared" si="10"/>
        <v>0.9046822742474917</v>
      </c>
      <c r="J119" s="41" t="s">
        <v>136</v>
      </c>
      <c r="K119" s="16" t="s">
        <v>23</v>
      </c>
      <c r="L119" s="17">
        <v>100</v>
      </c>
      <c r="M119" s="136">
        <v>100</v>
      </c>
      <c r="N119" s="41"/>
      <c r="O119" s="42"/>
      <c r="P119" s="181"/>
    </row>
    <row r="120" spans="1:16" ht="15.75" thickBot="1" x14ac:dyDescent="0.3">
      <c r="A120" s="13" t="s">
        <v>219</v>
      </c>
      <c r="B120" s="37" t="s">
        <v>220</v>
      </c>
      <c r="C120" s="14" t="s">
        <v>200</v>
      </c>
      <c r="D120" s="24">
        <v>11.4</v>
      </c>
      <c r="E120" s="24">
        <v>11.4</v>
      </c>
      <c r="F120" s="24">
        <v>11.4</v>
      </c>
      <c r="G120" s="24"/>
      <c r="H120" s="24"/>
      <c r="I120" s="158">
        <f t="shared" si="10"/>
        <v>1</v>
      </c>
      <c r="J120" s="41" t="s">
        <v>136</v>
      </c>
      <c r="K120" s="16" t="s">
        <v>23</v>
      </c>
      <c r="L120" s="17">
        <v>100</v>
      </c>
      <c r="M120" s="136">
        <v>100</v>
      </c>
      <c r="N120" s="41"/>
      <c r="O120" s="42"/>
      <c r="P120" s="181"/>
    </row>
    <row r="121" spans="1:16" ht="26.25" thickBot="1" x14ac:dyDescent="0.3">
      <c r="A121" s="13" t="s">
        <v>221</v>
      </c>
      <c r="B121" s="37" t="s">
        <v>222</v>
      </c>
      <c r="C121" s="14" t="s">
        <v>200</v>
      </c>
      <c r="D121" s="24">
        <v>11.3</v>
      </c>
      <c r="E121" s="24">
        <v>11.3</v>
      </c>
      <c r="F121" s="24">
        <v>11.3</v>
      </c>
      <c r="G121" s="24"/>
      <c r="H121" s="24"/>
      <c r="I121" s="158">
        <f t="shared" si="10"/>
        <v>1</v>
      </c>
      <c r="J121" s="41" t="s">
        <v>136</v>
      </c>
      <c r="K121" s="16" t="s">
        <v>23</v>
      </c>
      <c r="L121" s="17">
        <v>100</v>
      </c>
      <c r="M121" s="136">
        <v>100</v>
      </c>
      <c r="N121" s="41"/>
      <c r="O121" s="42"/>
      <c r="P121" s="181"/>
    </row>
    <row r="122" spans="1:16" ht="15.75" thickBot="1" x14ac:dyDescent="0.3">
      <c r="A122" s="13" t="s">
        <v>223</v>
      </c>
      <c r="B122" s="37" t="s">
        <v>224</v>
      </c>
      <c r="C122" s="14" t="s">
        <v>200</v>
      </c>
      <c r="D122" s="24">
        <v>23.4</v>
      </c>
      <c r="E122" s="24">
        <v>23.4</v>
      </c>
      <c r="F122" s="24">
        <v>21</v>
      </c>
      <c r="G122" s="24">
        <v>2.4</v>
      </c>
      <c r="H122" s="24">
        <v>2.4</v>
      </c>
      <c r="I122" s="158">
        <f t="shared" si="10"/>
        <v>0.89743589743589747</v>
      </c>
      <c r="J122" s="41" t="s">
        <v>136</v>
      </c>
      <c r="K122" s="16" t="s">
        <v>23</v>
      </c>
      <c r="L122" s="17">
        <v>100</v>
      </c>
      <c r="M122" s="136">
        <v>100</v>
      </c>
      <c r="N122" s="41"/>
      <c r="O122" s="42"/>
      <c r="P122" s="181"/>
    </row>
    <row r="123" spans="1:16" ht="26.25" thickBot="1" x14ac:dyDescent="0.3">
      <c r="A123" s="13" t="s">
        <v>225</v>
      </c>
      <c r="B123" s="37" t="s">
        <v>226</v>
      </c>
      <c r="C123" s="14" t="s">
        <v>200</v>
      </c>
      <c r="D123" s="24">
        <v>60.2</v>
      </c>
      <c r="E123" s="24">
        <v>60.2</v>
      </c>
      <c r="F123" s="24">
        <v>57.9</v>
      </c>
      <c r="G123" s="24">
        <v>2.2999999999999998</v>
      </c>
      <c r="H123" s="24">
        <v>2.2999999999999998</v>
      </c>
      <c r="I123" s="158">
        <f t="shared" si="10"/>
        <v>0.96179401993355473</v>
      </c>
      <c r="J123" s="41" t="s">
        <v>136</v>
      </c>
      <c r="K123" s="16" t="s">
        <v>23</v>
      </c>
      <c r="L123" s="17">
        <v>100</v>
      </c>
      <c r="M123" s="136">
        <v>100</v>
      </c>
      <c r="N123" s="41"/>
      <c r="O123" s="42"/>
      <c r="P123" s="181"/>
    </row>
    <row r="124" spans="1:16" x14ac:dyDescent="0.25">
      <c r="A124" s="385" t="s">
        <v>227</v>
      </c>
      <c r="B124" s="336" t="s">
        <v>228</v>
      </c>
      <c r="C124" s="14"/>
      <c r="D124" s="15">
        <f>SUM(D125:D126)</f>
        <v>94.5</v>
      </c>
      <c r="E124" s="15">
        <f>SUM(E125:E126)</f>
        <v>94.5</v>
      </c>
      <c r="F124" s="15">
        <f>SUM(F125:F126)</f>
        <v>89.4</v>
      </c>
      <c r="G124" s="15">
        <f>SUM(G125:G126)</f>
        <v>5.0999999999999996</v>
      </c>
      <c r="H124" s="15">
        <f>SUM(H125:H126)</f>
        <v>5.0999999999999996</v>
      </c>
      <c r="I124" s="159">
        <f t="shared" si="10"/>
        <v>0.94603174603174611</v>
      </c>
      <c r="J124" s="371" t="s">
        <v>136</v>
      </c>
      <c r="K124" s="339" t="s">
        <v>23</v>
      </c>
      <c r="L124" s="342">
        <v>100</v>
      </c>
      <c r="M124" s="345">
        <v>100</v>
      </c>
      <c r="N124" s="330"/>
      <c r="O124" s="333"/>
      <c r="P124" s="181"/>
    </row>
    <row r="125" spans="1:16" x14ac:dyDescent="0.25">
      <c r="A125" s="386"/>
      <c r="B125" s="337"/>
      <c r="C125" s="20" t="s">
        <v>200</v>
      </c>
      <c r="D125" s="21">
        <v>73.2</v>
      </c>
      <c r="E125" s="21">
        <v>73.2</v>
      </c>
      <c r="F125" s="21">
        <v>68.900000000000006</v>
      </c>
      <c r="G125" s="21">
        <v>4.3</v>
      </c>
      <c r="H125" s="67">
        <v>4.3</v>
      </c>
      <c r="I125" s="149">
        <f t="shared" si="10"/>
        <v>0.94125683060109289</v>
      </c>
      <c r="J125" s="372"/>
      <c r="K125" s="340"/>
      <c r="L125" s="343"/>
      <c r="M125" s="346"/>
      <c r="N125" s="331"/>
      <c r="O125" s="334"/>
    </row>
    <row r="126" spans="1:16" ht="15.75" thickBot="1" x14ac:dyDescent="0.3">
      <c r="A126" s="387"/>
      <c r="B126" s="338"/>
      <c r="C126" s="20" t="s">
        <v>27</v>
      </c>
      <c r="D126" s="21">
        <v>21.3</v>
      </c>
      <c r="E126" s="21">
        <v>21.3</v>
      </c>
      <c r="F126" s="21">
        <v>20.5</v>
      </c>
      <c r="G126" s="21">
        <v>0.8</v>
      </c>
      <c r="H126" s="21">
        <v>0.8</v>
      </c>
      <c r="I126" s="156">
        <f t="shared" si="10"/>
        <v>0.96244131455399062</v>
      </c>
      <c r="J126" s="361"/>
      <c r="K126" s="341"/>
      <c r="L126" s="344"/>
      <c r="M126" s="347"/>
      <c r="N126" s="332"/>
      <c r="O126" s="335"/>
    </row>
    <row r="127" spans="1:16" x14ac:dyDescent="0.25">
      <c r="A127" s="385" t="s">
        <v>229</v>
      </c>
      <c r="B127" s="336" t="s">
        <v>230</v>
      </c>
      <c r="C127" s="14"/>
      <c r="D127" s="15">
        <f>SUM(D128:D129)</f>
        <v>2.2000000000000002</v>
      </c>
      <c r="E127" s="15">
        <f>SUM(E128:E129)</f>
        <v>2.2000000000000002</v>
      </c>
      <c r="F127" s="15">
        <f>SUM(F128:F129)</f>
        <v>2</v>
      </c>
      <c r="G127" s="15">
        <f>SUM(G128:G129)</f>
        <v>0.2</v>
      </c>
      <c r="H127" s="15">
        <f>SUM(H128:H129)</f>
        <v>0.2</v>
      </c>
      <c r="I127" s="159">
        <f t="shared" si="10"/>
        <v>0.90909090909090906</v>
      </c>
      <c r="J127" s="371" t="s">
        <v>136</v>
      </c>
      <c r="K127" s="339" t="s">
        <v>23</v>
      </c>
      <c r="L127" s="342">
        <v>100</v>
      </c>
      <c r="M127" s="345">
        <v>100</v>
      </c>
      <c r="N127" s="330"/>
      <c r="O127" s="333"/>
      <c r="P127" s="181"/>
    </row>
    <row r="128" spans="1:16" x14ac:dyDescent="0.25">
      <c r="A128" s="386"/>
      <c r="B128" s="337"/>
      <c r="C128" s="20" t="s">
        <v>200</v>
      </c>
      <c r="D128" s="21">
        <v>2</v>
      </c>
      <c r="E128" s="21">
        <v>2</v>
      </c>
      <c r="F128" s="21">
        <v>1.8</v>
      </c>
      <c r="G128" s="21">
        <v>0.2</v>
      </c>
      <c r="H128" s="67">
        <v>0.2</v>
      </c>
      <c r="I128" s="149">
        <f t="shared" si="10"/>
        <v>0.9</v>
      </c>
      <c r="J128" s="372"/>
      <c r="K128" s="340"/>
      <c r="L128" s="343"/>
      <c r="M128" s="346"/>
      <c r="N128" s="331"/>
      <c r="O128" s="334"/>
    </row>
    <row r="129" spans="1:16" ht="15.75" thickBot="1" x14ac:dyDescent="0.3">
      <c r="A129" s="387"/>
      <c r="B129" s="338"/>
      <c r="C129" s="20" t="s">
        <v>27</v>
      </c>
      <c r="D129" s="21">
        <v>0.2</v>
      </c>
      <c r="E129" s="21">
        <v>0.2</v>
      </c>
      <c r="F129" s="21">
        <v>0.2</v>
      </c>
      <c r="G129" s="21"/>
      <c r="H129" s="21"/>
      <c r="I129" s="156">
        <f t="shared" si="10"/>
        <v>1</v>
      </c>
      <c r="J129" s="361"/>
      <c r="K129" s="341"/>
      <c r="L129" s="344"/>
      <c r="M129" s="347"/>
      <c r="N129" s="332"/>
      <c r="O129" s="335"/>
    </row>
    <row r="130" spans="1:16" ht="30.75" customHeight="1" x14ac:dyDescent="0.25">
      <c r="A130" s="385" t="s">
        <v>231</v>
      </c>
      <c r="B130" s="336" t="s">
        <v>232</v>
      </c>
      <c r="C130" s="14" t="s">
        <v>200</v>
      </c>
      <c r="D130" s="15">
        <f>SUM(D131:D131)+2.4</f>
        <v>2.4</v>
      </c>
      <c r="E130" s="15">
        <f>SUM(E131:E131)+2.4</f>
        <v>2.4</v>
      </c>
      <c r="F130" s="15">
        <f>SUM(F131:F131)+2.4</f>
        <v>2.4</v>
      </c>
      <c r="G130" s="15"/>
      <c r="H130" s="15"/>
      <c r="I130" s="160">
        <f t="shared" si="10"/>
        <v>1</v>
      </c>
      <c r="J130" s="41" t="s">
        <v>233</v>
      </c>
      <c r="K130" s="16" t="s">
        <v>35</v>
      </c>
      <c r="L130" s="17">
        <v>2</v>
      </c>
      <c r="M130" s="143">
        <v>1</v>
      </c>
      <c r="N130" s="41" t="s">
        <v>234</v>
      </c>
      <c r="O130" s="42" t="s">
        <v>1734</v>
      </c>
      <c r="P130" s="175"/>
    </row>
    <row r="131" spans="1:16" ht="30" customHeight="1" thickBot="1" x14ac:dyDescent="0.3">
      <c r="A131" s="387"/>
      <c r="B131" s="338"/>
      <c r="C131" s="20"/>
      <c r="D131" s="21"/>
      <c r="E131" s="21"/>
      <c r="F131" s="21"/>
      <c r="G131" s="21"/>
      <c r="H131" s="21"/>
      <c r="I131" s="156"/>
      <c r="J131" s="43" t="s">
        <v>235</v>
      </c>
      <c r="K131" s="22" t="s">
        <v>35</v>
      </c>
      <c r="L131" s="23">
        <v>280</v>
      </c>
      <c r="M131" s="134">
        <v>343</v>
      </c>
      <c r="N131" s="43" t="s">
        <v>236</v>
      </c>
      <c r="O131" s="44"/>
    </row>
    <row r="132" spans="1:16" ht="39" thickBot="1" x14ac:dyDescent="0.3">
      <c r="A132" s="13" t="s">
        <v>237</v>
      </c>
      <c r="B132" s="37" t="s">
        <v>238</v>
      </c>
      <c r="C132" s="14" t="s">
        <v>200</v>
      </c>
      <c r="D132" s="24">
        <v>31.4</v>
      </c>
      <c r="E132" s="24">
        <v>31.4</v>
      </c>
      <c r="F132" s="24">
        <v>31.4</v>
      </c>
      <c r="G132" s="24"/>
      <c r="H132" s="24"/>
      <c r="I132" s="158">
        <f t="shared" si="10"/>
        <v>1</v>
      </c>
      <c r="J132" s="41" t="s">
        <v>136</v>
      </c>
      <c r="K132" s="16" t="s">
        <v>23</v>
      </c>
      <c r="L132" s="17">
        <v>100</v>
      </c>
      <c r="M132" s="136">
        <v>100</v>
      </c>
      <c r="N132" s="41"/>
      <c r="O132" s="42"/>
      <c r="P132" s="181"/>
    </row>
    <row r="133" spans="1:16" ht="26.25" thickBot="1" x14ac:dyDescent="0.3">
      <c r="A133" s="13" t="s">
        <v>239</v>
      </c>
      <c r="B133" s="37" t="s">
        <v>240</v>
      </c>
      <c r="C133" s="14" t="s">
        <v>200</v>
      </c>
      <c r="D133" s="24">
        <v>38.200000000000003</v>
      </c>
      <c r="E133" s="24">
        <v>38.200000000000003</v>
      </c>
      <c r="F133" s="24">
        <v>38.200000000000003</v>
      </c>
      <c r="G133" s="24"/>
      <c r="H133" s="24"/>
      <c r="I133" s="158">
        <f t="shared" si="10"/>
        <v>1</v>
      </c>
      <c r="J133" s="41" t="s">
        <v>241</v>
      </c>
      <c r="K133" s="16" t="s">
        <v>23</v>
      </c>
      <c r="L133" s="17">
        <v>100</v>
      </c>
      <c r="M133" s="136">
        <v>100</v>
      </c>
      <c r="N133" s="41"/>
      <c r="O133" s="42"/>
      <c r="P133" s="181"/>
    </row>
    <row r="134" spans="1:16" ht="39" thickBot="1" x14ac:dyDescent="0.3">
      <c r="A134" s="13" t="s">
        <v>242</v>
      </c>
      <c r="B134" s="37" t="s">
        <v>243</v>
      </c>
      <c r="C134" s="14" t="s">
        <v>200</v>
      </c>
      <c r="D134" s="24">
        <v>131.69999999999999</v>
      </c>
      <c r="E134" s="24">
        <v>131.69999999999999</v>
      </c>
      <c r="F134" s="24">
        <v>131.69999999999999</v>
      </c>
      <c r="G134" s="24"/>
      <c r="H134" s="24"/>
      <c r="I134" s="158">
        <f t="shared" si="10"/>
        <v>1</v>
      </c>
      <c r="J134" s="41" t="s">
        <v>136</v>
      </c>
      <c r="K134" s="16" t="s">
        <v>23</v>
      </c>
      <c r="L134" s="17">
        <v>100</v>
      </c>
      <c r="M134" s="136">
        <v>100</v>
      </c>
      <c r="N134" s="41"/>
      <c r="O134" s="42"/>
      <c r="P134" s="181"/>
    </row>
    <row r="135" spans="1:16" ht="29.25" customHeight="1" thickBot="1" x14ac:dyDescent="0.3">
      <c r="A135" s="13" t="s">
        <v>244</v>
      </c>
      <c r="B135" s="37" t="s">
        <v>245</v>
      </c>
      <c r="C135" s="14" t="s">
        <v>27</v>
      </c>
      <c r="D135" s="24">
        <v>31.5</v>
      </c>
      <c r="E135" s="24">
        <v>31.5</v>
      </c>
      <c r="F135" s="24">
        <v>31.5</v>
      </c>
      <c r="G135" s="24"/>
      <c r="H135" s="24"/>
      <c r="I135" s="158">
        <f t="shared" si="10"/>
        <v>1</v>
      </c>
      <c r="J135" s="41" t="s">
        <v>136</v>
      </c>
      <c r="K135" s="16" t="s">
        <v>23</v>
      </c>
      <c r="L135" s="17">
        <v>100</v>
      </c>
      <c r="M135" s="136">
        <v>100</v>
      </c>
      <c r="N135" s="41"/>
      <c r="O135" s="42"/>
      <c r="P135" s="181"/>
    </row>
    <row r="136" spans="1:16" ht="26.25" thickBot="1" x14ac:dyDescent="0.3">
      <c r="A136" s="9" t="s">
        <v>246</v>
      </c>
      <c r="B136" s="36" t="s">
        <v>247</v>
      </c>
      <c r="C136" s="10"/>
      <c r="D136" s="11">
        <f>D137+D139+D149</f>
        <v>9067.5</v>
      </c>
      <c r="E136" s="11">
        <f>E137+E139+E149</f>
        <v>9067.5</v>
      </c>
      <c r="F136" s="11">
        <f>F137+F139+F149</f>
        <v>8557.8000000000011</v>
      </c>
      <c r="G136" s="11">
        <f>G137+G139+G149</f>
        <v>509.70000000000005</v>
      </c>
      <c r="H136" s="11">
        <f>H137+H139+H149</f>
        <v>509.70000000000005</v>
      </c>
      <c r="I136" s="161">
        <f t="shared" si="10"/>
        <v>0.94378825475599681</v>
      </c>
      <c r="J136" s="45" t="s">
        <v>248</v>
      </c>
      <c r="K136" s="12" t="s">
        <v>23</v>
      </c>
      <c r="L136" s="50">
        <v>10</v>
      </c>
      <c r="M136" s="50">
        <v>16.3</v>
      </c>
      <c r="N136" s="424"/>
      <c r="O136" s="425"/>
    </row>
    <row r="137" spans="1:16" ht="78.75" customHeight="1" x14ac:dyDescent="0.25">
      <c r="A137" s="385" t="s">
        <v>249</v>
      </c>
      <c r="B137" s="336" t="s">
        <v>250</v>
      </c>
      <c r="C137" s="14"/>
      <c r="D137" s="15">
        <f>SUM(D138:D138)</f>
        <v>8722.5</v>
      </c>
      <c r="E137" s="15">
        <f>SUM(E138:E138)</f>
        <v>8722.5</v>
      </c>
      <c r="F137" s="15">
        <f>SUM(F138:F138)</f>
        <v>8245.7000000000007</v>
      </c>
      <c r="G137" s="15">
        <f>SUM(G138:G138)</f>
        <v>476.8</v>
      </c>
      <c r="H137" s="15">
        <f>SUM(H138:H138)</f>
        <v>476.8</v>
      </c>
      <c r="I137" s="160">
        <f t="shared" si="10"/>
        <v>0.94533677271424488</v>
      </c>
      <c r="J137" s="41" t="s">
        <v>251</v>
      </c>
      <c r="K137" s="16" t="s">
        <v>108</v>
      </c>
      <c r="L137" s="17">
        <v>14</v>
      </c>
      <c r="M137" s="143">
        <v>11</v>
      </c>
      <c r="N137" s="41" t="s">
        <v>1736</v>
      </c>
      <c r="O137" s="42" t="s">
        <v>1735</v>
      </c>
      <c r="P137" s="175"/>
    </row>
    <row r="138" spans="1:16" ht="66.75" customHeight="1" thickBot="1" x14ac:dyDescent="0.3">
      <c r="A138" s="387"/>
      <c r="B138" s="338"/>
      <c r="C138" s="20" t="s">
        <v>43</v>
      </c>
      <c r="D138" s="21">
        <v>8722.5</v>
      </c>
      <c r="E138" s="21">
        <v>8722.5</v>
      </c>
      <c r="F138" s="21">
        <v>8245.7000000000007</v>
      </c>
      <c r="G138" s="21">
        <v>476.8</v>
      </c>
      <c r="H138" s="21">
        <v>476.8</v>
      </c>
      <c r="I138" s="156">
        <f t="shared" si="10"/>
        <v>0.94533677271424488</v>
      </c>
      <c r="J138" s="43" t="s">
        <v>252</v>
      </c>
      <c r="K138" s="22" t="s">
        <v>23</v>
      </c>
      <c r="L138" s="23">
        <v>100</v>
      </c>
      <c r="M138" s="140">
        <v>62.2</v>
      </c>
      <c r="N138" s="219" t="s">
        <v>2084</v>
      </c>
      <c r="O138" s="44" t="s">
        <v>1611</v>
      </c>
    </row>
    <row r="139" spans="1:16" ht="26.25" thickBot="1" x14ac:dyDescent="0.3">
      <c r="A139" s="13" t="s">
        <v>253</v>
      </c>
      <c r="B139" s="37" t="s">
        <v>254</v>
      </c>
      <c r="C139" s="14"/>
      <c r="D139" s="15">
        <f>SUM(D140:D148)</f>
        <v>199.99999999999994</v>
      </c>
      <c r="E139" s="15">
        <f>SUM(E140:E148)</f>
        <v>199.99999999999994</v>
      </c>
      <c r="F139" s="15">
        <f>SUM(F140:F148)</f>
        <v>199.7</v>
      </c>
      <c r="G139" s="15">
        <f>SUM(G140:G148)</f>
        <v>0.30000000000000004</v>
      </c>
      <c r="H139" s="15">
        <f>SUM(H140:H148)</f>
        <v>0.30000000000000004</v>
      </c>
      <c r="I139" s="158">
        <f t="shared" si="10"/>
        <v>0.99850000000000028</v>
      </c>
      <c r="J139" s="41"/>
      <c r="K139" s="16"/>
      <c r="L139" s="48"/>
      <c r="M139" s="17"/>
      <c r="N139" s="41"/>
      <c r="O139" s="42"/>
      <c r="P139" s="181"/>
    </row>
    <row r="140" spans="1:16" ht="77.25" thickBot="1" x14ac:dyDescent="0.3">
      <c r="A140" s="13" t="s">
        <v>255</v>
      </c>
      <c r="B140" s="37" t="s">
        <v>256</v>
      </c>
      <c r="C140" s="14" t="s">
        <v>43</v>
      </c>
      <c r="D140" s="24">
        <v>27.3</v>
      </c>
      <c r="E140" s="24">
        <v>27.3</v>
      </c>
      <c r="F140" s="24">
        <v>27.3</v>
      </c>
      <c r="G140" s="24"/>
      <c r="H140" s="24"/>
      <c r="I140" s="158">
        <f t="shared" si="10"/>
        <v>1</v>
      </c>
      <c r="J140" s="41" t="s">
        <v>159</v>
      </c>
      <c r="K140" s="16" t="s">
        <v>23</v>
      </c>
      <c r="L140" s="17">
        <v>100</v>
      </c>
      <c r="M140" s="136">
        <v>100</v>
      </c>
      <c r="N140" s="41"/>
      <c r="O140" s="42"/>
    </row>
    <row r="141" spans="1:16" ht="39" thickBot="1" x14ac:dyDescent="0.3">
      <c r="A141" s="13" t="s">
        <v>257</v>
      </c>
      <c r="B141" s="37" t="s">
        <v>258</v>
      </c>
      <c r="C141" s="14" t="s">
        <v>43</v>
      </c>
      <c r="D141" s="24">
        <v>14.5</v>
      </c>
      <c r="E141" s="24">
        <v>14.5</v>
      </c>
      <c r="F141" s="24">
        <v>14.4</v>
      </c>
      <c r="G141" s="24">
        <v>0.1</v>
      </c>
      <c r="H141" s="24">
        <v>0.1</v>
      </c>
      <c r="I141" s="158">
        <f t="shared" si="10"/>
        <v>0.99310344827586206</v>
      </c>
      <c r="J141" s="41" t="s">
        <v>159</v>
      </c>
      <c r="K141" s="16" t="s">
        <v>23</v>
      </c>
      <c r="L141" s="17">
        <v>100</v>
      </c>
      <c r="M141" s="136">
        <v>100</v>
      </c>
      <c r="N141" s="41"/>
      <c r="O141" s="42"/>
    </row>
    <row r="142" spans="1:16" ht="51.75" thickBot="1" x14ac:dyDescent="0.3">
      <c r="A142" s="13" t="s">
        <v>259</v>
      </c>
      <c r="B142" s="37" t="s">
        <v>260</v>
      </c>
      <c r="C142" s="14" t="s">
        <v>43</v>
      </c>
      <c r="D142" s="24">
        <v>28.9</v>
      </c>
      <c r="E142" s="24">
        <v>28.9</v>
      </c>
      <c r="F142" s="24">
        <v>28.8</v>
      </c>
      <c r="G142" s="24">
        <v>0.1</v>
      </c>
      <c r="H142" s="24">
        <v>0.1</v>
      </c>
      <c r="I142" s="158">
        <f t="shared" si="10"/>
        <v>0.99653979238754331</v>
      </c>
      <c r="J142" s="41" t="s">
        <v>159</v>
      </c>
      <c r="K142" s="16" t="s">
        <v>23</v>
      </c>
      <c r="L142" s="17">
        <v>100</v>
      </c>
      <c r="M142" s="136">
        <v>100</v>
      </c>
      <c r="N142" s="41"/>
      <c r="O142" s="42"/>
    </row>
    <row r="143" spans="1:16" ht="81.75" customHeight="1" thickBot="1" x14ac:dyDescent="0.3">
      <c r="A143" s="13" t="s">
        <v>261</v>
      </c>
      <c r="B143" s="37" t="s">
        <v>262</v>
      </c>
      <c r="C143" s="14" t="s">
        <v>43</v>
      </c>
      <c r="D143" s="24">
        <v>0.2</v>
      </c>
      <c r="E143" s="24">
        <v>0.2</v>
      </c>
      <c r="F143" s="24">
        <v>0.2</v>
      </c>
      <c r="G143" s="24"/>
      <c r="H143" s="24"/>
      <c r="I143" s="158">
        <f t="shared" si="10"/>
        <v>1</v>
      </c>
      <c r="J143" s="41" t="s">
        <v>159</v>
      </c>
      <c r="K143" s="16" t="s">
        <v>23</v>
      </c>
      <c r="L143" s="17">
        <v>100</v>
      </c>
      <c r="M143" s="136">
        <v>100</v>
      </c>
      <c r="N143" s="41"/>
      <c r="O143" s="42"/>
    </row>
    <row r="144" spans="1:16" ht="51.75" thickBot="1" x14ac:dyDescent="0.3">
      <c r="A144" s="13" t="s">
        <v>263</v>
      </c>
      <c r="B144" s="37" t="s">
        <v>264</v>
      </c>
      <c r="C144" s="14" t="s">
        <v>43</v>
      </c>
      <c r="D144" s="24">
        <v>70.5</v>
      </c>
      <c r="E144" s="24">
        <v>70.5</v>
      </c>
      <c r="F144" s="24">
        <v>70.400000000000006</v>
      </c>
      <c r="G144" s="24">
        <v>0.1</v>
      </c>
      <c r="H144" s="24">
        <v>0.1</v>
      </c>
      <c r="I144" s="158">
        <f t="shared" si="10"/>
        <v>0.99858156028368805</v>
      </c>
      <c r="J144" s="41" t="s">
        <v>159</v>
      </c>
      <c r="K144" s="16" t="s">
        <v>23</v>
      </c>
      <c r="L144" s="17">
        <v>100</v>
      </c>
      <c r="M144" s="136">
        <v>100</v>
      </c>
      <c r="N144" s="41"/>
      <c r="O144" s="42"/>
    </row>
    <row r="145" spans="1:16" ht="39" thickBot="1" x14ac:dyDescent="0.3">
      <c r="A145" s="13" t="s">
        <v>265</v>
      </c>
      <c r="B145" s="37" t="s">
        <v>266</v>
      </c>
      <c r="C145" s="14" t="s">
        <v>43</v>
      </c>
      <c r="D145" s="24">
        <v>0.2</v>
      </c>
      <c r="E145" s="24">
        <v>0.2</v>
      </c>
      <c r="F145" s="24">
        <v>0.2</v>
      </c>
      <c r="G145" s="24"/>
      <c r="H145" s="24"/>
      <c r="I145" s="158">
        <f t="shared" si="10"/>
        <v>1</v>
      </c>
      <c r="J145" s="41" t="s">
        <v>159</v>
      </c>
      <c r="K145" s="16" t="s">
        <v>23</v>
      </c>
      <c r="L145" s="17">
        <v>100</v>
      </c>
      <c r="M145" s="136">
        <v>100</v>
      </c>
      <c r="N145" s="41"/>
      <c r="O145" s="42"/>
    </row>
    <row r="146" spans="1:16" ht="51.75" thickBot="1" x14ac:dyDescent="0.3">
      <c r="A146" s="13" t="s">
        <v>267</v>
      </c>
      <c r="B146" s="37" t="s">
        <v>268</v>
      </c>
      <c r="C146" s="14" t="s">
        <v>43</v>
      </c>
      <c r="D146" s="24">
        <v>58</v>
      </c>
      <c r="E146" s="24">
        <v>58</v>
      </c>
      <c r="F146" s="24">
        <v>58</v>
      </c>
      <c r="G146" s="24"/>
      <c r="H146" s="24"/>
      <c r="I146" s="158">
        <f t="shared" si="10"/>
        <v>1</v>
      </c>
      <c r="J146" s="41" t="s">
        <v>159</v>
      </c>
      <c r="K146" s="16" t="s">
        <v>23</v>
      </c>
      <c r="L146" s="17">
        <v>100</v>
      </c>
      <c r="M146" s="136">
        <v>100</v>
      </c>
      <c r="N146" s="41"/>
      <c r="O146" s="42"/>
    </row>
    <row r="147" spans="1:16" ht="39" thickBot="1" x14ac:dyDescent="0.3">
      <c r="A147" s="13" t="s">
        <v>269</v>
      </c>
      <c r="B147" s="37" t="s">
        <v>270</v>
      </c>
      <c r="C147" s="14" t="s">
        <v>43</v>
      </c>
      <c r="D147" s="24">
        <v>0.2</v>
      </c>
      <c r="E147" s="24">
        <v>0.2</v>
      </c>
      <c r="F147" s="24">
        <v>0.2</v>
      </c>
      <c r="G147" s="24"/>
      <c r="H147" s="24"/>
      <c r="I147" s="158">
        <f t="shared" si="10"/>
        <v>1</v>
      </c>
      <c r="J147" s="41" t="s">
        <v>159</v>
      </c>
      <c r="K147" s="16" t="s">
        <v>23</v>
      </c>
      <c r="L147" s="17">
        <v>100</v>
      </c>
      <c r="M147" s="136">
        <v>100</v>
      </c>
      <c r="N147" s="41"/>
      <c r="O147" s="42"/>
    </row>
    <row r="148" spans="1:16" ht="51.75" thickBot="1" x14ac:dyDescent="0.3">
      <c r="A148" s="13" t="s">
        <v>271</v>
      </c>
      <c r="B148" s="37" t="s">
        <v>272</v>
      </c>
      <c r="C148" s="14" t="s">
        <v>43</v>
      </c>
      <c r="D148" s="24">
        <v>0.2</v>
      </c>
      <c r="E148" s="24">
        <v>0.2</v>
      </c>
      <c r="F148" s="24">
        <v>0.2</v>
      </c>
      <c r="G148" s="24"/>
      <c r="H148" s="24"/>
      <c r="I148" s="158">
        <f t="shared" si="10"/>
        <v>1</v>
      </c>
      <c r="J148" s="41" t="s">
        <v>159</v>
      </c>
      <c r="K148" s="16" t="s">
        <v>23</v>
      </c>
      <c r="L148" s="17">
        <v>100</v>
      </c>
      <c r="M148" s="136">
        <v>100</v>
      </c>
      <c r="N148" s="41"/>
      <c r="O148" s="42"/>
    </row>
    <row r="149" spans="1:16" ht="26.25" thickBot="1" x14ac:dyDescent="0.3">
      <c r="A149" s="13" t="s">
        <v>273</v>
      </c>
      <c r="B149" s="37" t="s">
        <v>274</v>
      </c>
      <c r="C149" s="14"/>
      <c r="D149" s="15">
        <f>SUM(D150:D151)</f>
        <v>145</v>
      </c>
      <c r="E149" s="15">
        <f>SUM(E150:E151)</f>
        <v>145</v>
      </c>
      <c r="F149" s="15">
        <f>SUM(F150:F151)</f>
        <v>112.4</v>
      </c>
      <c r="G149" s="15">
        <f>SUM(G150:G151)</f>
        <v>32.6</v>
      </c>
      <c r="H149" s="15">
        <f>SUM(H150:H151)</f>
        <v>32.6</v>
      </c>
      <c r="I149" s="158">
        <f t="shared" si="10"/>
        <v>0.77517241379310353</v>
      </c>
      <c r="J149" s="41"/>
      <c r="K149" s="16"/>
      <c r="L149" s="48"/>
      <c r="M149" s="17"/>
      <c r="N149" s="41"/>
      <c r="O149" s="42"/>
      <c r="P149" s="181"/>
    </row>
    <row r="150" spans="1:16" ht="51.75" thickBot="1" x14ac:dyDescent="0.3">
      <c r="A150" s="13" t="s">
        <v>275</v>
      </c>
      <c r="B150" s="37" t="s">
        <v>276</v>
      </c>
      <c r="C150" s="14" t="s">
        <v>43</v>
      </c>
      <c r="D150" s="24">
        <v>15</v>
      </c>
      <c r="E150" s="24">
        <v>15</v>
      </c>
      <c r="F150" s="24">
        <v>15</v>
      </c>
      <c r="G150" s="24"/>
      <c r="H150" s="24"/>
      <c r="I150" s="158">
        <f t="shared" si="10"/>
        <v>1</v>
      </c>
      <c r="J150" s="41" t="s">
        <v>277</v>
      </c>
      <c r="K150" s="16" t="s">
        <v>35</v>
      </c>
      <c r="L150" s="17">
        <v>73</v>
      </c>
      <c r="M150" s="136">
        <v>73</v>
      </c>
      <c r="N150" s="41"/>
      <c r="O150" s="42"/>
    </row>
    <row r="151" spans="1:16" ht="39" thickBot="1" x14ac:dyDescent="0.3">
      <c r="A151" s="13" t="s">
        <v>278</v>
      </c>
      <c r="B151" s="37" t="s">
        <v>279</v>
      </c>
      <c r="C151" s="14" t="s">
        <v>43</v>
      </c>
      <c r="D151" s="24">
        <v>130</v>
      </c>
      <c r="E151" s="24">
        <v>130</v>
      </c>
      <c r="F151" s="24">
        <v>97.4</v>
      </c>
      <c r="G151" s="24">
        <v>32.6</v>
      </c>
      <c r="H151" s="24">
        <v>32.6</v>
      </c>
      <c r="I151" s="158">
        <f t="shared" si="10"/>
        <v>0.74923076923076926</v>
      </c>
      <c r="J151" s="41" t="s">
        <v>280</v>
      </c>
      <c r="K151" s="16" t="s">
        <v>35</v>
      </c>
      <c r="L151" s="17">
        <v>100</v>
      </c>
      <c r="M151" s="136">
        <v>100</v>
      </c>
      <c r="N151" s="41"/>
      <c r="O151" s="42"/>
    </row>
    <row r="152" spans="1:16" ht="51.75" thickBot="1" x14ac:dyDescent="0.3">
      <c r="A152" s="9" t="s">
        <v>281</v>
      </c>
      <c r="B152" s="36" t="s">
        <v>282</v>
      </c>
      <c r="C152" s="10"/>
      <c r="D152" s="11">
        <f>D153+D154+D155+D158+D161+D162+D163+D165+D166</f>
        <v>2934.6000000000004</v>
      </c>
      <c r="E152" s="11">
        <f>E153+E154+E155+E158+E161+E162+E163+E165+E166</f>
        <v>2934.6000000000004</v>
      </c>
      <c r="F152" s="11">
        <f>F153+F154+F155+F158+F161+F162+F163+F165+F166</f>
        <v>2496.2999999999997</v>
      </c>
      <c r="G152" s="11">
        <f>G153+G154+G155+G158+G161+G162+G163+G165+G166</f>
        <v>438.4</v>
      </c>
      <c r="H152" s="11">
        <f>H153+H154+H155+H158+H161+H162+H163+H165+H166</f>
        <v>438.4</v>
      </c>
      <c r="I152" s="161">
        <f t="shared" ref="I152:I167" si="11">SUM(F152/E152)</f>
        <v>0.85064404007360439</v>
      </c>
      <c r="J152" s="45" t="s">
        <v>283</v>
      </c>
      <c r="K152" s="12" t="s">
        <v>23</v>
      </c>
      <c r="L152" s="50">
        <v>92</v>
      </c>
      <c r="M152" s="50">
        <v>92</v>
      </c>
      <c r="N152" s="45"/>
      <c r="O152" s="52"/>
    </row>
    <row r="153" spans="1:16" ht="143.25" customHeight="1" thickBot="1" x14ac:dyDescent="0.3">
      <c r="A153" s="13" t="s">
        <v>284</v>
      </c>
      <c r="B153" s="37" t="s">
        <v>285</v>
      </c>
      <c r="C153" s="14" t="s">
        <v>43</v>
      </c>
      <c r="D153" s="24">
        <v>50</v>
      </c>
      <c r="E153" s="24">
        <v>50</v>
      </c>
      <c r="F153" s="24">
        <v>26.3</v>
      </c>
      <c r="G153" s="24">
        <v>23.7</v>
      </c>
      <c r="H153" s="24">
        <v>23.7</v>
      </c>
      <c r="I153" s="158">
        <f t="shared" si="11"/>
        <v>0.52600000000000002</v>
      </c>
      <c r="J153" s="41" t="s">
        <v>286</v>
      </c>
      <c r="K153" s="16" t="s">
        <v>35</v>
      </c>
      <c r="L153" s="17">
        <v>100</v>
      </c>
      <c r="M153" s="176">
        <v>111</v>
      </c>
      <c r="N153" s="41" t="s">
        <v>1846</v>
      </c>
      <c r="O153" s="42"/>
      <c r="P153" s="284"/>
    </row>
    <row r="154" spans="1:16" ht="143.25" customHeight="1" thickBot="1" x14ac:dyDescent="0.3">
      <c r="A154" s="13" t="s">
        <v>287</v>
      </c>
      <c r="B154" s="37" t="s">
        <v>288</v>
      </c>
      <c r="C154" s="14" t="s">
        <v>43</v>
      </c>
      <c r="D154" s="24">
        <v>30</v>
      </c>
      <c r="E154" s="24">
        <v>30</v>
      </c>
      <c r="F154" s="24">
        <v>15.1</v>
      </c>
      <c r="G154" s="24">
        <v>14.9</v>
      </c>
      <c r="H154" s="24">
        <v>14.9</v>
      </c>
      <c r="I154" s="158">
        <f t="shared" si="11"/>
        <v>0.5033333333333333</v>
      </c>
      <c r="J154" s="41" t="s">
        <v>289</v>
      </c>
      <c r="K154" s="16" t="s">
        <v>23</v>
      </c>
      <c r="L154" s="17">
        <v>100</v>
      </c>
      <c r="M154" s="136">
        <v>100</v>
      </c>
      <c r="N154" s="41" t="s">
        <v>1847</v>
      </c>
      <c r="O154" s="42"/>
      <c r="P154" s="181"/>
    </row>
    <row r="155" spans="1:16" ht="139.5" customHeight="1" x14ac:dyDescent="0.25">
      <c r="A155" s="385" t="s">
        <v>290</v>
      </c>
      <c r="B155" s="336" t="s">
        <v>291</v>
      </c>
      <c r="C155" s="14"/>
      <c r="D155" s="15">
        <f>SUM(D156:D157)</f>
        <v>105</v>
      </c>
      <c r="E155" s="15">
        <f>SUM(E156:E157)</f>
        <v>105</v>
      </c>
      <c r="F155" s="15">
        <f>SUM(F156:F157)</f>
        <v>62.7</v>
      </c>
      <c r="G155" s="15">
        <f>SUM(G156:G157)</f>
        <v>42.3</v>
      </c>
      <c r="H155" s="15">
        <f>SUM(H156:H157)</f>
        <v>42.3</v>
      </c>
      <c r="I155" s="159">
        <f t="shared" si="11"/>
        <v>0.5971428571428572</v>
      </c>
      <c r="J155" s="371" t="s">
        <v>292</v>
      </c>
      <c r="K155" s="339" t="s">
        <v>108</v>
      </c>
      <c r="L155" s="342">
        <v>5</v>
      </c>
      <c r="M155" s="348">
        <v>8</v>
      </c>
      <c r="N155" s="374" t="s">
        <v>1848</v>
      </c>
      <c r="O155" s="351"/>
      <c r="P155" s="284"/>
    </row>
    <row r="156" spans="1:16" x14ac:dyDescent="0.25">
      <c r="A156" s="386"/>
      <c r="B156" s="337"/>
      <c r="C156" s="20" t="s">
        <v>24</v>
      </c>
      <c r="D156" s="21">
        <v>35</v>
      </c>
      <c r="E156" s="21">
        <v>35</v>
      </c>
      <c r="F156" s="21">
        <v>35</v>
      </c>
      <c r="G156" s="21"/>
      <c r="H156" s="67"/>
      <c r="I156" s="149">
        <f t="shared" si="11"/>
        <v>1</v>
      </c>
      <c r="J156" s="372"/>
      <c r="K156" s="340"/>
      <c r="L156" s="343"/>
      <c r="M156" s="349"/>
      <c r="N156" s="375"/>
      <c r="O156" s="352"/>
    </row>
    <row r="157" spans="1:16" ht="15.75" thickBot="1" x14ac:dyDescent="0.3">
      <c r="A157" s="387"/>
      <c r="B157" s="338"/>
      <c r="C157" s="20" t="s">
        <v>43</v>
      </c>
      <c r="D157" s="21">
        <v>70</v>
      </c>
      <c r="E157" s="21">
        <v>70</v>
      </c>
      <c r="F157" s="21">
        <v>27.7</v>
      </c>
      <c r="G157" s="21">
        <v>42.3</v>
      </c>
      <c r="H157" s="21">
        <v>42.3</v>
      </c>
      <c r="I157" s="156">
        <f t="shared" si="11"/>
        <v>0.39571428571428569</v>
      </c>
      <c r="J157" s="361"/>
      <c r="K157" s="341"/>
      <c r="L157" s="344"/>
      <c r="M157" s="350"/>
      <c r="N157" s="376"/>
      <c r="O157" s="353"/>
    </row>
    <row r="158" spans="1:16" ht="54.75" customHeight="1" x14ac:dyDescent="0.25">
      <c r="A158" s="385" t="s">
        <v>293</v>
      </c>
      <c r="B158" s="336" t="s">
        <v>294</v>
      </c>
      <c r="C158" s="14"/>
      <c r="D158" s="15">
        <f>SUM(D159:D160)</f>
        <v>2190.3000000000002</v>
      </c>
      <c r="E158" s="15">
        <f>SUM(E159:E160)</f>
        <v>2190.3000000000002</v>
      </c>
      <c r="F158" s="15">
        <f>SUM(F159:F160)</f>
        <v>1887.9</v>
      </c>
      <c r="G158" s="15">
        <f>SUM(G159:G160)</f>
        <v>302.39999999999998</v>
      </c>
      <c r="H158" s="15">
        <f>SUM(H159:H160)</f>
        <v>302.39999999999998</v>
      </c>
      <c r="I158" s="152">
        <f t="shared" si="11"/>
        <v>0.86193672099712371</v>
      </c>
      <c r="J158" s="336" t="s">
        <v>295</v>
      </c>
      <c r="K158" s="339" t="s">
        <v>23</v>
      </c>
      <c r="L158" s="342">
        <v>100</v>
      </c>
      <c r="M158" s="345">
        <v>100</v>
      </c>
      <c r="N158" s="336" t="s">
        <v>1849</v>
      </c>
      <c r="O158" s="351"/>
      <c r="P158" s="181"/>
    </row>
    <row r="159" spans="1:16" x14ac:dyDescent="0.25">
      <c r="A159" s="386"/>
      <c r="B159" s="337"/>
      <c r="C159" s="20" t="s">
        <v>43</v>
      </c>
      <c r="D159" s="21">
        <v>1756.7</v>
      </c>
      <c r="E159" s="21">
        <v>1756.7</v>
      </c>
      <c r="F159" s="21">
        <v>1756.7</v>
      </c>
      <c r="G159" s="21"/>
      <c r="H159" s="67"/>
      <c r="I159" s="149">
        <f t="shared" si="11"/>
        <v>1</v>
      </c>
      <c r="J159" s="372"/>
      <c r="K159" s="340"/>
      <c r="L159" s="343"/>
      <c r="M159" s="346"/>
      <c r="N159" s="337"/>
      <c r="O159" s="352"/>
    </row>
    <row r="160" spans="1:16" ht="15.75" thickBot="1" x14ac:dyDescent="0.3">
      <c r="A160" s="387"/>
      <c r="B160" s="338"/>
      <c r="C160" s="20" t="s">
        <v>24</v>
      </c>
      <c r="D160" s="21">
        <v>433.6</v>
      </c>
      <c r="E160" s="21">
        <v>433.6</v>
      </c>
      <c r="F160" s="21">
        <v>131.19999999999999</v>
      </c>
      <c r="G160" s="21">
        <v>302.39999999999998</v>
      </c>
      <c r="H160" s="21">
        <v>302.39999999999998</v>
      </c>
      <c r="I160" s="156">
        <f t="shared" si="11"/>
        <v>0.30258302583025826</v>
      </c>
      <c r="J160" s="338"/>
      <c r="K160" s="341"/>
      <c r="L160" s="344"/>
      <c r="M160" s="347"/>
      <c r="N160" s="338"/>
      <c r="O160" s="353"/>
    </row>
    <row r="161" spans="1:19" ht="39" thickBot="1" x14ac:dyDescent="0.3">
      <c r="A161" s="13" t="s">
        <v>296</v>
      </c>
      <c r="B161" s="37" t="s">
        <v>297</v>
      </c>
      <c r="C161" s="14" t="s">
        <v>43</v>
      </c>
      <c r="D161" s="24">
        <v>54.5</v>
      </c>
      <c r="E161" s="24">
        <v>54.5</v>
      </c>
      <c r="F161" s="24">
        <v>10</v>
      </c>
      <c r="G161" s="24">
        <v>44.5</v>
      </c>
      <c r="H161" s="24">
        <v>44.5</v>
      </c>
      <c r="I161" s="156">
        <f t="shared" si="11"/>
        <v>0.1834862385321101</v>
      </c>
      <c r="J161" s="41" t="s">
        <v>298</v>
      </c>
      <c r="K161" s="16" t="s">
        <v>23</v>
      </c>
      <c r="L161" s="17">
        <v>100</v>
      </c>
      <c r="M161" s="136">
        <v>100</v>
      </c>
      <c r="N161" s="41"/>
      <c r="O161" s="42"/>
      <c r="P161" s="181"/>
    </row>
    <row r="162" spans="1:19" ht="64.5" thickBot="1" x14ac:dyDescent="0.3">
      <c r="A162" s="13" t="s">
        <v>299</v>
      </c>
      <c r="B162" s="37" t="s">
        <v>300</v>
      </c>
      <c r="C162" s="14" t="s">
        <v>43</v>
      </c>
      <c r="D162" s="24">
        <v>2</v>
      </c>
      <c r="E162" s="24">
        <v>2</v>
      </c>
      <c r="F162" s="24">
        <v>1.8</v>
      </c>
      <c r="G162" s="24">
        <v>0.2</v>
      </c>
      <c r="H162" s="24">
        <v>0.2</v>
      </c>
      <c r="I162" s="156">
        <f t="shared" si="11"/>
        <v>0.9</v>
      </c>
      <c r="J162" s="41" t="s">
        <v>301</v>
      </c>
      <c r="K162" s="16" t="s">
        <v>35</v>
      </c>
      <c r="L162" s="17">
        <v>3</v>
      </c>
      <c r="M162" s="176">
        <v>7</v>
      </c>
      <c r="N162" s="124" t="s">
        <v>1850</v>
      </c>
      <c r="O162" s="42"/>
      <c r="P162" s="284"/>
    </row>
    <row r="163" spans="1:19" ht="90.75" customHeight="1" x14ac:dyDescent="0.25">
      <c r="A163" s="385" t="s">
        <v>302</v>
      </c>
      <c r="B163" s="336" t="s">
        <v>303</v>
      </c>
      <c r="C163" s="14" t="s">
        <v>43</v>
      </c>
      <c r="D163" s="15">
        <f>SUM(D164:D164)+440</f>
        <v>440</v>
      </c>
      <c r="E163" s="15">
        <f>SUM(E164:E164)+440</f>
        <v>440</v>
      </c>
      <c r="F163" s="15">
        <f>SUM(F164:F164)+439.9</f>
        <v>439.9</v>
      </c>
      <c r="G163" s="15">
        <f>SUM(G164:G164)+0.1</f>
        <v>0.1</v>
      </c>
      <c r="H163" s="15">
        <f>SUM(H164:H164)+0.1</f>
        <v>0.1</v>
      </c>
      <c r="I163" s="160">
        <f t="shared" si="11"/>
        <v>0.99977272727272726</v>
      </c>
      <c r="J163" s="41" t="s">
        <v>304</v>
      </c>
      <c r="K163" s="16" t="s">
        <v>35</v>
      </c>
      <c r="L163" s="17">
        <v>50</v>
      </c>
      <c r="M163" s="190">
        <v>67</v>
      </c>
      <c r="N163" s="124" t="s">
        <v>1851</v>
      </c>
      <c r="O163" s="42"/>
      <c r="P163" s="284"/>
    </row>
    <row r="164" spans="1:19" ht="26.25" thickBot="1" x14ac:dyDescent="0.3">
      <c r="A164" s="387"/>
      <c r="B164" s="338"/>
      <c r="C164" s="20"/>
      <c r="D164" s="21"/>
      <c r="E164" s="21"/>
      <c r="F164" s="21"/>
      <c r="G164" s="21"/>
      <c r="H164" s="21"/>
      <c r="I164" s="162"/>
      <c r="J164" s="43" t="s">
        <v>305</v>
      </c>
      <c r="K164" s="22" t="s">
        <v>35</v>
      </c>
      <c r="L164" s="23">
        <v>850</v>
      </c>
      <c r="M164" s="135">
        <v>850</v>
      </c>
      <c r="N164" s="43" t="s">
        <v>1685</v>
      </c>
      <c r="O164" s="44"/>
    </row>
    <row r="165" spans="1:19" ht="26.25" thickBot="1" x14ac:dyDescent="0.3">
      <c r="A165" s="13" t="s">
        <v>306</v>
      </c>
      <c r="B165" s="37" t="s">
        <v>307</v>
      </c>
      <c r="C165" s="14" t="s">
        <v>43</v>
      </c>
      <c r="D165" s="24">
        <v>3</v>
      </c>
      <c r="E165" s="24">
        <v>3</v>
      </c>
      <c r="F165" s="24">
        <v>1.9</v>
      </c>
      <c r="G165" s="24">
        <v>1.1000000000000001</v>
      </c>
      <c r="H165" s="24">
        <v>1.1000000000000001</v>
      </c>
      <c r="I165" s="160">
        <f t="shared" si="11"/>
        <v>0.6333333333333333</v>
      </c>
      <c r="J165" s="41" t="s">
        <v>308</v>
      </c>
      <c r="K165" s="16" t="s">
        <v>35</v>
      </c>
      <c r="L165" s="17">
        <v>11</v>
      </c>
      <c r="M165" s="143">
        <v>6</v>
      </c>
      <c r="N165" s="41" t="s">
        <v>1686</v>
      </c>
      <c r="O165" s="42" t="s">
        <v>1685</v>
      </c>
      <c r="P165" s="175"/>
    </row>
    <row r="166" spans="1:19" ht="102" x14ac:dyDescent="0.25">
      <c r="A166" s="385" t="s">
        <v>309</v>
      </c>
      <c r="B166" s="336" t="s">
        <v>310</v>
      </c>
      <c r="C166" s="14"/>
      <c r="D166" s="15">
        <f>SUM(D167:D168)</f>
        <v>59.8</v>
      </c>
      <c r="E166" s="15">
        <f>SUM(E167:E168)</f>
        <v>59.8</v>
      </c>
      <c r="F166" s="15">
        <f>SUM(F167:F168)</f>
        <v>50.699999999999996</v>
      </c>
      <c r="G166" s="15">
        <f>SUM(G167:G168)</f>
        <v>9.1999999999999993</v>
      </c>
      <c r="H166" s="15">
        <f>SUM(H167:H168)</f>
        <v>9.1999999999999993</v>
      </c>
      <c r="I166" s="159">
        <f t="shared" si="11"/>
        <v>0.84782608695652173</v>
      </c>
      <c r="J166" s="41" t="s">
        <v>311</v>
      </c>
      <c r="K166" s="16" t="s">
        <v>35</v>
      </c>
      <c r="L166" s="17">
        <v>50</v>
      </c>
      <c r="M166" s="142">
        <v>105</v>
      </c>
      <c r="N166" s="41" t="s">
        <v>312</v>
      </c>
      <c r="O166" s="42"/>
      <c r="P166" s="181"/>
    </row>
    <row r="167" spans="1:19" ht="23.25" customHeight="1" x14ac:dyDescent="0.25">
      <c r="A167" s="386"/>
      <c r="B167" s="337"/>
      <c r="C167" s="20" t="s">
        <v>200</v>
      </c>
      <c r="D167" s="21">
        <v>50.3</v>
      </c>
      <c r="E167" s="21">
        <v>50.3</v>
      </c>
      <c r="F167" s="21">
        <v>44.9</v>
      </c>
      <c r="G167" s="21">
        <v>5.5</v>
      </c>
      <c r="H167" s="67">
        <v>5.5</v>
      </c>
      <c r="I167" s="149">
        <f t="shared" si="11"/>
        <v>0.89264413518886687</v>
      </c>
      <c r="J167" s="360" t="s">
        <v>313</v>
      </c>
      <c r="K167" s="362" t="s">
        <v>35</v>
      </c>
      <c r="L167" s="363">
        <v>2</v>
      </c>
      <c r="M167" s="381">
        <v>0</v>
      </c>
      <c r="N167" s="365" t="s">
        <v>1737</v>
      </c>
      <c r="O167" s="380" t="s">
        <v>1738</v>
      </c>
    </row>
    <row r="168" spans="1:19" ht="15.75" thickBot="1" x14ac:dyDescent="0.3">
      <c r="A168" s="387"/>
      <c r="B168" s="338"/>
      <c r="C168" s="20" t="s">
        <v>27</v>
      </c>
      <c r="D168" s="21">
        <v>9.5</v>
      </c>
      <c r="E168" s="21">
        <v>9.5</v>
      </c>
      <c r="F168" s="21">
        <v>5.8</v>
      </c>
      <c r="G168" s="21">
        <v>3.7</v>
      </c>
      <c r="H168" s="21">
        <v>3.7</v>
      </c>
      <c r="I168" s="162">
        <f>SUM(F168/E168)</f>
        <v>0.61052631578947369</v>
      </c>
      <c r="J168" s="361"/>
      <c r="K168" s="341"/>
      <c r="L168" s="344"/>
      <c r="M168" s="370"/>
      <c r="N168" s="338"/>
      <c r="O168" s="353"/>
    </row>
    <row r="169" spans="1:19" ht="16.5" thickBot="1" x14ac:dyDescent="0.3">
      <c r="A169" s="6" t="s">
        <v>314</v>
      </c>
      <c r="B169" s="35" t="s">
        <v>315</v>
      </c>
      <c r="C169" s="7"/>
      <c r="D169" s="8">
        <f>D170+D199</f>
        <v>9894.4000000000015</v>
      </c>
      <c r="E169" s="8">
        <f>E170+E199</f>
        <v>9894.4000000000015</v>
      </c>
      <c r="F169" s="8">
        <f>F170+F199+0.1</f>
        <v>9404.0000000000018</v>
      </c>
      <c r="G169" s="8">
        <f>G170+G199</f>
        <v>490.5</v>
      </c>
      <c r="H169" s="8">
        <f>H170+H199</f>
        <v>490.5</v>
      </c>
      <c r="I169" s="146">
        <f>SUM(F169/E169)</f>
        <v>0.95043661060802076</v>
      </c>
      <c r="J169" s="366"/>
      <c r="K169" s="367"/>
      <c r="L169" s="367"/>
      <c r="M169" s="367"/>
      <c r="N169" s="367"/>
      <c r="O169" s="368"/>
      <c r="Q169" s="312"/>
      <c r="R169" s="313" t="s">
        <v>1</v>
      </c>
      <c r="S169" s="314" t="s">
        <v>2102</v>
      </c>
    </row>
    <row r="170" spans="1:19" ht="55.5" customHeight="1" x14ac:dyDescent="0.25">
      <c r="A170" s="401" t="s">
        <v>316</v>
      </c>
      <c r="B170" s="404" t="s">
        <v>317</v>
      </c>
      <c r="C170" s="407"/>
      <c r="D170" s="395">
        <f>D171+D172+D173+D174+D175+D176+D177+D186+D187+D188+D192+D197+D198</f>
        <v>8844.2000000000007</v>
      </c>
      <c r="E170" s="395">
        <f>E171+E172+E173+E174+E175+E176+E177+E186+E187+E188+E192+E197+E198</f>
        <v>8844.2000000000007</v>
      </c>
      <c r="F170" s="395">
        <f>F171+F172+F173+F174+F175+F176+F177+F186+F187+F188+F192+F197+F198</f>
        <v>8484.2000000000007</v>
      </c>
      <c r="G170" s="395">
        <f>G171+G172+G173+G174+G175+G176+G177+G186+G187+G188+G192+G197+G198</f>
        <v>360</v>
      </c>
      <c r="H170" s="395">
        <f>H171+H172+H173+H174+H175+H176+H177+H186+H187+H188+H192+H197+H198</f>
        <v>360</v>
      </c>
      <c r="I170" s="398">
        <f>SUM(F170/E170)</f>
        <v>0.95929535740937566</v>
      </c>
      <c r="J170" s="45" t="s">
        <v>2001</v>
      </c>
      <c r="K170" s="12" t="s">
        <v>118</v>
      </c>
      <c r="L170" s="64">
        <v>992700</v>
      </c>
      <c r="M170" s="64">
        <v>993511</v>
      </c>
      <c r="N170" s="130" t="s">
        <v>1665</v>
      </c>
      <c r="O170" s="89"/>
      <c r="Q170" s="315"/>
      <c r="R170" s="316" t="s">
        <v>2096</v>
      </c>
      <c r="S170" s="317">
        <v>6</v>
      </c>
    </row>
    <row r="171" spans="1:19" ht="68.25" customHeight="1" x14ac:dyDescent="0.25">
      <c r="A171" s="402"/>
      <c r="B171" s="405"/>
      <c r="C171" s="408"/>
      <c r="D171" s="396"/>
      <c r="E171" s="396"/>
      <c r="F171" s="396"/>
      <c r="G171" s="396"/>
      <c r="H171" s="396"/>
      <c r="I171" s="399"/>
      <c r="J171" s="55" t="s">
        <v>318</v>
      </c>
      <c r="K171" s="56" t="s">
        <v>118</v>
      </c>
      <c r="L171" s="65">
        <v>368000</v>
      </c>
      <c r="M171" s="65">
        <v>317297</v>
      </c>
      <c r="N171" s="55" t="s">
        <v>1612</v>
      </c>
      <c r="O171" s="66" t="s">
        <v>1613</v>
      </c>
      <c r="Q171" s="318"/>
      <c r="R171" s="316" t="s">
        <v>2097</v>
      </c>
      <c r="S171" s="317">
        <v>2</v>
      </c>
    </row>
    <row r="172" spans="1:19" ht="75.75" customHeight="1" x14ac:dyDescent="0.25">
      <c r="A172" s="402"/>
      <c r="B172" s="405"/>
      <c r="C172" s="408"/>
      <c r="D172" s="396"/>
      <c r="E172" s="396"/>
      <c r="F172" s="396"/>
      <c r="G172" s="396"/>
      <c r="H172" s="396"/>
      <c r="I172" s="399"/>
      <c r="J172" s="55" t="s">
        <v>319</v>
      </c>
      <c r="K172" s="56" t="s">
        <v>118</v>
      </c>
      <c r="L172" s="65">
        <v>130200</v>
      </c>
      <c r="M172" s="65">
        <v>183119</v>
      </c>
      <c r="N172" s="127" t="s">
        <v>1664</v>
      </c>
      <c r="O172" s="66"/>
      <c r="Q172" s="319"/>
      <c r="R172" s="316" t="s">
        <v>2098</v>
      </c>
      <c r="S172" s="320">
        <v>0</v>
      </c>
    </row>
    <row r="173" spans="1:19" ht="31.5" x14ac:dyDescent="0.25">
      <c r="A173" s="402"/>
      <c r="B173" s="405"/>
      <c r="C173" s="408"/>
      <c r="D173" s="396"/>
      <c r="E173" s="396"/>
      <c r="F173" s="396"/>
      <c r="G173" s="396"/>
      <c r="H173" s="396"/>
      <c r="I173" s="399"/>
      <c r="J173" s="55" t="s">
        <v>320</v>
      </c>
      <c r="K173" s="56" t="s">
        <v>118</v>
      </c>
      <c r="L173" s="65">
        <v>63400</v>
      </c>
      <c r="M173" s="65">
        <v>64226</v>
      </c>
      <c r="N173" s="55" t="s">
        <v>1614</v>
      </c>
      <c r="O173" s="66"/>
      <c r="Q173" s="321"/>
      <c r="R173" s="316" t="s">
        <v>2099</v>
      </c>
      <c r="S173" s="320">
        <v>3</v>
      </c>
    </row>
    <row r="174" spans="1:19" ht="31.5" x14ac:dyDescent="0.25">
      <c r="A174" s="402"/>
      <c r="B174" s="405"/>
      <c r="C174" s="408"/>
      <c r="D174" s="396"/>
      <c r="E174" s="396"/>
      <c r="F174" s="396"/>
      <c r="G174" s="396"/>
      <c r="H174" s="396"/>
      <c r="I174" s="399"/>
      <c r="J174" s="55" t="s">
        <v>321</v>
      </c>
      <c r="K174" s="56" t="s">
        <v>118</v>
      </c>
      <c r="L174" s="65">
        <v>30200</v>
      </c>
      <c r="M174" s="65">
        <v>42964</v>
      </c>
      <c r="N174" s="55" t="s">
        <v>1615</v>
      </c>
      <c r="O174" s="66"/>
      <c r="Q174" s="322"/>
      <c r="R174" s="316" t="s">
        <v>2100</v>
      </c>
      <c r="S174" s="320">
        <v>2</v>
      </c>
    </row>
    <row r="175" spans="1:19" ht="41.25" customHeight="1" x14ac:dyDescent="0.25">
      <c r="A175" s="402"/>
      <c r="B175" s="405"/>
      <c r="C175" s="408"/>
      <c r="D175" s="396"/>
      <c r="E175" s="396"/>
      <c r="F175" s="396"/>
      <c r="G175" s="396"/>
      <c r="H175" s="396"/>
      <c r="I175" s="399"/>
      <c r="J175" s="55" t="s">
        <v>322</v>
      </c>
      <c r="K175" s="56" t="s">
        <v>118</v>
      </c>
      <c r="L175" s="65">
        <v>107800</v>
      </c>
      <c r="M175" s="65">
        <v>134598</v>
      </c>
      <c r="N175" s="55" t="s">
        <v>1616</v>
      </c>
      <c r="O175" s="66"/>
      <c r="Q175" s="312"/>
      <c r="R175" s="323" t="s">
        <v>2101</v>
      </c>
      <c r="S175" s="320">
        <f>+SUM(S170:S174)</f>
        <v>13</v>
      </c>
    </row>
    <row r="176" spans="1:19" ht="77.25" customHeight="1" thickBot="1" x14ac:dyDescent="0.3">
      <c r="A176" s="403"/>
      <c r="B176" s="406"/>
      <c r="C176" s="409"/>
      <c r="D176" s="397"/>
      <c r="E176" s="397"/>
      <c r="F176" s="397"/>
      <c r="G176" s="397"/>
      <c r="H176" s="397"/>
      <c r="I176" s="400"/>
      <c r="J176" s="55" t="s">
        <v>323</v>
      </c>
      <c r="K176" s="56" t="s">
        <v>118</v>
      </c>
      <c r="L176" s="65">
        <v>293100</v>
      </c>
      <c r="M176" s="65">
        <v>251307</v>
      </c>
      <c r="N176" s="55" t="s">
        <v>324</v>
      </c>
      <c r="O176" s="66" t="s">
        <v>1617</v>
      </c>
    </row>
    <row r="177" spans="1:16" ht="65.25" customHeight="1" x14ac:dyDescent="0.25">
      <c r="A177" s="385" t="s">
        <v>325</v>
      </c>
      <c r="B177" s="336" t="s">
        <v>326</v>
      </c>
      <c r="C177" s="14"/>
      <c r="D177" s="15">
        <f>SUM(D178:D185)</f>
        <v>7486.3000000000011</v>
      </c>
      <c r="E177" s="15">
        <f>SUM(E178:E185)</f>
        <v>7486.3000000000011</v>
      </c>
      <c r="F177" s="15">
        <f>SUM(F178:F185)+0.1</f>
        <v>7135.2000000000007</v>
      </c>
      <c r="G177" s="15">
        <f>SUM(G178:G185)-0.1</f>
        <v>351.09999999999997</v>
      </c>
      <c r="H177" s="15">
        <f>SUM(H178:H185)-0.1</f>
        <v>351.09999999999997</v>
      </c>
      <c r="I177" s="148">
        <f>SUM(F177/E177)</f>
        <v>0.95310099782268942</v>
      </c>
      <c r="J177" s="41" t="s">
        <v>327</v>
      </c>
      <c r="K177" s="16" t="s">
        <v>35</v>
      </c>
      <c r="L177" s="17">
        <v>74</v>
      </c>
      <c r="M177" s="143">
        <v>71</v>
      </c>
      <c r="N177" s="41" t="s">
        <v>1740</v>
      </c>
      <c r="O177" s="42" t="s">
        <v>1739</v>
      </c>
      <c r="P177" s="284"/>
    </row>
    <row r="178" spans="1:16" ht="38.25" x14ac:dyDescent="0.25">
      <c r="A178" s="386"/>
      <c r="B178" s="337"/>
      <c r="C178" s="20" t="s">
        <v>132</v>
      </c>
      <c r="D178" s="21">
        <v>381.6</v>
      </c>
      <c r="E178" s="21">
        <v>381.6</v>
      </c>
      <c r="F178" s="21">
        <v>364.6</v>
      </c>
      <c r="G178" s="21">
        <v>17</v>
      </c>
      <c r="H178" s="67">
        <v>17</v>
      </c>
      <c r="I178" s="149">
        <f t="shared" ref="I178:I198" si="12">SUM(F178/E178)</f>
        <v>0.95545073375262057</v>
      </c>
      <c r="J178" s="68" t="s">
        <v>328</v>
      </c>
      <c r="K178" s="22" t="s">
        <v>35</v>
      </c>
      <c r="L178" s="23">
        <v>847</v>
      </c>
      <c r="M178" s="188">
        <v>2357</v>
      </c>
      <c r="N178" s="43" t="s">
        <v>329</v>
      </c>
      <c r="O178" s="44"/>
    </row>
    <row r="179" spans="1:16" ht="63.75" x14ac:dyDescent="0.25">
      <c r="A179" s="386"/>
      <c r="B179" s="337"/>
      <c r="C179" s="20" t="s">
        <v>185</v>
      </c>
      <c r="D179" s="21">
        <v>243</v>
      </c>
      <c r="E179" s="21">
        <v>243</v>
      </c>
      <c r="F179" s="21">
        <v>208</v>
      </c>
      <c r="G179" s="21">
        <v>35</v>
      </c>
      <c r="H179" s="67">
        <v>35</v>
      </c>
      <c r="I179" s="149">
        <f t="shared" si="12"/>
        <v>0.8559670781893004</v>
      </c>
      <c r="J179" s="68" t="s">
        <v>330</v>
      </c>
      <c r="K179" s="22" t="s">
        <v>35</v>
      </c>
      <c r="L179" s="23">
        <v>26</v>
      </c>
      <c r="M179" s="140">
        <v>23</v>
      </c>
      <c r="N179" s="43" t="s">
        <v>331</v>
      </c>
      <c r="O179" s="44" t="s">
        <v>1618</v>
      </c>
    </row>
    <row r="180" spans="1:16" ht="38.25" x14ac:dyDescent="0.25">
      <c r="A180" s="386"/>
      <c r="B180" s="337"/>
      <c r="C180" s="20" t="s">
        <v>43</v>
      </c>
      <c r="D180" s="21">
        <v>6216.8</v>
      </c>
      <c r="E180" s="21">
        <v>6216.8</v>
      </c>
      <c r="F180" s="21">
        <v>6163.8</v>
      </c>
      <c r="G180" s="21">
        <v>53</v>
      </c>
      <c r="H180" s="67">
        <v>53</v>
      </c>
      <c r="I180" s="149">
        <f t="shared" si="12"/>
        <v>0.99147471367906315</v>
      </c>
      <c r="J180" s="68" t="s">
        <v>332</v>
      </c>
      <c r="K180" s="22" t="s">
        <v>35</v>
      </c>
      <c r="L180" s="23">
        <v>680</v>
      </c>
      <c r="M180" s="188">
        <v>1065</v>
      </c>
      <c r="N180" s="43" t="s">
        <v>333</v>
      </c>
      <c r="O180" s="44"/>
    </row>
    <row r="181" spans="1:16" x14ac:dyDescent="0.25">
      <c r="A181" s="386"/>
      <c r="B181" s="337"/>
      <c r="C181" s="20" t="s">
        <v>334</v>
      </c>
      <c r="D181" s="21">
        <v>150.6</v>
      </c>
      <c r="E181" s="21">
        <v>150.6</v>
      </c>
      <c r="F181" s="21">
        <v>93.5</v>
      </c>
      <c r="G181" s="21">
        <v>57.1</v>
      </c>
      <c r="H181" s="67">
        <v>57.1</v>
      </c>
      <c r="I181" s="149">
        <f t="shared" si="12"/>
        <v>0.62084993359893759</v>
      </c>
      <c r="J181" s="68" t="s">
        <v>335</v>
      </c>
      <c r="K181" s="22" t="s">
        <v>35</v>
      </c>
      <c r="L181" s="23">
        <v>3</v>
      </c>
      <c r="M181" s="134">
        <v>6</v>
      </c>
      <c r="N181" s="43" t="s">
        <v>336</v>
      </c>
      <c r="O181" s="44"/>
    </row>
    <row r="182" spans="1:16" ht="51" x14ac:dyDescent="0.25">
      <c r="A182" s="386"/>
      <c r="B182" s="337"/>
      <c r="C182" s="20" t="s">
        <v>24</v>
      </c>
      <c r="D182" s="21">
        <v>449.6</v>
      </c>
      <c r="E182" s="21">
        <v>449.6</v>
      </c>
      <c r="F182" s="21">
        <v>260.5</v>
      </c>
      <c r="G182" s="21">
        <v>189.1</v>
      </c>
      <c r="H182" s="67">
        <v>189.1</v>
      </c>
      <c r="I182" s="149">
        <f t="shared" si="12"/>
        <v>0.57940391459074725</v>
      </c>
      <c r="J182" s="68" t="s">
        <v>337</v>
      </c>
      <c r="K182" s="22" t="s">
        <v>118</v>
      </c>
      <c r="L182" s="54">
        <v>431500</v>
      </c>
      <c r="M182" s="188">
        <v>564623</v>
      </c>
      <c r="N182" s="43" t="s">
        <v>338</v>
      </c>
      <c r="O182" s="44"/>
    </row>
    <row r="183" spans="1:16" ht="51" x14ac:dyDescent="0.25">
      <c r="A183" s="386"/>
      <c r="B183" s="337"/>
      <c r="C183" s="20" t="s">
        <v>27</v>
      </c>
      <c r="D183" s="21">
        <v>44.7</v>
      </c>
      <c r="E183" s="21">
        <v>44.7</v>
      </c>
      <c r="F183" s="21">
        <v>44.7</v>
      </c>
      <c r="G183" s="21"/>
      <c r="H183" s="21"/>
      <c r="I183" s="79">
        <f t="shared" si="12"/>
        <v>1</v>
      </c>
      <c r="J183" s="43" t="s">
        <v>339</v>
      </c>
      <c r="K183" s="22" t="s">
        <v>118</v>
      </c>
      <c r="L183" s="54">
        <v>21230</v>
      </c>
      <c r="M183" s="188">
        <v>29144</v>
      </c>
      <c r="N183" s="43" t="s">
        <v>340</v>
      </c>
      <c r="O183" s="44"/>
    </row>
    <row r="184" spans="1:16" ht="38.25" x14ac:dyDescent="0.25">
      <c r="A184" s="386"/>
      <c r="B184" s="337"/>
      <c r="C184" s="20"/>
      <c r="D184" s="21"/>
      <c r="E184" s="21"/>
      <c r="F184" s="21"/>
      <c r="G184" s="21"/>
      <c r="H184" s="21"/>
      <c r="I184" s="79"/>
      <c r="J184" s="43" t="s">
        <v>341</v>
      </c>
      <c r="K184" s="22" t="s">
        <v>118</v>
      </c>
      <c r="L184" s="54">
        <v>13500</v>
      </c>
      <c r="M184" s="188">
        <v>18672</v>
      </c>
      <c r="N184" s="43" t="s">
        <v>342</v>
      </c>
      <c r="O184" s="44"/>
    </row>
    <row r="185" spans="1:16" ht="15.75" thickBot="1" x14ac:dyDescent="0.3">
      <c r="A185" s="387"/>
      <c r="B185" s="338"/>
      <c r="C185" s="20"/>
      <c r="D185" s="21"/>
      <c r="E185" s="21"/>
      <c r="F185" s="21"/>
      <c r="G185" s="21"/>
      <c r="H185" s="21"/>
      <c r="I185" s="80"/>
      <c r="J185" s="43" t="s">
        <v>343</v>
      </c>
      <c r="K185" s="22" t="s">
        <v>118</v>
      </c>
      <c r="L185" s="23">
        <v>50</v>
      </c>
      <c r="M185" s="134">
        <v>331</v>
      </c>
      <c r="N185" s="43" t="s">
        <v>344</v>
      </c>
      <c r="O185" s="44"/>
    </row>
    <row r="186" spans="1:16" ht="26.25" thickBot="1" x14ac:dyDescent="0.3">
      <c r="A186" s="13" t="s">
        <v>345</v>
      </c>
      <c r="B186" s="37" t="s">
        <v>346</v>
      </c>
      <c r="C186" s="14" t="s">
        <v>43</v>
      </c>
      <c r="D186" s="24">
        <v>90</v>
      </c>
      <c r="E186" s="24">
        <v>90</v>
      </c>
      <c r="F186" s="24">
        <v>86.3</v>
      </c>
      <c r="G186" s="24">
        <v>3.7</v>
      </c>
      <c r="H186" s="24">
        <v>3.7</v>
      </c>
      <c r="I186" s="156">
        <f t="shared" si="12"/>
        <v>0.9588888888888889</v>
      </c>
      <c r="J186" s="41" t="s">
        <v>347</v>
      </c>
      <c r="K186" s="16" t="s">
        <v>35</v>
      </c>
      <c r="L186" s="17">
        <v>30</v>
      </c>
      <c r="M186" s="176">
        <v>31</v>
      </c>
      <c r="N186" s="41"/>
      <c r="O186" s="42"/>
      <c r="P186" s="284"/>
    </row>
    <row r="187" spans="1:16" ht="51.75" thickBot="1" x14ac:dyDescent="0.3">
      <c r="A187" s="13" t="s">
        <v>348</v>
      </c>
      <c r="B187" s="37" t="s">
        <v>349</v>
      </c>
      <c r="C187" s="14" t="s">
        <v>43</v>
      </c>
      <c r="D187" s="24">
        <v>26.2</v>
      </c>
      <c r="E187" s="24">
        <v>26.2</v>
      </c>
      <c r="F187" s="24">
        <v>26.2</v>
      </c>
      <c r="G187" s="24"/>
      <c r="H187" s="24"/>
      <c r="I187" s="158">
        <f t="shared" si="12"/>
        <v>1</v>
      </c>
      <c r="J187" s="41" t="s">
        <v>350</v>
      </c>
      <c r="K187" s="16" t="s">
        <v>35</v>
      </c>
      <c r="L187" s="17">
        <v>11</v>
      </c>
      <c r="M187" s="136">
        <v>11</v>
      </c>
      <c r="N187" s="41" t="s">
        <v>1741</v>
      </c>
      <c r="O187" s="42"/>
      <c r="P187" s="181"/>
    </row>
    <row r="188" spans="1:16" ht="39" customHeight="1" x14ac:dyDescent="0.25">
      <c r="A188" s="385" t="s">
        <v>351</v>
      </c>
      <c r="B188" s="336" t="s">
        <v>352</v>
      </c>
      <c r="C188" s="14" t="s">
        <v>43</v>
      </c>
      <c r="D188" s="15">
        <f>SUM(D189:D191)+455.4</f>
        <v>455.4</v>
      </c>
      <c r="E188" s="15">
        <f>SUM(E189:E191)+455.4</f>
        <v>455.4</v>
      </c>
      <c r="F188" s="15">
        <f>SUM(F189:F191)+455.4</f>
        <v>455.4</v>
      </c>
      <c r="G188" s="15"/>
      <c r="H188" s="15"/>
      <c r="I188" s="79">
        <f t="shared" si="12"/>
        <v>1</v>
      </c>
      <c r="J188" s="41" t="s">
        <v>353</v>
      </c>
      <c r="K188" s="16" t="s">
        <v>35</v>
      </c>
      <c r="L188" s="17">
        <v>8</v>
      </c>
      <c r="M188" s="143">
        <v>7</v>
      </c>
      <c r="N188" s="41" t="s">
        <v>1742</v>
      </c>
      <c r="O188" s="42" t="s">
        <v>1619</v>
      </c>
      <c r="P188" s="284"/>
    </row>
    <row r="189" spans="1:16" ht="54.75" customHeight="1" x14ac:dyDescent="0.25">
      <c r="A189" s="386"/>
      <c r="B189" s="337"/>
      <c r="C189" s="20"/>
      <c r="D189" s="21"/>
      <c r="E189" s="21"/>
      <c r="F189" s="21"/>
      <c r="G189" s="21"/>
      <c r="H189" s="21"/>
      <c r="I189" s="79"/>
      <c r="J189" s="43" t="s">
        <v>354</v>
      </c>
      <c r="K189" s="22" t="s">
        <v>35</v>
      </c>
      <c r="L189" s="23">
        <v>17</v>
      </c>
      <c r="M189" s="134">
        <v>37</v>
      </c>
      <c r="N189" s="43" t="s">
        <v>355</v>
      </c>
      <c r="O189" s="44"/>
    </row>
    <row r="190" spans="1:16" ht="54.75" customHeight="1" x14ac:dyDescent="0.25">
      <c r="A190" s="386"/>
      <c r="B190" s="337"/>
      <c r="C190" s="20"/>
      <c r="D190" s="21"/>
      <c r="E190" s="21"/>
      <c r="F190" s="21"/>
      <c r="G190" s="21"/>
      <c r="H190" s="21"/>
      <c r="I190" s="79"/>
      <c r="J190" s="43" t="s">
        <v>356</v>
      </c>
      <c r="K190" s="22" t="s">
        <v>35</v>
      </c>
      <c r="L190" s="23">
        <v>7</v>
      </c>
      <c r="M190" s="134">
        <v>9</v>
      </c>
      <c r="N190" s="43" t="s">
        <v>1743</v>
      </c>
      <c r="O190" s="44"/>
    </row>
    <row r="191" spans="1:16" ht="51.75" thickBot="1" x14ac:dyDescent="0.3">
      <c r="A191" s="387"/>
      <c r="B191" s="338"/>
      <c r="C191" s="20"/>
      <c r="D191" s="21"/>
      <c r="E191" s="21"/>
      <c r="F191" s="21"/>
      <c r="G191" s="21"/>
      <c r="H191" s="21"/>
      <c r="I191" s="80"/>
      <c r="J191" s="43" t="s">
        <v>357</v>
      </c>
      <c r="K191" s="22" t="s">
        <v>35</v>
      </c>
      <c r="L191" s="23">
        <v>10</v>
      </c>
      <c r="M191" s="134">
        <v>21</v>
      </c>
      <c r="N191" s="43" t="s">
        <v>358</v>
      </c>
      <c r="O191" s="44"/>
    </row>
    <row r="192" spans="1:16" ht="51.75" thickBot="1" x14ac:dyDescent="0.3">
      <c r="A192" s="13" t="s">
        <v>359</v>
      </c>
      <c r="B192" s="37" t="s">
        <v>360</v>
      </c>
      <c r="C192" s="14"/>
      <c r="D192" s="15">
        <f>SUM(D193:D196)</f>
        <v>458.29999999999995</v>
      </c>
      <c r="E192" s="15">
        <f>SUM(E193:E196)</f>
        <v>458.29999999999995</v>
      </c>
      <c r="F192" s="15">
        <f>SUM(F193:F196)</f>
        <v>458.2</v>
      </c>
      <c r="G192" s="15">
        <f>SUM(G193:G196)</f>
        <v>0.1</v>
      </c>
      <c r="H192" s="15">
        <f>SUM(H193:H196)</f>
        <v>0.1</v>
      </c>
      <c r="I192" s="158">
        <f t="shared" si="12"/>
        <v>0.9997818023128956</v>
      </c>
      <c r="J192" s="41"/>
      <c r="K192" s="16"/>
      <c r="L192" s="48"/>
      <c r="M192" s="17"/>
      <c r="N192" s="41"/>
      <c r="O192" s="42"/>
      <c r="P192" s="181"/>
    </row>
    <row r="193" spans="1:16" ht="195" customHeight="1" thickBot="1" x14ac:dyDescent="0.3">
      <c r="A193" s="13" t="s">
        <v>361</v>
      </c>
      <c r="B193" s="37" t="s">
        <v>362</v>
      </c>
      <c r="C193" s="14" t="s">
        <v>43</v>
      </c>
      <c r="D193" s="24">
        <v>401.9</v>
      </c>
      <c r="E193" s="24">
        <v>401.9</v>
      </c>
      <c r="F193" s="24">
        <v>401.8</v>
      </c>
      <c r="G193" s="24">
        <v>0.1</v>
      </c>
      <c r="H193" s="24">
        <v>0.1</v>
      </c>
      <c r="I193" s="158">
        <f t="shared" si="12"/>
        <v>0.9997511818860414</v>
      </c>
      <c r="J193" s="41" t="s">
        <v>363</v>
      </c>
      <c r="K193" s="16" t="s">
        <v>35</v>
      </c>
      <c r="L193" s="17">
        <v>14</v>
      </c>
      <c r="M193" s="136">
        <v>14</v>
      </c>
      <c r="N193" s="41" t="s">
        <v>364</v>
      </c>
      <c r="O193" s="42"/>
    </row>
    <row r="194" spans="1:16" ht="78" customHeight="1" thickBot="1" x14ac:dyDescent="0.3">
      <c r="A194" s="13" t="s">
        <v>365</v>
      </c>
      <c r="B194" s="37" t="s">
        <v>366</v>
      </c>
      <c r="C194" s="14" t="s">
        <v>43</v>
      </c>
      <c r="D194" s="24">
        <v>38.9</v>
      </c>
      <c r="E194" s="24">
        <v>38.9</v>
      </c>
      <c r="F194" s="24">
        <v>38.9</v>
      </c>
      <c r="G194" s="24"/>
      <c r="H194" s="24"/>
      <c r="I194" s="158">
        <f t="shared" si="12"/>
        <v>1</v>
      </c>
      <c r="J194" s="41" t="s">
        <v>367</v>
      </c>
      <c r="K194" s="16" t="s">
        <v>35</v>
      </c>
      <c r="L194" s="17">
        <v>32</v>
      </c>
      <c r="M194" s="143">
        <v>21</v>
      </c>
      <c r="N194" s="41" t="s">
        <v>1744</v>
      </c>
      <c r="O194" s="42" t="s">
        <v>1745</v>
      </c>
    </row>
    <row r="195" spans="1:16" ht="27.75" customHeight="1" thickBot="1" x14ac:dyDescent="0.3">
      <c r="A195" s="13" t="s">
        <v>368</v>
      </c>
      <c r="B195" s="37" t="s">
        <v>369</v>
      </c>
      <c r="C195" s="14" t="s">
        <v>43</v>
      </c>
      <c r="D195" s="24">
        <v>6</v>
      </c>
      <c r="E195" s="24">
        <v>6</v>
      </c>
      <c r="F195" s="24">
        <v>6</v>
      </c>
      <c r="G195" s="24"/>
      <c r="H195" s="24"/>
      <c r="I195" s="158">
        <f t="shared" si="12"/>
        <v>1</v>
      </c>
      <c r="J195" s="41" t="s">
        <v>370</v>
      </c>
      <c r="K195" s="16" t="s">
        <v>35</v>
      </c>
      <c r="L195" s="17">
        <v>1</v>
      </c>
      <c r="M195" s="136">
        <v>1</v>
      </c>
      <c r="N195" s="41" t="s">
        <v>1746</v>
      </c>
      <c r="O195" s="42"/>
    </row>
    <row r="196" spans="1:16" ht="102.75" thickBot="1" x14ac:dyDescent="0.3">
      <c r="A196" s="13" t="s">
        <v>371</v>
      </c>
      <c r="B196" s="37" t="s">
        <v>372</v>
      </c>
      <c r="C196" s="14" t="s">
        <v>43</v>
      </c>
      <c r="D196" s="24">
        <v>11.5</v>
      </c>
      <c r="E196" s="24">
        <v>11.5</v>
      </c>
      <c r="F196" s="24">
        <v>11.5</v>
      </c>
      <c r="G196" s="24">
        <v>0</v>
      </c>
      <c r="H196" s="24">
        <v>0</v>
      </c>
      <c r="I196" s="158">
        <f t="shared" si="12"/>
        <v>1</v>
      </c>
      <c r="J196" s="41" t="s">
        <v>372</v>
      </c>
      <c r="K196" s="16" t="s">
        <v>35</v>
      </c>
      <c r="L196" s="17">
        <v>1</v>
      </c>
      <c r="M196" s="136">
        <v>1</v>
      </c>
      <c r="N196" s="41" t="s">
        <v>373</v>
      </c>
      <c r="O196" s="42"/>
    </row>
    <row r="197" spans="1:16" ht="194.25" customHeight="1" thickBot="1" x14ac:dyDescent="0.3">
      <c r="A197" s="13" t="s">
        <v>374</v>
      </c>
      <c r="B197" s="37" t="s">
        <v>375</v>
      </c>
      <c r="C197" s="14" t="s">
        <v>43</v>
      </c>
      <c r="D197" s="24">
        <v>323</v>
      </c>
      <c r="E197" s="24">
        <v>323</v>
      </c>
      <c r="F197" s="24">
        <v>322.89999999999998</v>
      </c>
      <c r="G197" s="24">
        <v>0.1</v>
      </c>
      <c r="H197" s="24">
        <v>0.1</v>
      </c>
      <c r="I197" s="158">
        <f t="shared" si="12"/>
        <v>0.99969040247678009</v>
      </c>
      <c r="J197" s="41" t="s">
        <v>376</v>
      </c>
      <c r="K197" s="16" t="s">
        <v>35</v>
      </c>
      <c r="L197" s="17">
        <v>12</v>
      </c>
      <c r="M197" s="136">
        <v>12</v>
      </c>
      <c r="N197" s="41" t="s">
        <v>1747</v>
      </c>
      <c r="O197" s="42"/>
      <c r="P197" s="181"/>
    </row>
    <row r="198" spans="1:16" ht="26.25" thickBot="1" x14ac:dyDescent="0.3">
      <c r="A198" s="13" t="s">
        <v>377</v>
      </c>
      <c r="B198" s="37" t="s">
        <v>378</v>
      </c>
      <c r="C198" s="14" t="s">
        <v>43</v>
      </c>
      <c r="D198" s="24">
        <v>5</v>
      </c>
      <c r="E198" s="24">
        <v>5</v>
      </c>
      <c r="F198" s="24"/>
      <c r="G198" s="24">
        <v>5</v>
      </c>
      <c r="H198" s="24">
        <v>5</v>
      </c>
      <c r="I198" s="79">
        <f t="shared" si="12"/>
        <v>0</v>
      </c>
      <c r="J198" s="41" t="s">
        <v>379</v>
      </c>
      <c r="K198" s="16" t="s">
        <v>35</v>
      </c>
      <c r="L198" s="17">
        <v>1</v>
      </c>
      <c r="M198" s="137">
        <v>0</v>
      </c>
      <c r="N198" s="41"/>
      <c r="O198" s="42" t="s">
        <v>1748</v>
      </c>
      <c r="P198" s="139"/>
    </row>
    <row r="199" spans="1:16" ht="39" thickBot="1" x14ac:dyDescent="0.3">
      <c r="A199" s="9" t="s">
        <v>380</v>
      </c>
      <c r="B199" s="36" t="s">
        <v>381</v>
      </c>
      <c r="C199" s="10"/>
      <c r="D199" s="11">
        <f>D200+D203+D206+D207+D210+D215</f>
        <v>1050.2</v>
      </c>
      <c r="E199" s="11">
        <f>E200+E203+E206+E207+E210+E215</f>
        <v>1050.2</v>
      </c>
      <c r="F199" s="11">
        <f>F200+F203+F206+F207+F210+F215-0.1</f>
        <v>919.7</v>
      </c>
      <c r="G199" s="11">
        <f>G200+G203+G206+G207+G210+G215+0.1</f>
        <v>130.5</v>
      </c>
      <c r="H199" s="11">
        <f>H200+H203+H206+H207+H210+H215+0.1</f>
        <v>130.5</v>
      </c>
      <c r="I199" s="163">
        <f>SUM(F199/E199)</f>
        <v>0.87573795467529991</v>
      </c>
      <c r="J199" s="45" t="s">
        <v>382</v>
      </c>
      <c r="K199" s="12" t="s">
        <v>35</v>
      </c>
      <c r="L199" s="50">
        <v>8</v>
      </c>
      <c r="M199" s="50">
        <v>10</v>
      </c>
      <c r="N199" s="424"/>
      <c r="O199" s="425"/>
    </row>
    <row r="200" spans="1:16" ht="63.75" x14ac:dyDescent="0.25">
      <c r="A200" s="385" t="s">
        <v>383</v>
      </c>
      <c r="B200" s="336" t="s">
        <v>384</v>
      </c>
      <c r="C200" s="14"/>
      <c r="D200" s="15">
        <f>SUM(D201:D202)</f>
        <v>180.10000000000002</v>
      </c>
      <c r="E200" s="15">
        <f>SUM(E201:E202)</f>
        <v>180.10000000000002</v>
      </c>
      <c r="F200" s="15">
        <f>SUM(F201:F202)-0.1</f>
        <v>139.00000000000003</v>
      </c>
      <c r="G200" s="15">
        <f>SUM(G201:G202)+0.1</f>
        <v>41.1</v>
      </c>
      <c r="H200" s="15">
        <f>SUM(H201:H202)+0.1</f>
        <v>41.1</v>
      </c>
      <c r="I200" s="148">
        <f>SUM(F200/E200)</f>
        <v>0.77179344808439765</v>
      </c>
      <c r="J200" s="41" t="s">
        <v>385</v>
      </c>
      <c r="K200" s="16" t="s">
        <v>35</v>
      </c>
      <c r="L200" s="17">
        <v>1</v>
      </c>
      <c r="M200" s="137">
        <v>0</v>
      </c>
      <c r="N200" s="124" t="s">
        <v>2077</v>
      </c>
      <c r="O200" s="42" t="s">
        <v>1749</v>
      </c>
      <c r="P200" s="290"/>
    </row>
    <row r="201" spans="1:16" ht="38.25" x14ac:dyDescent="0.25">
      <c r="A201" s="386"/>
      <c r="B201" s="337"/>
      <c r="C201" s="20" t="s">
        <v>43</v>
      </c>
      <c r="D201" s="21">
        <v>18.8</v>
      </c>
      <c r="E201" s="21">
        <v>18.8</v>
      </c>
      <c r="F201" s="21">
        <v>3.8</v>
      </c>
      <c r="G201" s="21">
        <v>15</v>
      </c>
      <c r="H201" s="67">
        <v>15</v>
      </c>
      <c r="I201" s="149">
        <f t="shared" ref="I201:I217" si="13">SUM(F201/E201)</f>
        <v>0.20212765957446807</v>
      </c>
      <c r="J201" s="68" t="s">
        <v>386</v>
      </c>
      <c r="K201" s="22" t="s">
        <v>23</v>
      </c>
      <c r="L201" s="23">
        <v>100</v>
      </c>
      <c r="M201" s="135">
        <v>100</v>
      </c>
      <c r="N201" s="43" t="s">
        <v>387</v>
      </c>
      <c r="O201" s="44"/>
    </row>
    <row r="202" spans="1:16" ht="26.25" thickBot="1" x14ac:dyDescent="0.3">
      <c r="A202" s="387"/>
      <c r="B202" s="338"/>
      <c r="C202" s="20" t="s">
        <v>24</v>
      </c>
      <c r="D202" s="21">
        <v>161.30000000000001</v>
      </c>
      <c r="E202" s="21">
        <v>161.30000000000001</v>
      </c>
      <c r="F202" s="21">
        <v>135.30000000000001</v>
      </c>
      <c r="G202" s="21">
        <v>26</v>
      </c>
      <c r="H202" s="21">
        <v>26</v>
      </c>
      <c r="I202" s="79">
        <f t="shared" si="13"/>
        <v>0.83880967141971485</v>
      </c>
      <c r="J202" s="43" t="s">
        <v>388</v>
      </c>
      <c r="K202" s="22" t="s">
        <v>23</v>
      </c>
      <c r="L202" s="23">
        <v>20</v>
      </c>
      <c r="M202" s="138">
        <v>0</v>
      </c>
      <c r="N202" s="219" t="s">
        <v>2078</v>
      </c>
      <c r="O202" s="44" t="s">
        <v>1750</v>
      </c>
    </row>
    <row r="203" spans="1:16" ht="36.75" customHeight="1" x14ac:dyDescent="0.25">
      <c r="A203" s="385" t="s">
        <v>389</v>
      </c>
      <c r="B203" s="336" t="s">
        <v>390</v>
      </c>
      <c r="C203" s="14"/>
      <c r="D203" s="15">
        <f>SUM(D204:D205)</f>
        <v>261.2</v>
      </c>
      <c r="E203" s="15">
        <f>SUM(E204:E205)</f>
        <v>261.2</v>
      </c>
      <c r="F203" s="15">
        <f>SUM(F204:F205)</f>
        <v>261.10000000000002</v>
      </c>
      <c r="G203" s="15">
        <f>SUM(G204:G205)</f>
        <v>0.1</v>
      </c>
      <c r="H203" s="15">
        <f>SUM(H204:H205)</f>
        <v>0.1</v>
      </c>
      <c r="I203" s="148">
        <f t="shared" si="13"/>
        <v>0.99961715160796338</v>
      </c>
      <c r="J203" s="336" t="s">
        <v>391</v>
      </c>
      <c r="K203" s="339" t="s">
        <v>23</v>
      </c>
      <c r="L203" s="342">
        <v>100</v>
      </c>
      <c r="M203" s="345">
        <v>100</v>
      </c>
      <c r="N203" s="336" t="s">
        <v>1751</v>
      </c>
      <c r="O203" s="351"/>
      <c r="P203" s="181"/>
    </row>
    <row r="204" spans="1:16" x14ac:dyDescent="0.25">
      <c r="A204" s="386"/>
      <c r="B204" s="337"/>
      <c r="C204" s="20" t="s">
        <v>43</v>
      </c>
      <c r="D204" s="21">
        <v>257.7</v>
      </c>
      <c r="E204" s="21">
        <v>257.7</v>
      </c>
      <c r="F204" s="21">
        <v>257.60000000000002</v>
      </c>
      <c r="G204" s="21">
        <v>0.1</v>
      </c>
      <c r="H204" s="67">
        <v>0.1</v>
      </c>
      <c r="I204" s="149">
        <f t="shared" si="13"/>
        <v>0.99961195188203356</v>
      </c>
      <c r="J204" s="372"/>
      <c r="K204" s="340"/>
      <c r="L204" s="343"/>
      <c r="M204" s="346"/>
      <c r="N204" s="337"/>
      <c r="O204" s="352"/>
    </row>
    <row r="205" spans="1:16" ht="15.75" thickBot="1" x14ac:dyDescent="0.3">
      <c r="A205" s="387"/>
      <c r="B205" s="338"/>
      <c r="C205" s="20" t="s">
        <v>24</v>
      </c>
      <c r="D205" s="21">
        <v>3.5</v>
      </c>
      <c r="E205" s="21">
        <v>3.5</v>
      </c>
      <c r="F205" s="21">
        <v>3.5</v>
      </c>
      <c r="G205" s="21"/>
      <c r="H205" s="21"/>
      <c r="I205" s="79">
        <f t="shared" si="13"/>
        <v>1</v>
      </c>
      <c r="J205" s="338"/>
      <c r="K205" s="341"/>
      <c r="L205" s="344"/>
      <c r="M205" s="347"/>
      <c r="N205" s="338"/>
      <c r="O205" s="353"/>
    </row>
    <row r="206" spans="1:16" ht="103.5" customHeight="1" thickBot="1" x14ac:dyDescent="0.3">
      <c r="A206" s="13" t="s">
        <v>392</v>
      </c>
      <c r="B206" s="37" t="s">
        <v>393</v>
      </c>
      <c r="C206" s="14" t="s">
        <v>43</v>
      </c>
      <c r="D206" s="24">
        <v>8</v>
      </c>
      <c r="E206" s="24">
        <v>8</v>
      </c>
      <c r="F206" s="24">
        <v>7.9</v>
      </c>
      <c r="G206" s="24">
        <v>0.1</v>
      </c>
      <c r="H206" s="24">
        <v>0.1</v>
      </c>
      <c r="I206" s="154">
        <f t="shared" si="13"/>
        <v>0.98750000000000004</v>
      </c>
      <c r="J206" s="41" t="s">
        <v>385</v>
      </c>
      <c r="K206" s="16" t="s">
        <v>35</v>
      </c>
      <c r="L206" s="17">
        <v>1</v>
      </c>
      <c r="M206" s="286">
        <v>0</v>
      </c>
      <c r="N206" s="41" t="s">
        <v>2085</v>
      </c>
      <c r="O206" s="42" t="s">
        <v>2086</v>
      </c>
      <c r="P206" s="139"/>
    </row>
    <row r="207" spans="1:16" ht="89.25" x14ac:dyDescent="0.25">
      <c r="A207" s="385" t="s">
        <v>394</v>
      </c>
      <c r="B207" s="336" t="s">
        <v>395</v>
      </c>
      <c r="C207" s="14"/>
      <c r="D207" s="15">
        <f>SUM(D208:D209)</f>
        <v>277.10000000000002</v>
      </c>
      <c r="E207" s="15">
        <f>SUM(E208:E209)</f>
        <v>277.10000000000002</v>
      </c>
      <c r="F207" s="15">
        <f>SUM(F208:F209)</f>
        <v>277.10000000000002</v>
      </c>
      <c r="G207" s="15"/>
      <c r="H207" s="15"/>
      <c r="I207" s="148">
        <f t="shared" si="13"/>
        <v>1</v>
      </c>
      <c r="J207" s="41" t="s">
        <v>396</v>
      </c>
      <c r="K207" s="16" t="s">
        <v>23</v>
      </c>
      <c r="L207" s="17">
        <v>100</v>
      </c>
      <c r="M207" s="136">
        <v>100</v>
      </c>
      <c r="N207" s="41" t="s">
        <v>397</v>
      </c>
      <c r="O207" s="42"/>
      <c r="P207" s="181"/>
    </row>
    <row r="208" spans="1:16" ht="38.25" x14ac:dyDescent="0.25">
      <c r="A208" s="386"/>
      <c r="B208" s="337"/>
      <c r="C208" s="20" t="s">
        <v>43</v>
      </c>
      <c r="D208" s="21">
        <v>254</v>
      </c>
      <c r="E208" s="21">
        <v>254</v>
      </c>
      <c r="F208" s="21">
        <v>254</v>
      </c>
      <c r="G208" s="21"/>
      <c r="H208" s="67"/>
      <c r="I208" s="149">
        <f t="shared" si="13"/>
        <v>1</v>
      </c>
      <c r="J208" s="68" t="s">
        <v>398</v>
      </c>
      <c r="K208" s="22" t="s">
        <v>23</v>
      </c>
      <c r="L208" s="23">
        <v>100</v>
      </c>
      <c r="M208" s="135">
        <v>100</v>
      </c>
      <c r="N208" s="43" t="s">
        <v>399</v>
      </c>
      <c r="O208" s="44"/>
    </row>
    <row r="209" spans="1:19" ht="77.25" thickBot="1" x14ac:dyDescent="0.3">
      <c r="A209" s="387"/>
      <c r="B209" s="338"/>
      <c r="C209" s="20" t="s">
        <v>24</v>
      </c>
      <c r="D209" s="21">
        <v>23.1</v>
      </c>
      <c r="E209" s="21">
        <v>23.1</v>
      </c>
      <c r="F209" s="21">
        <v>23.1</v>
      </c>
      <c r="G209" s="21"/>
      <c r="H209" s="21"/>
      <c r="I209" s="79">
        <f t="shared" si="13"/>
        <v>1</v>
      </c>
      <c r="J209" s="43" t="s">
        <v>400</v>
      </c>
      <c r="K209" s="22" t="s">
        <v>23</v>
      </c>
      <c r="L209" s="23">
        <v>100</v>
      </c>
      <c r="M209" s="135">
        <v>100</v>
      </c>
      <c r="N209" s="43" t="s">
        <v>401</v>
      </c>
      <c r="O209" s="44"/>
    </row>
    <row r="210" spans="1:19" ht="26.25" thickBot="1" x14ac:dyDescent="0.3">
      <c r="A210" s="13" t="s">
        <v>402</v>
      </c>
      <c r="B210" s="37" t="s">
        <v>403</v>
      </c>
      <c r="C210" s="14"/>
      <c r="D210" s="15">
        <f>SUM(D211:D213)</f>
        <v>264.39999999999998</v>
      </c>
      <c r="E210" s="15">
        <f>SUM(E211:E213)</f>
        <v>264.39999999999998</v>
      </c>
      <c r="F210" s="15">
        <f>SUM(F211:F213)</f>
        <v>218.70000000000002</v>
      </c>
      <c r="G210" s="15">
        <f>SUM(G211:G213)</f>
        <v>45.7</v>
      </c>
      <c r="H210" s="15">
        <f>SUM(H211:H213)</f>
        <v>45.7</v>
      </c>
      <c r="I210" s="154">
        <f t="shared" si="13"/>
        <v>0.82715582450832081</v>
      </c>
      <c r="J210" s="41"/>
      <c r="K210" s="16"/>
      <c r="L210" s="48"/>
      <c r="M210" s="17"/>
      <c r="N210" s="41"/>
      <c r="O210" s="42"/>
      <c r="P210" s="181"/>
    </row>
    <row r="211" spans="1:19" ht="51.75" thickBot="1" x14ac:dyDescent="0.3">
      <c r="A211" s="13" t="s">
        <v>404</v>
      </c>
      <c r="B211" s="37" t="s">
        <v>405</v>
      </c>
      <c r="C211" s="14" t="s">
        <v>43</v>
      </c>
      <c r="D211" s="24">
        <v>15</v>
      </c>
      <c r="E211" s="24">
        <v>15</v>
      </c>
      <c r="F211" s="24">
        <v>15</v>
      </c>
      <c r="G211" s="24"/>
      <c r="H211" s="24"/>
      <c r="I211" s="154">
        <f t="shared" si="13"/>
        <v>1</v>
      </c>
      <c r="J211" s="41" t="s">
        <v>406</v>
      </c>
      <c r="K211" s="16" t="s">
        <v>35</v>
      </c>
      <c r="L211" s="17">
        <v>1</v>
      </c>
      <c r="M211" s="136">
        <v>1</v>
      </c>
      <c r="N211" s="41" t="s">
        <v>407</v>
      </c>
      <c r="O211" s="42"/>
    </row>
    <row r="212" spans="1:19" ht="42" customHeight="1" thickBot="1" x14ac:dyDescent="0.3">
      <c r="A212" s="13" t="s">
        <v>408</v>
      </c>
      <c r="B212" s="37" t="s">
        <v>409</v>
      </c>
      <c r="C212" s="14" t="s">
        <v>43</v>
      </c>
      <c r="D212" s="24">
        <v>150.80000000000001</v>
      </c>
      <c r="E212" s="24">
        <v>150.80000000000001</v>
      </c>
      <c r="F212" s="24">
        <v>150.80000000000001</v>
      </c>
      <c r="G212" s="24"/>
      <c r="H212" s="24"/>
      <c r="I212" s="154">
        <f t="shared" si="13"/>
        <v>1</v>
      </c>
      <c r="J212" s="41" t="s">
        <v>410</v>
      </c>
      <c r="K212" s="16" t="s">
        <v>23</v>
      </c>
      <c r="L212" s="17">
        <v>60</v>
      </c>
      <c r="M212" s="136">
        <v>60</v>
      </c>
      <c r="N212" s="41" t="s">
        <v>1752</v>
      </c>
      <c r="O212" s="42"/>
    </row>
    <row r="213" spans="1:19" ht="28.5" customHeight="1" x14ac:dyDescent="0.25">
      <c r="A213" s="385" t="s">
        <v>411</v>
      </c>
      <c r="B213" s="336" t="s">
        <v>412</v>
      </c>
      <c r="C213" s="14"/>
      <c r="D213" s="15">
        <f>SUM(D214:D214)</f>
        <v>98.6</v>
      </c>
      <c r="E213" s="15">
        <f>SUM(E214:E214)</f>
        <v>98.6</v>
      </c>
      <c r="F213" s="15">
        <f>SUM(F214:F214)</f>
        <v>52.9</v>
      </c>
      <c r="G213" s="15">
        <f>SUM(G214:G214)</f>
        <v>45.7</v>
      </c>
      <c r="H213" s="15">
        <f>SUM(H214:H214)</f>
        <v>45.7</v>
      </c>
      <c r="I213" s="151">
        <f t="shared" si="13"/>
        <v>0.5365111561866126</v>
      </c>
      <c r="J213" s="336" t="s">
        <v>413</v>
      </c>
      <c r="K213" s="339" t="s">
        <v>23</v>
      </c>
      <c r="L213" s="342">
        <v>50</v>
      </c>
      <c r="M213" s="345">
        <v>50</v>
      </c>
      <c r="N213" s="336" t="s">
        <v>414</v>
      </c>
      <c r="O213" s="351"/>
    </row>
    <row r="214" spans="1:19" ht="29.45" customHeight="1" thickBot="1" x14ac:dyDescent="0.3">
      <c r="A214" s="387"/>
      <c r="B214" s="338"/>
      <c r="C214" s="20" t="s">
        <v>43</v>
      </c>
      <c r="D214" s="21">
        <v>98.6</v>
      </c>
      <c r="E214" s="21">
        <v>98.6</v>
      </c>
      <c r="F214" s="21">
        <v>52.9</v>
      </c>
      <c r="G214" s="21">
        <v>45.7</v>
      </c>
      <c r="H214" s="21">
        <v>45.7</v>
      </c>
      <c r="I214" s="79">
        <f t="shared" si="13"/>
        <v>0.5365111561866126</v>
      </c>
      <c r="J214" s="338"/>
      <c r="K214" s="341"/>
      <c r="L214" s="344"/>
      <c r="M214" s="347"/>
      <c r="N214" s="338"/>
      <c r="O214" s="353"/>
    </row>
    <row r="215" spans="1:19" ht="52.5" customHeight="1" x14ac:dyDescent="0.25">
      <c r="A215" s="385" t="s">
        <v>415</v>
      </c>
      <c r="B215" s="336" t="s">
        <v>416</v>
      </c>
      <c r="C215" s="14"/>
      <c r="D215" s="15">
        <f>SUM(D216:D217)</f>
        <v>59.4</v>
      </c>
      <c r="E215" s="15">
        <f>SUM(E216:E217)</f>
        <v>59.4</v>
      </c>
      <c r="F215" s="15">
        <f>SUM(F216:F217)</f>
        <v>16</v>
      </c>
      <c r="G215" s="15">
        <f>SUM(G216:G217)</f>
        <v>43.4</v>
      </c>
      <c r="H215" s="15">
        <f>SUM(H216:H217)</f>
        <v>43.4</v>
      </c>
      <c r="I215" s="151">
        <f t="shared" si="13"/>
        <v>0.26936026936026936</v>
      </c>
      <c r="J215" s="41" t="s">
        <v>417</v>
      </c>
      <c r="K215" s="16" t="s">
        <v>418</v>
      </c>
      <c r="L215" s="17">
        <v>1</v>
      </c>
      <c r="M215" s="137">
        <v>0</v>
      </c>
      <c r="N215" s="41"/>
      <c r="O215" s="42" t="s">
        <v>1676</v>
      </c>
      <c r="P215" s="290"/>
    </row>
    <row r="216" spans="1:19" ht="206.25" customHeight="1" x14ac:dyDescent="0.25">
      <c r="A216" s="386"/>
      <c r="B216" s="337"/>
      <c r="C216" s="20" t="s">
        <v>43</v>
      </c>
      <c r="D216" s="21">
        <v>30</v>
      </c>
      <c r="E216" s="21">
        <v>30</v>
      </c>
      <c r="F216" s="21"/>
      <c r="G216" s="21">
        <v>30</v>
      </c>
      <c r="H216" s="21">
        <v>30</v>
      </c>
      <c r="I216" s="162">
        <f t="shared" si="13"/>
        <v>0</v>
      </c>
      <c r="J216" s="365" t="s">
        <v>419</v>
      </c>
      <c r="K216" s="362" t="s">
        <v>23</v>
      </c>
      <c r="L216" s="363">
        <v>100</v>
      </c>
      <c r="M216" s="377">
        <v>35</v>
      </c>
      <c r="N216" s="379" t="s">
        <v>2079</v>
      </c>
      <c r="O216" s="380" t="s">
        <v>2080</v>
      </c>
    </row>
    <row r="217" spans="1:19" ht="15.75" thickBot="1" x14ac:dyDescent="0.3">
      <c r="A217" s="387"/>
      <c r="B217" s="338"/>
      <c r="C217" s="20" t="s">
        <v>24</v>
      </c>
      <c r="D217" s="21">
        <v>29.4</v>
      </c>
      <c r="E217" s="21">
        <v>29.4</v>
      </c>
      <c r="F217" s="21">
        <v>16</v>
      </c>
      <c r="G217" s="21">
        <v>13.4</v>
      </c>
      <c r="H217" s="21">
        <v>13.4</v>
      </c>
      <c r="I217" s="79">
        <f t="shared" si="13"/>
        <v>0.54421768707482998</v>
      </c>
      <c r="J217" s="338"/>
      <c r="K217" s="341"/>
      <c r="L217" s="344"/>
      <c r="M217" s="378"/>
      <c r="N217" s="376"/>
      <c r="O217" s="353"/>
    </row>
    <row r="218" spans="1:19" ht="16.5" thickBot="1" x14ac:dyDescent="0.3">
      <c r="A218" s="6" t="s">
        <v>420</v>
      </c>
      <c r="B218" s="35" t="s">
        <v>421</v>
      </c>
      <c r="C218" s="7"/>
      <c r="D218" s="8">
        <f>D219+D258+0.1</f>
        <v>7708.7000000000007</v>
      </c>
      <c r="E218" s="8">
        <f>E219+E258+0.1</f>
        <v>7708.7000000000007</v>
      </c>
      <c r="F218" s="8">
        <f>F219+F258</f>
        <v>7530.2999999999993</v>
      </c>
      <c r="G218" s="8">
        <f>G219+G258</f>
        <v>178.3</v>
      </c>
      <c r="H218" s="8">
        <f>H219+H258</f>
        <v>178.3</v>
      </c>
      <c r="I218" s="146">
        <f>SUM(F218/E218)</f>
        <v>0.97685731705735057</v>
      </c>
      <c r="J218" s="366"/>
      <c r="K218" s="367"/>
      <c r="L218" s="367"/>
      <c r="M218" s="367"/>
      <c r="N218" s="367"/>
      <c r="O218" s="368"/>
      <c r="Q218" s="312"/>
      <c r="R218" s="313" t="s">
        <v>1</v>
      </c>
      <c r="S218" s="314" t="s">
        <v>2103</v>
      </c>
    </row>
    <row r="219" spans="1:19" ht="38.25" x14ac:dyDescent="0.25">
      <c r="A219" s="401" t="s">
        <v>422</v>
      </c>
      <c r="B219" s="404" t="s">
        <v>423</v>
      </c>
      <c r="C219" s="407"/>
      <c r="D219" s="395">
        <f>D220+D221+D222+D223+D227+D232+D235+D238+D242+D243+D245+D249+D251+D253+D254</f>
        <v>2554.1</v>
      </c>
      <c r="E219" s="395">
        <f>E220+E221+E222+E223+E227+E232+E235+E238+E242+E243+E245+E249+E251+E253+E254</f>
        <v>2554.1</v>
      </c>
      <c r="F219" s="395">
        <f>F220+F221+F222+F223+F227+F232+F235+F238+F242+F243+F245+F249+F251+F253+F254+0.1</f>
        <v>2378.2999999999997</v>
      </c>
      <c r="G219" s="395">
        <f>G220+G221+G222+G223+G227+G232+G235+G238+G242+G243+G245+G249+G251+G253+G254-0.1</f>
        <v>175.8</v>
      </c>
      <c r="H219" s="395">
        <f>H220+H221+H222+H223+H227+H232+H235+H238+H242+H243+H245+H249+H251+H253+H254-0.1</f>
        <v>175.8</v>
      </c>
      <c r="I219" s="398">
        <f>SUM(F219/E219)</f>
        <v>0.93116949218902934</v>
      </c>
      <c r="J219" s="45" t="s">
        <v>424</v>
      </c>
      <c r="K219" s="12" t="s">
        <v>23</v>
      </c>
      <c r="L219" s="50">
        <v>32.32</v>
      </c>
      <c r="M219" s="50">
        <v>46.43</v>
      </c>
      <c r="N219" s="130" t="s">
        <v>1620</v>
      </c>
      <c r="O219" s="89"/>
      <c r="Q219" s="315"/>
      <c r="R219" s="316" t="s">
        <v>2096</v>
      </c>
      <c r="S219" s="317">
        <v>1</v>
      </c>
    </row>
    <row r="220" spans="1:19" ht="51" x14ac:dyDescent="0.25">
      <c r="A220" s="402"/>
      <c r="B220" s="405"/>
      <c r="C220" s="408"/>
      <c r="D220" s="396"/>
      <c r="E220" s="396"/>
      <c r="F220" s="396"/>
      <c r="G220" s="396"/>
      <c r="H220" s="396"/>
      <c r="I220" s="399"/>
      <c r="J220" s="55" t="s">
        <v>425</v>
      </c>
      <c r="K220" s="56" t="s">
        <v>23</v>
      </c>
      <c r="L220" s="57">
        <v>20.239999999999998</v>
      </c>
      <c r="M220" s="57">
        <v>20.9</v>
      </c>
      <c r="N220" s="131" t="s">
        <v>1621</v>
      </c>
      <c r="O220" s="90"/>
      <c r="Q220" s="318"/>
      <c r="R220" s="316" t="s">
        <v>2097</v>
      </c>
      <c r="S220" s="317">
        <v>2</v>
      </c>
    </row>
    <row r="221" spans="1:19" ht="38.25" x14ac:dyDescent="0.25">
      <c r="A221" s="402"/>
      <c r="B221" s="405"/>
      <c r="C221" s="408"/>
      <c r="D221" s="396"/>
      <c r="E221" s="396"/>
      <c r="F221" s="396"/>
      <c r="G221" s="396"/>
      <c r="H221" s="396"/>
      <c r="I221" s="399"/>
      <c r="J221" s="55" t="s">
        <v>426</v>
      </c>
      <c r="K221" s="56" t="s">
        <v>427</v>
      </c>
      <c r="L221" s="57">
        <v>21</v>
      </c>
      <c r="M221" s="57">
        <v>16</v>
      </c>
      <c r="N221" s="55"/>
      <c r="O221" s="66" t="s">
        <v>1674</v>
      </c>
      <c r="Q221" s="319"/>
      <c r="R221" s="316" t="s">
        <v>2098</v>
      </c>
      <c r="S221" s="320">
        <v>2</v>
      </c>
    </row>
    <row r="222" spans="1:19" ht="39" thickBot="1" x14ac:dyDescent="0.3">
      <c r="A222" s="403"/>
      <c r="B222" s="406"/>
      <c r="C222" s="409"/>
      <c r="D222" s="397"/>
      <c r="E222" s="397"/>
      <c r="F222" s="397"/>
      <c r="G222" s="397"/>
      <c r="H222" s="397"/>
      <c r="I222" s="400"/>
      <c r="J222" s="55" t="s">
        <v>428</v>
      </c>
      <c r="K222" s="56" t="s">
        <v>429</v>
      </c>
      <c r="L222" s="57">
        <v>47.66</v>
      </c>
      <c r="M222" s="57">
        <v>47.73</v>
      </c>
      <c r="N222" s="55"/>
      <c r="O222" s="66"/>
      <c r="Q222" s="321"/>
      <c r="R222" s="316" t="s">
        <v>2099</v>
      </c>
      <c r="S222" s="320">
        <v>5</v>
      </c>
    </row>
    <row r="223" spans="1:19" ht="31.5" x14ac:dyDescent="0.25">
      <c r="A223" s="385" t="s">
        <v>430</v>
      </c>
      <c r="B223" s="336" t="s">
        <v>431</v>
      </c>
      <c r="C223" s="14"/>
      <c r="D223" s="15">
        <f>SUM(D224:D226)</f>
        <v>81.900000000000006</v>
      </c>
      <c r="E223" s="15">
        <f>SUM(E224:E226)</f>
        <v>81.900000000000006</v>
      </c>
      <c r="F223" s="15">
        <f>SUM(F224:F226)</f>
        <v>81.900000000000006</v>
      </c>
      <c r="G223" s="15"/>
      <c r="H223" s="15"/>
      <c r="I223" s="148">
        <f>SUM(F223/E223)</f>
        <v>1</v>
      </c>
      <c r="J223" s="41" t="s">
        <v>432</v>
      </c>
      <c r="K223" s="16" t="s">
        <v>35</v>
      </c>
      <c r="L223" s="17">
        <v>1</v>
      </c>
      <c r="M223" s="137">
        <v>0</v>
      </c>
      <c r="N223" s="41"/>
      <c r="O223" s="42" t="s">
        <v>1622</v>
      </c>
      <c r="P223" s="139"/>
      <c r="Q223" s="322"/>
      <c r="R223" s="316" t="s">
        <v>2100</v>
      </c>
      <c r="S223" s="320">
        <v>3</v>
      </c>
    </row>
    <row r="224" spans="1:19" ht="15" customHeight="1" x14ac:dyDescent="0.25">
      <c r="A224" s="386"/>
      <c r="B224" s="337"/>
      <c r="C224" s="20" t="s">
        <v>24</v>
      </c>
      <c r="D224" s="21">
        <v>9.3000000000000007</v>
      </c>
      <c r="E224" s="21">
        <v>9.3000000000000007</v>
      </c>
      <c r="F224" s="21">
        <v>9.3000000000000007</v>
      </c>
      <c r="G224" s="21"/>
      <c r="H224" s="67"/>
      <c r="I224" s="149">
        <f t="shared" ref="I224:I245" si="14">SUM(F224/E224)</f>
        <v>1</v>
      </c>
      <c r="J224" s="360" t="s">
        <v>433</v>
      </c>
      <c r="K224" s="362" t="s">
        <v>35</v>
      </c>
      <c r="L224" s="363">
        <v>1</v>
      </c>
      <c r="M224" s="381">
        <v>0</v>
      </c>
      <c r="N224" s="354"/>
      <c r="O224" s="382" t="s">
        <v>1834</v>
      </c>
      <c r="Q224" s="312"/>
      <c r="R224" s="323" t="s">
        <v>2101</v>
      </c>
      <c r="S224" s="320">
        <f>+SUM(S219:S223)</f>
        <v>13</v>
      </c>
    </row>
    <row r="225" spans="1:16" x14ac:dyDescent="0.25">
      <c r="A225" s="386"/>
      <c r="B225" s="337"/>
      <c r="C225" s="20" t="s">
        <v>43</v>
      </c>
      <c r="D225" s="21">
        <v>72.400000000000006</v>
      </c>
      <c r="E225" s="21">
        <v>72.400000000000006</v>
      </c>
      <c r="F225" s="21">
        <v>72.400000000000006</v>
      </c>
      <c r="G225" s="21"/>
      <c r="H225" s="67"/>
      <c r="I225" s="149">
        <f t="shared" si="14"/>
        <v>1</v>
      </c>
      <c r="J225" s="372"/>
      <c r="K225" s="340"/>
      <c r="L225" s="343"/>
      <c r="M225" s="373"/>
      <c r="N225" s="331"/>
      <c r="O225" s="383"/>
    </row>
    <row r="226" spans="1:16" ht="15.75" thickBot="1" x14ac:dyDescent="0.3">
      <c r="A226" s="387"/>
      <c r="B226" s="338"/>
      <c r="C226" s="20" t="s">
        <v>132</v>
      </c>
      <c r="D226" s="21">
        <v>0.2</v>
      </c>
      <c r="E226" s="21">
        <v>0.2</v>
      </c>
      <c r="F226" s="21">
        <v>0.2</v>
      </c>
      <c r="G226" s="21"/>
      <c r="H226" s="21"/>
      <c r="I226" s="79">
        <f t="shared" si="14"/>
        <v>1</v>
      </c>
      <c r="J226" s="361"/>
      <c r="K226" s="341"/>
      <c r="L226" s="344"/>
      <c r="M226" s="370"/>
      <c r="N226" s="332"/>
      <c r="O226" s="384"/>
    </row>
    <row r="227" spans="1:16" ht="38.25" x14ac:dyDescent="0.25">
      <c r="A227" s="385" t="s">
        <v>434</v>
      </c>
      <c r="B227" s="336" t="s">
        <v>435</v>
      </c>
      <c r="C227" s="14" t="s">
        <v>436</v>
      </c>
      <c r="D227" s="15">
        <f>SUM(D228:D231)+38</f>
        <v>38</v>
      </c>
      <c r="E227" s="15">
        <f>SUM(E228:E231)+38</f>
        <v>38</v>
      </c>
      <c r="F227" s="15">
        <f>SUM(F228:F231)+32.3</f>
        <v>32.299999999999997</v>
      </c>
      <c r="G227" s="15">
        <f>SUM(G228:G231)+5.7</f>
        <v>5.7</v>
      </c>
      <c r="H227" s="15">
        <f>SUM(H228:H231)+5.7</f>
        <v>5.7</v>
      </c>
      <c r="I227" s="148">
        <f t="shared" si="14"/>
        <v>0.85</v>
      </c>
      <c r="J227" s="41" t="s">
        <v>437</v>
      </c>
      <c r="K227" s="16" t="s">
        <v>438</v>
      </c>
      <c r="L227" s="17">
        <v>300</v>
      </c>
      <c r="M227" s="176">
        <v>833</v>
      </c>
      <c r="N227" s="41" t="s">
        <v>1753</v>
      </c>
      <c r="O227" s="42"/>
      <c r="P227" s="284"/>
    </row>
    <row r="228" spans="1:16" ht="38.25" x14ac:dyDescent="0.25">
      <c r="A228" s="386"/>
      <c r="B228" s="337"/>
      <c r="C228" s="20"/>
      <c r="D228" s="21"/>
      <c r="E228" s="21"/>
      <c r="F228" s="21"/>
      <c r="G228" s="21"/>
      <c r="H228" s="67"/>
      <c r="I228" s="149"/>
      <c r="J228" s="68" t="s">
        <v>439</v>
      </c>
      <c r="K228" s="22" t="s">
        <v>440</v>
      </c>
      <c r="L228" s="23">
        <v>0.5</v>
      </c>
      <c r="M228" s="138">
        <v>0</v>
      </c>
      <c r="N228" s="43"/>
      <c r="O228" s="44" t="s">
        <v>1623</v>
      </c>
    </row>
    <row r="229" spans="1:16" ht="38.25" x14ac:dyDescent="0.25">
      <c r="A229" s="386"/>
      <c r="B229" s="337"/>
      <c r="C229" s="20"/>
      <c r="D229" s="21"/>
      <c r="E229" s="21"/>
      <c r="F229" s="21"/>
      <c r="G229" s="21"/>
      <c r="H229" s="67"/>
      <c r="I229" s="149"/>
      <c r="J229" s="68" t="s">
        <v>441</v>
      </c>
      <c r="K229" s="22" t="s">
        <v>442</v>
      </c>
      <c r="L229" s="54">
        <v>7000</v>
      </c>
      <c r="M229" s="188">
        <v>54913</v>
      </c>
      <c r="N229" s="43" t="s">
        <v>1754</v>
      </c>
      <c r="O229" s="44"/>
    </row>
    <row r="230" spans="1:16" ht="25.5" x14ac:dyDescent="0.25">
      <c r="A230" s="386"/>
      <c r="B230" s="337"/>
      <c r="C230" s="20"/>
      <c r="D230" s="21"/>
      <c r="E230" s="21"/>
      <c r="F230" s="21"/>
      <c r="G230" s="21"/>
      <c r="H230" s="67"/>
      <c r="I230" s="149"/>
      <c r="J230" s="68" t="s">
        <v>443</v>
      </c>
      <c r="K230" s="22" t="s">
        <v>35</v>
      </c>
      <c r="L230" s="23">
        <v>100</v>
      </c>
      <c r="M230" s="134">
        <v>284</v>
      </c>
      <c r="N230" s="43" t="s">
        <v>1755</v>
      </c>
      <c r="O230" s="44"/>
    </row>
    <row r="231" spans="1:16" ht="26.25" thickBot="1" x14ac:dyDescent="0.3">
      <c r="A231" s="387"/>
      <c r="B231" s="338"/>
      <c r="C231" s="20"/>
      <c r="D231" s="21"/>
      <c r="E231" s="21"/>
      <c r="F231" s="21"/>
      <c r="G231" s="21"/>
      <c r="H231" s="21"/>
      <c r="I231" s="79"/>
      <c r="J231" s="43" t="s">
        <v>444</v>
      </c>
      <c r="K231" s="22" t="s">
        <v>35</v>
      </c>
      <c r="L231" s="23">
        <v>0</v>
      </c>
      <c r="M231" s="134">
        <v>155</v>
      </c>
      <c r="N231" s="43" t="s">
        <v>1756</v>
      </c>
      <c r="O231" s="44"/>
    </row>
    <row r="232" spans="1:16" ht="23.25" customHeight="1" x14ac:dyDescent="0.25">
      <c r="A232" s="385" t="s">
        <v>445</v>
      </c>
      <c r="B232" s="336" t="s">
        <v>446</v>
      </c>
      <c r="C232" s="14"/>
      <c r="D232" s="15">
        <f>SUM(D233:D234)</f>
        <v>159</v>
      </c>
      <c r="E232" s="15">
        <f>SUM(E233:E234)</f>
        <v>159</v>
      </c>
      <c r="F232" s="15">
        <f>SUM(F233:F234)</f>
        <v>144.69999999999999</v>
      </c>
      <c r="G232" s="15">
        <f>SUM(G233:G234)</f>
        <v>14.3</v>
      </c>
      <c r="H232" s="15">
        <f>SUM(H233:H234)</f>
        <v>14.3</v>
      </c>
      <c r="I232" s="148">
        <f t="shared" si="14"/>
        <v>0.91006289308176092</v>
      </c>
      <c r="J232" s="336" t="s">
        <v>447</v>
      </c>
      <c r="K232" s="339" t="s">
        <v>23</v>
      </c>
      <c r="L232" s="342">
        <v>100</v>
      </c>
      <c r="M232" s="440">
        <v>91</v>
      </c>
      <c r="N232" s="336" t="s">
        <v>1758</v>
      </c>
      <c r="O232" s="351" t="s">
        <v>1757</v>
      </c>
      <c r="P232" s="175"/>
    </row>
    <row r="233" spans="1:16" x14ac:dyDescent="0.25">
      <c r="A233" s="386"/>
      <c r="B233" s="337"/>
      <c r="C233" s="20" t="s">
        <v>436</v>
      </c>
      <c r="D233" s="21">
        <v>99</v>
      </c>
      <c r="E233" s="21">
        <v>99</v>
      </c>
      <c r="F233" s="21">
        <v>96.1</v>
      </c>
      <c r="G233" s="21">
        <v>2.9</v>
      </c>
      <c r="H233" s="67">
        <v>2.9</v>
      </c>
      <c r="I233" s="149">
        <f t="shared" si="14"/>
        <v>0.97070707070707063</v>
      </c>
      <c r="J233" s="372"/>
      <c r="K233" s="340"/>
      <c r="L233" s="343"/>
      <c r="M233" s="358"/>
      <c r="N233" s="337"/>
      <c r="O233" s="352"/>
    </row>
    <row r="234" spans="1:16" ht="15.75" thickBot="1" x14ac:dyDescent="0.3">
      <c r="A234" s="387"/>
      <c r="B234" s="338"/>
      <c r="C234" s="20" t="s">
        <v>43</v>
      </c>
      <c r="D234" s="21">
        <v>60</v>
      </c>
      <c r="E234" s="21">
        <v>60</v>
      </c>
      <c r="F234" s="21">
        <v>48.6</v>
      </c>
      <c r="G234" s="21">
        <v>11.4</v>
      </c>
      <c r="H234" s="21">
        <v>11.4</v>
      </c>
      <c r="I234" s="79">
        <f t="shared" si="14"/>
        <v>0.81</v>
      </c>
      <c r="J234" s="338"/>
      <c r="K234" s="341"/>
      <c r="L234" s="344"/>
      <c r="M234" s="359"/>
      <c r="N234" s="338"/>
      <c r="O234" s="353"/>
    </row>
    <row r="235" spans="1:16" ht="25.5" x14ac:dyDescent="0.25">
      <c r="A235" s="385" t="s">
        <v>448</v>
      </c>
      <c r="B235" s="336" t="s">
        <v>449</v>
      </c>
      <c r="C235" s="14"/>
      <c r="D235" s="15">
        <f>SUM(D236:D237)</f>
        <v>455</v>
      </c>
      <c r="E235" s="15">
        <f>SUM(E236:E237)</f>
        <v>455</v>
      </c>
      <c r="F235" s="15">
        <f>SUM(F236:F237)</f>
        <v>451.79999999999995</v>
      </c>
      <c r="G235" s="15">
        <f>SUM(G236:G237)</f>
        <v>3.1999999999999997</v>
      </c>
      <c r="H235" s="15">
        <f>SUM(H236:H237)</f>
        <v>3.1999999999999997</v>
      </c>
      <c r="I235" s="148">
        <f t="shared" si="14"/>
        <v>0.99296703296703281</v>
      </c>
      <c r="J235" s="41" t="s">
        <v>450</v>
      </c>
      <c r="K235" s="16" t="s">
        <v>35</v>
      </c>
      <c r="L235" s="17">
        <v>70</v>
      </c>
      <c r="M235" s="176">
        <v>85</v>
      </c>
      <c r="N235" s="41" t="s">
        <v>1759</v>
      </c>
      <c r="O235" s="42"/>
      <c r="P235" s="284"/>
    </row>
    <row r="236" spans="1:16" ht="38.25" x14ac:dyDescent="0.25">
      <c r="A236" s="386"/>
      <c r="B236" s="337"/>
      <c r="C236" s="20" t="s">
        <v>43</v>
      </c>
      <c r="D236" s="21">
        <v>380</v>
      </c>
      <c r="E236" s="21">
        <v>380</v>
      </c>
      <c r="F236" s="21">
        <v>377.7</v>
      </c>
      <c r="G236" s="21">
        <v>2.2999999999999998</v>
      </c>
      <c r="H236" s="67">
        <v>2.2999999999999998</v>
      </c>
      <c r="I236" s="149">
        <f t="shared" si="14"/>
        <v>0.99394736842105258</v>
      </c>
      <c r="J236" s="68" t="s">
        <v>451</v>
      </c>
      <c r="K236" s="22" t="s">
        <v>23</v>
      </c>
      <c r="L236" s="23">
        <v>50</v>
      </c>
      <c r="M236" s="135">
        <v>50</v>
      </c>
      <c r="N236" s="43"/>
      <c r="O236" s="44"/>
    </row>
    <row r="237" spans="1:16" ht="26.25" thickBot="1" x14ac:dyDescent="0.3">
      <c r="A237" s="387"/>
      <c r="B237" s="338"/>
      <c r="C237" s="20" t="s">
        <v>436</v>
      </c>
      <c r="D237" s="21">
        <v>75</v>
      </c>
      <c r="E237" s="21">
        <v>75</v>
      </c>
      <c r="F237" s="21">
        <v>74.099999999999994</v>
      </c>
      <c r="G237" s="21">
        <v>0.9</v>
      </c>
      <c r="H237" s="21">
        <v>0.9</v>
      </c>
      <c r="I237" s="79">
        <f t="shared" si="14"/>
        <v>0.98799999999999988</v>
      </c>
      <c r="J237" s="43" t="s">
        <v>452</v>
      </c>
      <c r="K237" s="22" t="s">
        <v>442</v>
      </c>
      <c r="L237" s="23">
        <v>0</v>
      </c>
      <c r="M237" s="188">
        <v>22311</v>
      </c>
      <c r="N237" s="43" t="s">
        <v>1760</v>
      </c>
      <c r="O237" s="44"/>
    </row>
    <row r="238" spans="1:16" ht="45.75" customHeight="1" x14ac:dyDescent="0.25">
      <c r="A238" s="385" t="s">
        <v>453</v>
      </c>
      <c r="B238" s="336" t="s">
        <v>454</v>
      </c>
      <c r="C238" s="14"/>
      <c r="D238" s="15">
        <f>SUM(D239:D241)</f>
        <v>50</v>
      </c>
      <c r="E238" s="15">
        <f>SUM(E239:E241)</f>
        <v>50</v>
      </c>
      <c r="F238" s="15">
        <f>SUM(F239:F241)</f>
        <v>46.2</v>
      </c>
      <c r="G238" s="15">
        <f>SUM(G239:G241)</f>
        <v>3.8</v>
      </c>
      <c r="H238" s="15">
        <f>SUM(H239:H241)</f>
        <v>3.8</v>
      </c>
      <c r="I238" s="148">
        <f t="shared" si="14"/>
        <v>0.92400000000000004</v>
      </c>
      <c r="J238" s="41" t="s">
        <v>455</v>
      </c>
      <c r="K238" s="16" t="s">
        <v>456</v>
      </c>
      <c r="L238" s="17">
        <v>242</v>
      </c>
      <c r="M238" s="143">
        <v>183.05</v>
      </c>
      <c r="N238" s="41" t="s">
        <v>1761</v>
      </c>
      <c r="O238" s="42" t="s">
        <v>1762</v>
      </c>
      <c r="P238" s="175"/>
    </row>
    <row r="239" spans="1:16" ht="63.75" x14ac:dyDescent="0.25">
      <c r="A239" s="386"/>
      <c r="B239" s="337"/>
      <c r="C239" s="20" t="s">
        <v>457</v>
      </c>
      <c r="D239" s="21">
        <v>10</v>
      </c>
      <c r="E239" s="21">
        <v>10</v>
      </c>
      <c r="F239" s="21">
        <v>9.5</v>
      </c>
      <c r="G239" s="21">
        <v>0.5</v>
      </c>
      <c r="H239" s="67">
        <v>0.5</v>
      </c>
      <c r="I239" s="149">
        <f t="shared" si="14"/>
        <v>0.95</v>
      </c>
      <c r="J239" s="68" t="s">
        <v>458</v>
      </c>
      <c r="K239" s="22" t="s">
        <v>23</v>
      </c>
      <c r="L239" s="23">
        <v>50</v>
      </c>
      <c r="M239" s="185">
        <v>20</v>
      </c>
      <c r="N239" s="43" t="s">
        <v>1764</v>
      </c>
      <c r="O239" s="44" t="s">
        <v>1763</v>
      </c>
    </row>
    <row r="240" spans="1:16" ht="38.25" x14ac:dyDescent="0.25">
      <c r="A240" s="386"/>
      <c r="B240" s="337"/>
      <c r="C240" s="20" t="s">
        <v>436</v>
      </c>
      <c r="D240" s="21">
        <v>40</v>
      </c>
      <c r="E240" s="21">
        <v>40</v>
      </c>
      <c r="F240" s="21">
        <v>36.700000000000003</v>
      </c>
      <c r="G240" s="21">
        <v>3.3</v>
      </c>
      <c r="H240" s="21">
        <v>3.3</v>
      </c>
      <c r="I240" s="79">
        <f t="shared" si="14"/>
        <v>0.91750000000000009</v>
      </c>
      <c r="J240" s="43" t="s">
        <v>459</v>
      </c>
      <c r="K240" s="22" t="s">
        <v>456</v>
      </c>
      <c r="L240" s="23">
        <v>13</v>
      </c>
      <c r="M240" s="184">
        <v>13.49</v>
      </c>
      <c r="N240" s="43"/>
      <c r="O240" s="44"/>
    </row>
    <row r="241" spans="1:16" ht="26.25" thickBot="1" x14ac:dyDescent="0.3">
      <c r="A241" s="387"/>
      <c r="B241" s="338"/>
      <c r="C241" s="20"/>
      <c r="D241" s="21"/>
      <c r="E241" s="21"/>
      <c r="F241" s="21"/>
      <c r="G241" s="21"/>
      <c r="H241" s="21"/>
      <c r="I241" s="80"/>
      <c r="J241" s="43" t="s">
        <v>460</v>
      </c>
      <c r="K241" s="22" t="s">
        <v>35</v>
      </c>
      <c r="L241" s="23">
        <v>1</v>
      </c>
      <c r="M241" s="135">
        <v>1</v>
      </c>
      <c r="N241" s="43" t="s">
        <v>1765</v>
      </c>
      <c r="O241" s="44"/>
    </row>
    <row r="242" spans="1:16" ht="26.25" thickBot="1" x14ac:dyDescent="0.3">
      <c r="A242" s="13" t="s">
        <v>461</v>
      </c>
      <c r="B242" s="37" t="s">
        <v>462</v>
      </c>
      <c r="C242" s="14" t="s">
        <v>436</v>
      </c>
      <c r="D242" s="24">
        <v>5</v>
      </c>
      <c r="E242" s="24">
        <v>5</v>
      </c>
      <c r="F242" s="24">
        <v>0.1</v>
      </c>
      <c r="G242" s="24">
        <v>4.9000000000000004</v>
      </c>
      <c r="H242" s="24">
        <v>4.9000000000000004</v>
      </c>
      <c r="I242" s="158">
        <f t="shared" si="14"/>
        <v>0.02</v>
      </c>
      <c r="J242" s="41" t="s">
        <v>463</v>
      </c>
      <c r="K242" s="16" t="s">
        <v>23</v>
      </c>
      <c r="L242" s="17">
        <v>100</v>
      </c>
      <c r="M242" s="210">
        <v>2</v>
      </c>
      <c r="N242" s="41" t="s">
        <v>1766</v>
      </c>
      <c r="O242" s="42" t="s">
        <v>1624</v>
      </c>
      <c r="P242" s="290"/>
    </row>
    <row r="243" spans="1:16" ht="38.25" x14ac:dyDescent="0.25">
      <c r="A243" s="385" t="s">
        <v>464</v>
      </c>
      <c r="B243" s="336" t="s">
        <v>465</v>
      </c>
      <c r="C243" s="14" t="s">
        <v>43</v>
      </c>
      <c r="D243" s="15">
        <f>SUM(D244:D244)+41</f>
        <v>41</v>
      </c>
      <c r="E243" s="15">
        <f>SUM(E244:E244)+41</f>
        <v>41</v>
      </c>
      <c r="F243" s="15">
        <f>SUM(F244:F244)+39.2</f>
        <v>39.200000000000003</v>
      </c>
      <c r="G243" s="15">
        <f>SUM(G244:G244)+1.8</f>
        <v>1.8</v>
      </c>
      <c r="H243" s="15">
        <f>SUM(H244:H244)+1.8</f>
        <v>1.8</v>
      </c>
      <c r="I243" s="79">
        <f t="shared" si="14"/>
        <v>0.95609756097560983</v>
      </c>
      <c r="J243" s="41" t="s">
        <v>466</v>
      </c>
      <c r="K243" s="16" t="s">
        <v>108</v>
      </c>
      <c r="L243" s="17">
        <v>18</v>
      </c>
      <c r="M243" s="136">
        <v>18</v>
      </c>
      <c r="N243" s="41" t="s">
        <v>1767</v>
      </c>
      <c r="O243" s="42"/>
      <c r="P243" s="284"/>
    </row>
    <row r="244" spans="1:16" ht="26.25" thickBot="1" x14ac:dyDescent="0.3">
      <c r="A244" s="387"/>
      <c r="B244" s="338"/>
      <c r="C244" s="20"/>
      <c r="D244" s="21"/>
      <c r="E244" s="21"/>
      <c r="F244" s="21"/>
      <c r="G244" s="21"/>
      <c r="H244" s="21"/>
      <c r="I244" s="80"/>
      <c r="J244" s="43" t="s">
        <v>467</v>
      </c>
      <c r="K244" s="22" t="s">
        <v>35</v>
      </c>
      <c r="L244" s="23">
        <v>100</v>
      </c>
      <c r="M244" s="134">
        <v>125</v>
      </c>
      <c r="N244" s="43" t="s">
        <v>1768</v>
      </c>
      <c r="O244" s="44"/>
    </row>
    <row r="245" spans="1:16" ht="51" x14ac:dyDescent="0.25">
      <c r="A245" s="385" t="s">
        <v>468</v>
      </c>
      <c r="B245" s="336" t="s">
        <v>469</v>
      </c>
      <c r="C245" s="14" t="s">
        <v>436</v>
      </c>
      <c r="D245" s="15">
        <f>SUM(D246:D248)+13</f>
        <v>13</v>
      </c>
      <c r="E245" s="15">
        <f>SUM(E246:E248)+13</f>
        <v>13</v>
      </c>
      <c r="F245" s="15">
        <f>SUM(F246:F248)+12.3</f>
        <v>12.3</v>
      </c>
      <c r="G245" s="15">
        <f>SUM(G246:G248)+0.7</f>
        <v>0.7</v>
      </c>
      <c r="H245" s="15">
        <f>SUM(H246:H248)+0.7</f>
        <v>0.7</v>
      </c>
      <c r="I245" s="79">
        <f t="shared" si="14"/>
        <v>0.94615384615384623</v>
      </c>
      <c r="J245" s="41" t="s">
        <v>470</v>
      </c>
      <c r="K245" s="16" t="s">
        <v>35</v>
      </c>
      <c r="L245" s="17">
        <v>5</v>
      </c>
      <c r="M245" s="143">
        <v>4</v>
      </c>
      <c r="N245" s="41" t="s">
        <v>1769</v>
      </c>
      <c r="O245" s="125" t="s">
        <v>2081</v>
      </c>
      <c r="P245" s="284"/>
    </row>
    <row r="246" spans="1:16" ht="102" x14ac:dyDescent="0.25">
      <c r="A246" s="386"/>
      <c r="B246" s="337"/>
      <c r="C246" s="20"/>
      <c r="D246" s="21"/>
      <c r="E246" s="21"/>
      <c r="F246" s="21"/>
      <c r="G246" s="21"/>
      <c r="H246" s="21"/>
      <c r="I246" s="150"/>
      <c r="J246" s="43" t="s">
        <v>471</v>
      </c>
      <c r="K246" s="22" t="s">
        <v>35</v>
      </c>
      <c r="L246" s="23">
        <v>16</v>
      </c>
      <c r="M246" s="212">
        <v>1174</v>
      </c>
      <c r="N246" s="43" t="s">
        <v>472</v>
      </c>
      <c r="O246" s="44"/>
    </row>
    <row r="247" spans="1:16" ht="25.5" x14ac:dyDescent="0.25">
      <c r="A247" s="386"/>
      <c r="B247" s="337"/>
      <c r="C247" s="20"/>
      <c r="D247" s="21"/>
      <c r="E247" s="21"/>
      <c r="F247" s="21"/>
      <c r="G247" s="21"/>
      <c r="H247" s="21"/>
      <c r="I247" s="150"/>
      <c r="J247" s="43" t="s">
        <v>473</v>
      </c>
      <c r="K247" s="22" t="s">
        <v>35</v>
      </c>
      <c r="L247" s="23">
        <v>2</v>
      </c>
      <c r="M247" s="135">
        <v>2</v>
      </c>
      <c r="N247" s="43"/>
      <c r="O247" s="44"/>
    </row>
    <row r="248" spans="1:16" ht="40.5" customHeight="1" thickBot="1" x14ac:dyDescent="0.3">
      <c r="A248" s="387"/>
      <c r="B248" s="338"/>
      <c r="C248" s="20"/>
      <c r="D248" s="21"/>
      <c r="E248" s="21"/>
      <c r="F248" s="21"/>
      <c r="G248" s="21"/>
      <c r="H248" s="21"/>
      <c r="I248" s="150"/>
      <c r="J248" s="43" t="s">
        <v>474</v>
      </c>
      <c r="K248" s="22" t="s">
        <v>35</v>
      </c>
      <c r="L248" s="23">
        <v>2</v>
      </c>
      <c r="M248" s="134">
        <v>3</v>
      </c>
      <c r="N248" s="43" t="s">
        <v>1770</v>
      </c>
      <c r="O248" s="44"/>
    </row>
    <row r="249" spans="1:16" ht="113.25" customHeight="1" x14ac:dyDescent="0.25">
      <c r="A249" s="385" t="s">
        <v>475</v>
      </c>
      <c r="B249" s="336" t="s">
        <v>476</v>
      </c>
      <c r="C249" s="14"/>
      <c r="D249" s="15">
        <f>SUM(D250:D250)</f>
        <v>65</v>
      </c>
      <c r="E249" s="15">
        <f>SUM(E250:E250)</f>
        <v>65</v>
      </c>
      <c r="F249" s="15">
        <f>SUM(F250:F250)</f>
        <v>19.899999999999999</v>
      </c>
      <c r="G249" s="15">
        <f>SUM(G250:G250)</f>
        <v>45.1</v>
      </c>
      <c r="H249" s="15">
        <f>SUM(H250:H250)</f>
        <v>45.1</v>
      </c>
      <c r="I249" s="151">
        <f>SUM(F249/E249)</f>
        <v>0.30615384615384611</v>
      </c>
      <c r="J249" s="336" t="s">
        <v>477</v>
      </c>
      <c r="K249" s="339" t="s">
        <v>35</v>
      </c>
      <c r="L249" s="342">
        <v>1</v>
      </c>
      <c r="M249" s="369">
        <v>0</v>
      </c>
      <c r="N249" s="336" t="s">
        <v>1772</v>
      </c>
      <c r="O249" s="351" t="s">
        <v>1771</v>
      </c>
      <c r="P249" s="139"/>
    </row>
    <row r="250" spans="1:16" ht="15.75" thickBot="1" x14ac:dyDescent="0.3">
      <c r="A250" s="387"/>
      <c r="B250" s="338"/>
      <c r="C250" s="20" t="s">
        <v>24</v>
      </c>
      <c r="D250" s="21">
        <v>65</v>
      </c>
      <c r="E250" s="21">
        <v>65</v>
      </c>
      <c r="F250" s="21">
        <v>19.899999999999999</v>
      </c>
      <c r="G250" s="21">
        <v>45.1</v>
      </c>
      <c r="H250" s="21">
        <v>45.1</v>
      </c>
      <c r="I250" s="79">
        <f t="shared" ref="I250:I257" si="15">SUM(F250/E250)</f>
        <v>0.30615384615384611</v>
      </c>
      <c r="J250" s="338"/>
      <c r="K250" s="341"/>
      <c r="L250" s="344"/>
      <c r="M250" s="370"/>
      <c r="N250" s="338"/>
      <c r="O250" s="353"/>
    </row>
    <row r="251" spans="1:16" ht="64.5" customHeight="1" x14ac:dyDescent="0.25">
      <c r="A251" s="385" t="s">
        <v>478</v>
      </c>
      <c r="B251" s="336" t="s">
        <v>479</v>
      </c>
      <c r="C251" s="14"/>
      <c r="D251" s="15">
        <f>SUM(D252:D252)</f>
        <v>100</v>
      </c>
      <c r="E251" s="15">
        <f>SUM(E252:E252)</f>
        <v>100</v>
      </c>
      <c r="F251" s="15">
        <f>SUM(F252:F252)</f>
        <v>6.6</v>
      </c>
      <c r="G251" s="15">
        <f>SUM(G252:G252)</f>
        <v>93.4</v>
      </c>
      <c r="H251" s="15">
        <f>SUM(H252:H252)</f>
        <v>93.4</v>
      </c>
      <c r="I251" s="151">
        <f t="shared" si="15"/>
        <v>6.6000000000000003E-2</v>
      </c>
      <c r="J251" s="336" t="s">
        <v>480</v>
      </c>
      <c r="K251" s="339" t="s">
        <v>23</v>
      </c>
      <c r="L251" s="342">
        <v>30</v>
      </c>
      <c r="M251" s="369">
        <v>0</v>
      </c>
      <c r="N251" s="336" t="s">
        <v>481</v>
      </c>
      <c r="O251" s="351" t="s">
        <v>1773</v>
      </c>
      <c r="P251" s="139"/>
    </row>
    <row r="252" spans="1:16" ht="15.75" thickBot="1" x14ac:dyDescent="0.3">
      <c r="A252" s="387"/>
      <c r="B252" s="338"/>
      <c r="C252" s="20" t="s">
        <v>24</v>
      </c>
      <c r="D252" s="21">
        <v>100</v>
      </c>
      <c r="E252" s="21">
        <v>100</v>
      </c>
      <c r="F252" s="21">
        <v>6.6</v>
      </c>
      <c r="G252" s="21">
        <v>93.4</v>
      </c>
      <c r="H252" s="21">
        <v>93.4</v>
      </c>
      <c r="I252" s="79">
        <f t="shared" si="15"/>
        <v>6.6000000000000003E-2</v>
      </c>
      <c r="J252" s="338"/>
      <c r="K252" s="341"/>
      <c r="L252" s="344"/>
      <c r="M252" s="370"/>
      <c r="N252" s="338"/>
      <c r="O252" s="353"/>
    </row>
    <row r="253" spans="1:16" ht="54" customHeight="1" thickBot="1" x14ac:dyDescent="0.3">
      <c r="A253" s="13" t="s">
        <v>482</v>
      </c>
      <c r="B253" s="37" t="s">
        <v>483</v>
      </c>
      <c r="C253" s="14" t="s">
        <v>29</v>
      </c>
      <c r="D253" s="24">
        <v>3.1</v>
      </c>
      <c r="E253" s="24">
        <v>3.1</v>
      </c>
      <c r="F253" s="24">
        <v>0.1</v>
      </c>
      <c r="G253" s="24">
        <v>3</v>
      </c>
      <c r="H253" s="24">
        <v>3</v>
      </c>
      <c r="I253" s="154">
        <f t="shared" si="15"/>
        <v>3.2258064516129031E-2</v>
      </c>
      <c r="J253" s="41" t="s">
        <v>484</v>
      </c>
      <c r="K253" s="16" t="s">
        <v>485</v>
      </c>
      <c r="L253" s="17">
        <v>12.1</v>
      </c>
      <c r="M253" s="210">
        <v>5.08</v>
      </c>
      <c r="N253" s="41" t="s">
        <v>1775</v>
      </c>
      <c r="O253" s="42" t="s">
        <v>1774</v>
      </c>
      <c r="P253" s="290"/>
    </row>
    <row r="254" spans="1:16" ht="15" customHeight="1" x14ac:dyDescent="0.25">
      <c r="A254" s="385" t="s">
        <v>486</v>
      </c>
      <c r="B254" s="336" t="s">
        <v>487</v>
      </c>
      <c r="C254" s="14"/>
      <c r="D254" s="15">
        <f>SUM(D255:D257)</f>
        <v>1543.1</v>
      </c>
      <c r="E254" s="15">
        <f>SUM(E255:E257)</f>
        <v>1543.1</v>
      </c>
      <c r="F254" s="15">
        <f>SUM(F255:F257)</f>
        <v>1543.1</v>
      </c>
      <c r="G254" s="15"/>
      <c r="H254" s="15"/>
      <c r="I254" s="148">
        <f t="shared" si="15"/>
        <v>1</v>
      </c>
      <c r="J254" s="336" t="s">
        <v>488</v>
      </c>
      <c r="K254" s="339" t="s">
        <v>456</v>
      </c>
      <c r="L254" s="342">
        <v>0.5</v>
      </c>
      <c r="M254" s="345">
        <v>0.5</v>
      </c>
      <c r="N254" s="336" t="s">
        <v>1776</v>
      </c>
      <c r="O254" s="333"/>
      <c r="P254" s="181"/>
    </row>
    <row r="255" spans="1:16" x14ac:dyDescent="0.25">
      <c r="A255" s="386"/>
      <c r="B255" s="337"/>
      <c r="C255" s="20" t="s">
        <v>457</v>
      </c>
      <c r="D255" s="21">
        <v>20</v>
      </c>
      <c r="E255" s="21">
        <v>20</v>
      </c>
      <c r="F255" s="21">
        <v>20</v>
      </c>
      <c r="G255" s="21"/>
      <c r="H255" s="67"/>
      <c r="I255" s="149">
        <f t="shared" si="15"/>
        <v>1</v>
      </c>
      <c r="J255" s="372"/>
      <c r="K255" s="340"/>
      <c r="L255" s="343"/>
      <c r="M255" s="346"/>
      <c r="N255" s="337"/>
      <c r="O255" s="334"/>
    </row>
    <row r="256" spans="1:16" x14ac:dyDescent="0.25">
      <c r="A256" s="386"/>
      <c r="B256" s="337"/>
      <c r="C256" s="20" t="s">
        <v>43</v>
      </c>
      <c r="D256" s="21">
        <v>1343.1</v>
      </c>
      <c r="E256" s="21">
        <v>1343.1</v>
      </c>
      <c r="F256" s="21">
        <v>1343.1</v>
      </c>
      <c r="G256" s="21"/>
      <c r="H256" s="67"/>
      <c r="I256" s="149">
        <f t="shared" si="15"/>
        <v>1</v>
      </c>
      <c r="J256" s="372"/>
      <c r="K256" s="340"/>
      <c r="L256" s="343"/>
      <c r="M256" s="346"/>
      <c r="N256" s="337"/>
      <c r="O256" s="334"/>
    </row>
    <row r="257" spans="1:19" ht="15.75" thickBot="1" x14ac:dyDescent="0.3">
      <c r="A257" s="387"/>
      <c r="B257" s="338"/>
      <c r="C257" s="20" t="s">
        <v>436</v>
      </c>
      <c r="D257" s="21">
        <v>180</v>
      </c>
      <c r="E257" s="21">
        <v>180</v>
      </c>
      <c r="F257" s="21">
        <v>180</v>
      </c>
      <c r="G257" s="21"/>
      <c r="H257" s="21"/>
      <c r="I257" s="79">
        <f t="shared" si="15"/>
        <v>1</v>
      </c>
      <c r="J257" s="338"/>
      <c r="K257" s="341"/>
      <c r="L257" s="344"/>
      <c r="M257" s="347"/>
      <c r="N257" s="338"/>
      <c r="O257" s="335"/>
    </row>
    <row r="258" spans="1:19" ht="38.25" x14ac:dyDescent="0.25">
      <c r="A258" s="401" t="s">
        <v>489</v>
      </c>
      <c r="B258" s="404" t="s">
        <v>490</v>
      </c>
      <c r="C258" s="407"/>
      <c r="D258" s="395">
        <f>SUM(D259:D260)</f>
        <v>5154.5</v>
      </c>
      <c r="E258" s="395">
        <f>SUM(E259:E260)</f>
        <v>5154.5</v>
      </c>
      <c r="F258" s="395">
        <f>SUM(F259:F260)</f>
        <v>5152</v>
      </c>
      <c r="G258" s="395">
        <f>SUM(G259:G260)</f>
        <v>2.5</v>
      </c>
      <c r="H258" s="395">
        <f>SUM(H259:H260)</f>
        <v>2.5</v>
      </c>
      <c r="I258" s="398">
        <f>SUM(F258/E258)</f>
        <v>0.99951498690464646</v>
      </c>
      <c r="J258" s="45" t="s">
        <v>491</v>
      </c>
      <c r="K258" s="12" t="s">
        <v>23</v>
      </c>
      <c r="L258" s="50">
        <v>10</v>
      </c>
      <c r="M258" s="50">
        <v>13.66</v>
      </c>
      <c r="N258" s="422"/>
      <c r="O258" s="490" t="s">
        <v>1625</v>
      </c>
    </row>
    <row r="259" spans="1:19" ht="29.25" customHeight="1" thickBot="1" x14ac:dyDescent="0.3">
      <c r="A259" s="403"/>
      <c r="B259" s="406"/>
      <c r="C259" s="409"/>
      <c r="D259" s="397"/>
      <c r="E259" s="397"/>
      <c r="F259" s="397"/>
      <c r="G259" s="397"/>
      <c r="H259" s="397"/>
      <c r="I259" s="400"/>
      <c r="J259" s="55" t="s">
        <v>492</v>
      </c>
      <c r="K259" s="56" t="s">
        <v>493</v>
      </c>
      <c r="L259" s="57">
        <v>358</v>
      </c>
      <c r="M259" s="57">
        <v>387</v>
      </c>
      <c r="N259" s="423"/>
      <c r="O259" s="491"/>
    </row>
    <row r="260" spans="1:19" ht="26.25" thickBot="1" x14ac:dyDescent="0.3">
      <c r="A260" s="13" t="s">
        <v>494</v>
      </c>
      <c r="B260" s="37" t="s">
        <v>495</v>
      </c>
      <c r="C260" s="14"/>
      <c r="D260" s="15">
        <f>D261+D262+D263+D266</f>
        <v>5154.5</v>
      </c>
      <c r="E260" s="15">
        <f>E261+E262+E263+E266</f>
        <v>5154.5</v>
      </c>
      <c r="F260" s="15">
        <f>F261+F262+F263+F266-0.1</f>
        <v>5152</v>
      </c>
      <c r="G260" s="15">
        <f>G261+G262+G263+G266</f>
        <v>2.5</v>
      </c>
      <c r="H260" s="15">
        <f>H261+H262+H263+H266</f>
        <v>2.5</v>
      </c>
      <c r="I260" s="154">
        <f>SUM(F260/E260)</f>
        <v>0.99951498690464646</v>
      </c>
      <c r="J260" s="41"/>
      <c r="K260" s="16"/>
      <c r="L260" s="48"/>
      <c r="M260" s="17"/>
      <c r="N260" s="41"/>
      <c r="O260" s="42"/>
      <c r="P260" s="284"/>
    </row>
    <row r="261" spans="1:19" ht="26.25" thickBot="1" x14ac:dyDescent="0.3">
      <c r="A261" s="13" t="s">
        <v>496</v>
      </c>
      <c r="B261" s="37" t="s">
        <v>497</v>
      </c>
      <c r="C261" s="14" t="s">
        <v>43</v>
      </c>
      <c r="D261" s="24">
        <v>309</v>
      </c>
      <c r="E261" s="24">
        <v>309</v>
      </c>
      <c r="F261" s="24">
        <v>309</v>
      </c>
      <c r="G261" s="24"/>
      <c r="H261" s="24"/>
      <c r="I261" s="154">
        <f t="shared" ref="I261:I266" si="16">SUM(F261/E261)</f>
        <v>1</v>
      </c>
      <c r="J261" s="41" t="s">
        <v>498</v>
      </c>
      <c r="K261" s="16" t="s">
        <v>23</v>
      </c>
      <c r="L261" s="17">
        <v>51</v>
      </c>
      <c r="M261" s="176">
        <v>52.29</v>
      </c>
      <c r="N261" s="41" t="s">
        <v>1778</v>
      </c>
      <c r="O261" s="42"/>
    </row>
    <row r="262" spans="1:19" ht="26.25" thickBot="1" x14ac:dyDescent="0.3">
      <c r="A262" s="13" t="s">
        <v>499</v>
      </c>
      <c r="B262" s="37" t="s">
        <v>500</v>
      </c>
      <c r="C262" s="14" t="s">
        <v>43</v>
      </c>
      <c r="D262" s="24">
        <v>1400.6</v>
      </c>
      <c r="E262" s="24">
        <v>1400.6</v>
      </c>
      <c r="F262" s="24">
        <v>1400.6</v>
      </c>
      <c r="G262" s="24"/>
      <c r="H262" s="24"/>
      <c r="I262" s="154">
        <f t="shared" si="16"/>
        <v>1</v>
      </c>
      <c r="J262" s="41" t="s">
        <v>501</v>
      </c>
      <c r="K262" s="16" t="s">
        <v>485</v>
      </c>
      <c r="L262" s="53">
        <v>37000</v>
      </c>
      <c r="M262" s="189">
        <v>38048.65</v>
      </c>
      <c r="N262" s="41" t="s">
        <v>1779</v>
      </c>
      <c r="O262" s="42"/>
    </row>
    <row r="263" spans="1:19" ht="25.5" customHeight="1" x14ac:dyDescent="0.25">
      <c r="A263" s="385" t="s">
        <v>502</v>
      </c>
      <c r="B263" s="336" t="s">
        <v>503</v>
      </c>
      <c r="C263" s="14"/>
      <c r="D263" s="15">
        <f>SUM(D264:D265)</f>
        <v>3414.9</v>
      </c>
      <c r="E263" s="15">
        <f>SUM(E264:E265)</f>
        <v>3414.9</v>
      </c>
      <c r="F263" s="15">
        <f>SUM(F264:F265)+0.1</f>
        <v>3414.9</v>
      </c>
      <c r="G263" s="15">
        <f>SUM(G264:G265)</f>
        <v>0.1</v>
      </c>
      <c r="H263" s="15">
        <f>SUM(H264:H265)</f>
        <v>0.1</v>
      </c>
      <c r="I263" s="148">
        <f t="shared" si="16"/>
        <v>1</v>
      </c>
      <c r="J263" s="371" t="s">
        <v>504</v>
      </c>
      <c r="K263" s="339" t="s">
        <v>485</v>
      </c>
      <c r="L263" s="410">
        <v>37000</v>
      </c>
      <c r="M263" s="416">
        <v>38048.65</v>
      </c>
      <c r="N263" s="336" t="s">
        <v>1780</v>
      </c>
      <c r="O263" s="333"/>
    </row>
    <row r="264" spans="1:19" x14ac:dyDescent="0.25">
      <c r="A264" s="386"/>
      <c r="B264" s="337"/>
      <c r="C264" s="20" t="s">
        <v>24</v>
      </c>
      <c r="D264" s="21">
        <v>124.5</v>
      </c>
      <c r="E264" s="21">
        <v>124.5</v>
      </c>
      <c r="F264" s="21">
        <v>124.5</v>
      </c>
      <c r="G264" s="21"/>
      <c r="H264" s="67"/>
      <c r="I264" s="149">
        <f t="shared" si="16"/>
        <v>1</v>
      </c>
      <c r="J264" s="372"/>
      <c r="K264" s="340"/>
      <c r="L264" s="411"/>
      <c r="M264" s="417"/>
      <c r="N264" s="337"/>
      <c r="O264" s="334"/>
    </row>
    <row r="265" spans="1:19" ht="15.75" thickBot="1" x14ac:dyDescent="0.3">
      <c r="A265" s="386"/>
      <c r="B265" s="337"/>
      <c r="C265" s="113" t="s">
        <v>43</v>
      </c>
      <c r="D265" s="114">
        <v>3290.4</v>
      </c>
      <c r="E265" s="114">
        <v>3290.4</v>
      </c>
      <c r="F265" s="114">
        <v>3290.3</v>
      </c>
      <c r="G265" s="114">
        <v>0.1</v>
      </c>
      <c r="H265" s="114">
        <v>0.1</v>
      </c>
      <c r="I265" s="152">
        <f t="shared" si="16"/>
        <v>0.99996960855823003</v>
      </c>
      <c r="J265" s="372"/>
      <c r="K265" s="340"/>
      <c r="L265" s="411"/>
      <c r="M265" s="417"/>
      <c r="N265" s="337"/>
      <c r="O265" s="334"/>
    </row>
    <row r="266" spans="1:19" ht="29.25" customHeight="1" x14ac:dyDescent="0.25">
      <c r="A266" s="388" t="s">
        <v>505</v>
      </c>
      <c r="B266" s="390" t="s">
        <v>506</v>
      </c>
      <c r="C266" s="195" t="s">
        <v>436</v>
      </c>
      <c r="D266" s="196">
        <f>SUM(D267:D267)+30</f>
        <v>30</v>
      </c>
      <c r="E266" s="196">
        <f>SUM(E267:E267)+30</f>
        <v>30</v>
      </c>
      <c r="F266" s="196">
        <f>SUM(F267:F267)+27.6</f>
        <v>27.6</v>
      </c>
      <c r="G266" s="196">
        <f>SUM(G267:G267)+2.4</f>
        <v>2.4</v>
      </c>
      <c r="H266" s="196">
        <f>SUM(H267:H267)+2.4</f>
        <v>2.4</v>
      </c>
      <c r="I266" s="197">
        <f t="shared" si="16"/>
        <v>0.92</v>
      </c>
      <c r="J266" s="198" t="s">
        <v>507</v>
      </c>
      <c r="K266" s="199" t="s">
        <v>23</v>
      </c>
      <c r="L266" s="224">
        <v>100</v>
      </c>
      <c r="M266" s="256">
        <v>92</v>
      </c>
      <c r="N266" s="252"/>
      <c r="O266" s="202" t="s">
        <v>1626</v>
      </c>
    </row>
    <row r="267" spans="1:19" ht="15.75" thickBot="1" x14ac:dyDescent="0.3">
      <c r="A267" s="389"/>
      <c r="B267" s="391"/>
      <c r="C267" s="58"/>
      <c r="D267" s="59"/>
      <c r="E267" s="59"/>
      <c r="F267" s="59"/>
      <c r="G267" s="59"/>
      <c r="H267" s="59"/>
      <c r="I267" s="173"/>
      <c r="J267" s="60" t="s">
        <v>508</v>
      </c>
      <c r="K267" s="61" t="s">
        <v>485</v>
      </c>
      <c r="L267" s="62">
        <v>100</v>
      </c>
      <c r="M267" s="257">
        <v>253.1</v>
      </c>
      <c r="N267" s="60" t="s">
        <v>1777</v>
      </c>
      <c r="O267" s="204"/>
    </row>
    <row r="268" spans="1:19" ht="26.25" thickBot="1" x14ac:dyDescent="0.3">
      <c r="A268" s="292" t="s">
        <v>509</v>
      </c>
      <c r="B268" s="293" t="s">
        <v>510</v>
      </c>
      <c r="C268" s="294"/>
      <c r="D268" s="295">
        <f>D269+D327+D408</f>
        <v>59125.600000000006</v>
      </c>
      <c r="E268" s="295">
        <f>E269+E327+E408</f>
        <v>59125.600000000006</v>
      </c>
      <c r="F268" s="295">
        <f>F269+F327+F408-0.1</f>
        <v>51079.600000000013</v>
      </c>
      <c r="G268" s="295">
        <f>G269+G327+G408</f>
        <v>8046</v>
      </c>
      <c r="H268" s="295">
        <f>H269+H327+H408</f>
        <v>8046</v>
      </c>
      <c r="I268" s="296">
        <f>SUM(F268/E268)</f>
        <v>0.86391681437482259</v>
      </c>
      <c r="J268" s="413"/>
      <c r="K268" s="414"/>
      <c r="L268" s="414"/>
      <c r="M268" s="414"/>
      <c r="N268" s="414"/>
      <c r="O268" s="415"/>
      <c r="Q268" s="312"/>
      <c r="R268" s="313" t="s">
        <v>1</v>
      </c>
      <c r="S268" s="314" t="s">
        <v>2104</v>
      </c>
    </row>
    <row r="269" spans="1:19" ht="64.5" thickBot="1" x14ac:dyDescent="0.3">
      <c r="A269" s="9" t="s">
        <v>511</v>
      </c>
      <c r="B269" s="36" t="s">
        <v>512</v>
      </c>
      <c r="C269" s="10"/>
      <c r="D269" s="11">
        <f>D270+D273+D299+D302+D303+D310+D320+D322+D323+D324+D325+D326</f>
        <v>3053.3</v>
      </c>
      <c r="E269" s="11">
        <f>E270+E273+E299+E302+E303+E310+E320+E322+E323+E324+E325+E326</f>
        <v>3053.3</v>
      </c>
      <c r="F269" s="11">
        <f>F270+F273+F299+F302+F303+F310+F320+F322+F323+F324+F325+F326+0.1</f>
        <v>1644.7999999999997</v>
      </c>
      <c r="G269" s="11">
        <f>G270+G273+G299+G302+G303+G310+G320+G322+G323+G324+G325+G326-0.1</f>
        <v>1408.6000000000001</v>
      </c>
      <c r="H269" s="11">
        <f>H270+H273+H299+H302+H303+H310+H320+H322+H323+H324+H325+H326-0.1</f>
        <v>1408.6000000000001</v>
      </c>
      <c r="I269" s="163">
        <f>SUM(F269/E269)</f>
        <v>0.53869583729079995</v>
      </c>
      <c r="J269" s="45" t="s">
        <v>513</v>
      </c>
      <c r="K269" s="12" t="s">
        <v>23</v>
      </c>
      <c r="L269" s="50">
        <v>3</v>
      </c>
      <c r="M269" s="82">
        <v>3.55</v>
      </c>
      <c r="N269" s="489"/>
      <c r="O269" s="425"/>
      <c r="Q269" s="315"/>
      <c r="R269" s="316" t="s">
        <v>2096</v>
      </c>
      <c r="S269" s="317">
        <v>13</v>
      </c>
    </row>
    <row r="270" spans="1:19" ht="28.5" customHeight="1" x14ac:dyDescent="0.25">
      <c r="A270" s="385" t="s">
        <v>514</v>
      </c>
      <c r="B270" s="336" t="s">
        <v>515</v>
      </c>
      <c r="C270" s="14"/>
      <c r="D270" s="15">
        <f>SUM(D271:D272)</f>
        <v>130.6</v>
      </c>
      <c r="E270" s="15">
        <f>SUM(E271:E272)</f>
        <v>130.6</v>
      </c>
      <c r="F270" s="15"/>
      <c r="G270" s="15">
        <f>SUM(G271:G272)</f>
        <v>130.6</v>
      </c>
      <c r="H270" s="15">
        <f>SUM(H271:H272)</f>
        <v>130.6</v>
      </c>
      <c r="I270" s="148">
        <f>SUM(F270/E270)</f>
        <v>0</v>
      </c>
      <c r="J270" s="371" t="s">
        <v>516</v>
      </c>
      <c r="K270" s="339" t="s">
        <v>35</v>
      </c>
      <c r="L270" s="342">
        <v>1</v>
      </c>
      <c r="M270" s="369">
        <v>0</v>
      </c>
      <c r="N270" s="336" t="s">
        <v>1811</v>
      </c>
      <c r="O270" s="351" t="s">
        <v>1812</v>
      </c>
      <c r="P270" s="139"/>
      <c r="Q270" s="318"/>
      <c r="R270" s="316" t="s">
        <v>2097</v>
      </c>
      <c r="S270" s="317">
        <v>2</v>
      </c>
    </row>
    <row r="271" spans="1:19" ht="31.5" x14ac:dyDescent="0.25">
      <c r="A271" s="386"/>
      <c r="B271" s="337"/>
      <c r="C271" s="20" t="s">
        <v>43</v>
      </c>
      <c r="D271" s="21">
        <v>65.3</v>
      </c>
      <c r="E271" s="21">
        <v>65.3</v>
      </c>
      <c r="F271" s="21"/>
      <c r="G271" s="21">
        <v>65.3</v>
      </c>
      <c r="H271" s="67">
        <v>65.3</v>
      </c>
      <c r="I271" s="149">
        <f t="shared" ref="I271:I273" si="17">SUM(F271/E271)</f>
        <v>0</v>
      </c>
      <c r="J271" s="372"/>
      <c r="K271" s="340"/>
      <c r="L271" s="343"/>
      <c r="M271" s="373"/>
      <c r="N271" s="337"/>
      <c r="O271" s="352"/>
      <c r="Q271" s="319"/>
      <c r="R271" s="316" t="s">
        <v>2098</v>
      </c>
      <c r="S271" s="320">
        <v>5</v>
      </c>
    </row>
    <row r="272" spans="1:19" ht="32.25" thickBot="1" x14ac:dyDescent="0.3">
      <c r="A272" s="387"/>
      <c r="B272" s="338"/>
      <c r="C272" s="20" t="s">
        <v>24</v>
      </c>
      <c r="D272" s="21">
        <v>65.3</v>
      </c>
      <c r="E272" s="21">
        <v>65.3</v>
      </c>
      <c r="F272" s="21"/>
      <c r="G272" s="21">
        <v>65.3</v>
      </c>
      <c r="H272" s="21">
        <v>65.3</v>
      </c>
      <c r="I272" s="79">
        <f t="shared" si="17"/>
        <v>0</v>
      </c>
      <c r="J272" s="361"/>
      <c r="K272" s="341"/>
      <c r="L272" s="344"/>
      <c r="M272" s="370"/>
      <c r="N272" s="338"/>
      <c r="O272" s="353"/>
      <c r="Q272" s="321"/>
      <c r="R272" s="316" t="s">
        <v>2099</v>
      </c>
      <c r="S272" s="320">
        <v>7</v>
      </c>
    </row>
    <row r="273" spans="1:19" ht="38.25" x14ac:dyDescent="0.25">
      <c r="A273" s="385" t="s">
        <v>517</v>
      </c>
      <c r="B273" s="336" t="s">
        <v>518</v>
      </c>
      <c r="C273" s="14" t="s">
        <v>43</v>
      </c>
      <c r="D273" s="15">
        <f>SUM(D274:D298)+306</f>
        <v>306</v>
      </c>
      <c r="E273" s="15">
        <f>SUM(E274:E298)+306</f>
        <v>306</v>
      </c>
      <c r="F273" s="15">
        <f>SUM(F274:F298)+160.8</f>
        <v>160.80000000000001</v>
      </c>
      <c r="G273" s="15">
        <f>SUM(G274:G298)+145.2</f>
        <v>145.19999999999999</v>
      </c>
      <c r="H273" s="15">
        <f>SUM(H274:H298)+145.2</f>
        <v>145.19999999999999</v>
      </c>
      <c r="I273" s="154">
        <f t="shared" si="17"/>
        <v>0.52549019607843139</v>
      </c>
      <c r="J273" s="41" t="s">
        <v>519</v>
      </c>
      <c r="K273" s="16" t="s">
        <v>35</v>
      </c>
      <c r="L273" s="17">
        <v>5</v>
      </c>
      <c r="M273" s="143">
        <v>13</v>
      </c>
      <c r="N273" s="41"/>
      <c r="O273" s="125" t="s">
        <v>1813</v>
      </c>
      <c r="P273" s="181"/>
      <c r="Q273" s="322"/>
      <c r="R273" s="316" t="s">
        <v>2100</v>
      </c>
      <c r="S273" s="320">
        <v>5</v>
      </c>
    </row>
    <row r="274" spans="1:19" ht="51" x14ac:dyDescent="0.25">
      <c r="A274" s="386"/>
      <c r="B274" s="337"/>
      <c r="C274" s="20"/>
      <c r="D274" s="21"/>
      <c r="E274" s="21"/>
      <c r="F274" s="21"/>
      <c r="G274" s="21"/>
      <c r="H274" s="21"/>
      <c r="I274" s="150"/>
      <c r="J274" s="43" t="s">
        <v>520</v>
      </c>
      <c r="K274" s="22" t="s">
        <v>23</v>
      </c>
      <c r="L274" s="23">
        <v>100</v>
      </c>
      <c r="M274" s="135">
        <v>100</v>
      </c>
      <c r="N274" s="43"/>
      <c r="O274" s="44"/>
      <c r="Q274" s="312"/>
      <c r="R274" s="323" t="s">
        <v>2101</v>
      </c>
      <c r="S274" s="320">
        <f>+SUM(S269:S273)</f>
        <v>32</v>
      </c>
    </row>
    <row r="275" spans="1:19" ht="25.5" x14ac:dyDescent="0.25">
      <c r="A275" s="386"/>
      <c r="B275" s="337"/>
      <c r="C275" s="20"/>
      <c r="D275" s="21"/>
      <c r="E275" s="21"/>
      <c r="F275" s="21"/>
      <c r="G275" s="21"/>
      <c r="H275" s="21"/>
      <c r="I275" s="150"/>
      <c r="J275" s="43" t="s">
        <v>521</v>
      </c>
      <c r="K275" s="22" t="s">
        <v>35</v>
      </c>
      <c r="L275" s="23">
        <v>1</v>
      </c>
      <c r="M275" s="135">
        <v>1</v>
      </c>
      <c r="N275" s="43"/>
      <c r="O275" s="44"/>
    </row>
    <row r="276" spans="1:19" ht="38.25" x14ac:dyDescent="0.25">
      <c r="A276" s="386"/>
      <c r="B276" s="337"/>
      <c r="C276" s="20"/>
      <c r="D276" s="21"/>
      <c r="E276" s="21"/>
      <c r="F276" s="21"/>
      <c r="G276" s="21"/>
      <c r="H276" s="21"/>
      <c r="I276" s="150"/>
      <c r="J276" s="43" t="s">
        <v>522</v>
      </c>
      <c r="K276" s="22" t="s">
        <v>23</v>
      </c>
      <c r="L276" s="23">
        <v>100</v>
      </c>
      <c r="M276" s="140">
        <v>80</v>
      </c>
      <c r="N276" s="43"/>
      <c r="O276" s="44" t="s">
        <v>1814</v>
      </c>
    </row>
    <row r="277" spans="1:19" ht="25.5" x14ac:dyDescent="0.25">
      <c r="A277" s="386"/>
      <c r="B277" s="337"/>
      <c r="C277" s="20"/>
      <c r="D277" s="21"/>
      <c r="E277" s="21"/>
      <c r="F277" s="21"/>
      <c r="G277" s="21"/>
      <c r="H277" s="21"/>
      <c r="I277" s="150"/>
      <c r="J277" s="43" t="s">
        <v>523</v>
      </c>
      <c r="K277" s="22" t="s">
        <v>35</v>
      </c>
      <c r="L277" s="23">
        <v>1</v>
      </c>
      <c r="M277" s="135">
        <v>1</v>
      </c>
      <c r="N277" s="43"/>
      <c r="O277" s="44"/>
    </row>
    <row r="278" spans="1:19" ht="51" x14ac:dyDescent="0.25">
      <c r="A278" s="386"/>
      <c r="B278" s="337"/>
      <c r="C278" s="20"/>
      <c r="D278" s="21"/>
      <c r="E278" s="21"/>
      <c r="F278" s="21"/>
      <c r="G278" s="21"/>
      <c r="H278" s="21"/>
      <c r="I278" s="150"/>
      <c r="J278" s="43" t="s">
        <v>524</v>
      </c>
      <c r="K278" s="22" t="s">
        <v>35</v>
      </c>
      <c r="L278" s="23">
        <v>1</v>
      </c>
      <c r="M278" s="135">
        <v>1</v>
      </c>
      <c r="N278" s="43"/>
      <c r="O278" s="44"/>
    </row>
    <row r="279" spans="1:19" ht="69.75" customHeight="1" x14ac:dyDescent="0.25">
      <c r="A279" s="386"/>
      <c r="B279" s="337"/>
      <c r="C279" s="20"/>
      <c r="D279" s="21"/>
      <c r="E279" s="21"/>
      <c r="F279" s="21"/>
      <c r="G279" s="21"/>
      <c r="H279" s="21"/>
      <c r="I279" s="150"/>
      <c r="J279" s="43" t="s">
        <v>525</v>
      </c>
      <c r="K279" s="22" t="s">
        <v>23</v>
      </c>
      <c r="L279" s="23">
        <v>100</v>
      </c>
      <c r="M279" s="185">
        <v>10</v>
      </c>
      <c r="N279" s="43" t="s">
        <v>1815</v>
      </c>
      <c r="O279" s="44" t="s">
        <v>1816</v>
      </c>
    </row>
    <row r="280" spans="1:19" ht="38.25" x14ac:dyDescent="0.25">
      <c r="A280" s="386"/>
      <c r="B280" s="337"/>
      <c r="C280" s="20"/>
      <c r="D280" s="21"/>
      <c r="E280" s="21"/>
      <c r="F280" s="21"/>
      <c r="G280" s="21"/>
      <c r="H280" s="21"/>
      <c r="I280" s="150"/>
      <c r="J280" s="43" t="s">
        <v>526</v>
      </c>
      <c r="K280" s="22" t="s">
        <v>23</v>
      </c>
      <c r="L280" s="23">
        <v>100</v>
      </c>
      <c r="M280" s="135">
        <v>100</v>
      </c>
      <c r="N280" s="43"/>
      <c r="O280" s="44"/>
    </row>
    <row r="281" spans="1:19" ht="76.5" x14ac:dyDescent="0.25">
      <c r="A281" s="386"/>
      <c r="B281" s="337"/>
      <c r="C281" s="20"/>
      <c r="D281" s="21"/>
      <c r="E281" s="21"/>
      <c r="F281" s="21"/>
      <c r="G281" s="21"/>
      <c r="H281" s="21"/>
      <c r="I281" s="150"/>
      <c r="J281" s="43" t="s">
        <v>527</v>
      </c>
      <c r="K281" s="22" t="s">
        <v>23</v>
      </c>
      <c r="L281" s="23">
        <v>100</v>
      </c>
      <c r="M281" s="140">
        <v>90</v>
      </c>
      <c r="N281" s="43" t="s">
        <v>1817</v>
      </c>
      <c r="O281" s="44" t="s">
        <v>1818</v>
      </c>
    </row>
    <row r="282" spans="1:19" ht="40.5" customHeight="1" x14ac:dyDescent="0.25">
      <c r="A282" s="386"/>
      <c r="B282" s="337"/>
      <c r="C282" s="20"/>
      <c r="D282" s="21"/>
      <c r="E282" s="21"/>
      <c r="F282" s="21"/>
      <c r="G282" s="21"/>
      <c r="H282" s="21"/>
      <c r="I282" s="150"/>
      <c r="J282" s="43" t="s">
        <v>528</v>
      </c>
      <c r="K282" s="22" t="s">
        <v>35</v>
      </c>
      <c r="L282" s="23">
        <v>1</v>
      </c>
      <c r="M282" s="135">
        <v>1</v>
      </c>
      <c r="N282" s="43"/>
      <c r="O282" s="44"/>
    </row>
    <row r="283" spans="1:19" ht="25.5" x14ac:dyDescent="0.25">
      <c r="A283" s="386"/>
      <c r="B283" s="337"/>
      <c r="C283" s="20"/>
      <c r="D283" s="21"/>
      <c r="E283" s="21"/>
      <c r="F283" s="21"/>
      <c r="G283" s="21"/>
      <c r="H283" s="21"/>
      <c r="I283" s="150"/>
      <c r="J283" s="43" t="s">
        <v>529</v>
      </c>
      <c r="K283" s="22" t="s">
        <v>35</v>
      </c>
      <c r="L283" s="23">
        <v>1</v>
      </c>
      <c r="M283" s="135">
        <v>1</v>
      </c>
      <c r="N283" s="43"/>
      <c r="O283" s="44"/>
    </row>
    <row r="284" spans="1:19" ht="51" x14ac:dyDescent="0.25">
      <c r="A284" s="386"/>
      <c r="B284" s="337"/>
      <c r="C284" s="20"/>
      <c r="D284" s="21"/>
      <c r="E284" s="21"/>
      <c r="F284" s="21"/>
      <c r="G284" s="21"/>
      <c r="H284" s="21"/>
      <c r="I284" s="150"/>
      <c r="J284" s="43" t="s">
        <v>530</v>
      </c>
      <c r="K284" s="22" t="s">
        <v>23</v>
      </c>
      <c r="L284" s="23">
        <v>100</v>
      </c>
      <c r="M284" s="135">
        <v>100</v>
      </c>
      <c r="N284" s="43"/>
      <c r="O284" s="44"/>
    </row>
    <row r="285" spans="1:19" ht="53.25" customHeight="1" x14ac:dyDescent="0.25">
      <c r="A285" s="386"/>
      <c r="B285" s="337"/>
      <c r="C285" s="20"/>
      <c r="D285" s="21"/>
      <c r="E285" s="21"/>
      <c r="F285" s="21"/>
      <c r="G285" s="21"/>
      <c r="H285" s="21"/>
      <c r="I285" s="150"/>
      <c r="J285" s="43" t="s">
        <v>531</v>
      </c>
      <c r="K285" s="22" t="s">
        <v>23</v>
      </c>
      <c r="L285" s="23">
        <v>80</v>
      </c>
      <c r="M285" s="135">
        <v>80</v>
      </c>
      <c r="N285" s="43"/>
      <c r="O285" s="77"/>
    </row>
    <row r="286" spans="1:19" ht="51" x14ac:dyDescent="0.25">
      <c r="A286" s="386"/>
      <c r="B286" s="337"/>
      <c r="C286" s="20"/>
      <c r="D286" s="21"/>
      <c r="E286" s="21"/>
      <c r="F286" s="21"/>
      <c r="G286" s="21"/>
      <c r="H286" s="21"/>
      <c r="I286" s="150"/>
      <c r="J286" s="43" t="s">
        <v>532</v>
      </c>
      <c r="K286" s="22" t="s">
        <v>23</v>
      </c>
      <c r="L286" s="23">
        <v>70</v>
      </c>
      <c r="M286" s="134">
        <v>100</v>
      </c>
      <c r="N286" s="43"/>
      <c r="O286" s="44"/>
    </row>
    <row r="287" spans="1:19" ht="51" x14ac:dyDescent="0.25">
      <c r="A287" s="386"/>
      <c r="B287" s="337"/>
      <c r="C287" s="20"/>
      <c r="D287" s="21"/>
      <c r="E287" s="21"/>
      <c r="F287" s="21"/>
      <c r="G287" s="21"/>
      <c r="H287" s="21"/>
      <c r="I287" s="150"/>
      <c r="J287" s="43" t="s">
        <v>533</v>
      </c>
      <c r="K287" s="22" t="s">
        <v>23</v>
      </c>
      <c r="L287" s="23">
        <v>100</v>
      </c>
      <c r="M287" s="135">
        <v>100</v>
      </c>
      <c r="N287" s="43"/>
      <c r="O287" s="44"/>
    </row>
    <row r="288" spans="1:19" ht="76.5" x14ac:dyDescent="0.25">
      <c r="A288" s="386"/>
      <c r="B288" s="337"/>
      <c r="C288" s="20"/>
      <c r="D288" s="21"/>
      <c r="E288" s="21"/>
      <c r="F288" s="21"/>
      <c r="G288" s="21"/>
      <c r="H288" s="21"/>
      <c r="I288" s="150"/>
      <c r="J288" s="43" t="s">
        <v>534</v>
      </c>
      <c r="K288" s="22" t="s">
        <v>23</v>
      </c>
      <c r="L288" s="23">
        <v>70</v>
      </c>
      <c r="M288" s="134">
        <v>80</v>
      </c>
      <c r="N288" s="43"/>
      <c r="O288" s="44" t="s">
        <v>1819</v>
      </c>
    </row>
    <row r="289" spans="1:16" ht="38.25" x14ac:dyDescent="0.25">
      <c r="A289" s="386"/>
      <c r="B289" s="337"/>
      <c r="C289" s="20"/>
      <c r="D289" s="21"/>
      <c r="E289" s="21"/>
      <c r="F289" s="21"/>
      <c r="G289" s="21"/>
      <c r="H289" s="21"/>
      <c r="I289" s="150"/>
      <c r="J289" s="43" t="s">
        <v>535</v>
      </c>
      <c r="K289" s="22" t="s">
        <v>23</v>
      </c>
      <c r="L289" s="23">
        <v>70</v>
      </c>
      <c r="M289" s="140">
        <v>60</v>
      </c>
      <c r="N289" s="43"/>
      <c r="O289" s="44" t="s">
        <v>1820</v>
      </c>
    </row>
    <row r="290" spans="1:16" ht="38.25" x14ac:dyDescent="0.25">
      <c r="A290" s="386"/>
      <c r="B290" s="337"/>
      <c r="C290" s="20"/>
      <c r="D290" s="21"/>
      <c r="E290" s="21"/>
      <c r="F290" s="21"/>
      <c r="G290" s="21"/>
      <c r="H290" s="21"/>
      <c r="I290" s="150"/>
      <c r="J290" s="43" t="s">
        <v>536</v>
      </c>
      <c r="K290" s="22" t="s">
        <v>23</v>
      </c>
      <c r="L290" s="23">
        <v>100</v>
      </c>
      <c r="M290" s="135">
        <v>100</v>
      </c>
      <c r="N290" s="43"/>
      <c r="O290" s="44"/>
    </row>
    <row r="291" spans="1:16" ht="63.75" x14ac:dyDescent="0.25">
      <c r="A291" s="386"/>
      <c r="B291" s="337"/>
      <c r="C291" s="20"/>
      <c r="D291" s="21"/>
      <c r="E291" s="21"/>
      <c r="F291" s="21"/>
      <c r="G291" s="21"/>
      <c r="H291" s="21"/>
      <c r="I291" s="150"/>
      <c r="J291" s="43" t="s">
        <v>537</v>
      </c>
      <c r="K291" s="22" t="s">
        <v>23</v>
      </c>
      <c r="L291" s="23">
        <v>100</v>
      </c>
      <c r="M291" s="140">
        <v>60</v>
      </c>
      <c r="N291" s="43" t="s">
        <v>1821</v>
      </c>
      <c r="O291" s="44" t="s">
        <v>1823</v>
      </c>
    </row>
    <row r="292" spans="1:16" ht="51" x14ac:dyDescent="0.25">
      <c r="A292" s="386"/>
      <c r="B292" s="337"/>
      <c r="C292" s="20"/>
      <c r="D292" s="21"/>
      <c r="E292" s="21"/>
      <c r="F292" s="21"/>
      <c r="G292" s="21"/>
      <c r="H292" s="21"/>
      <c r="I292" s="150"/>
      <c r="J292" s="43" t="s">
        <v>538</v>
      </c>
      <c r="K292" s="22" t="s">
        <v>23</v>
      </c>
      <c r="L292" s="23">
        <v>100</v>
      </c>
      <c r="M292" s="185">
        <v>40</v>
      </c>
      <c r="N292" s="43" t="s">
        <v>1822</v>
      </c>
      <c r="O292" s="44" t="s">
        <v>1824</v>
      </c>
    </row>
    <row r="293" spans="1:16" ht="30" customHeight="1" x14ac:dyDescent="0.25">
      <c r="A293" s="386"/>
      <c r="B293" s="337"/>
      <c r="C293" s="20"/>
      <c r="D293" s="21"/>
      <c r="E293" s="21"/>
      <c r="F293" s="21"/>
      <c r="G293" s="21"/>
      <c r="H293" s="21"/>
      <c r="I293" s="150"/>
      <c r="J293" s="43" t="s">
        <v>539</v>
      </c>
      <c r="K293" s="22" t="s">
        <v>23</v>
      </c>
      <c r="L293" s="23">
        <v>40</v>
      </c>
      <c r="M293" s="134">
        <v>80</v>
      </c>
      <c r="N293" s="43"/>
      <c r="O293" s="44"/>
    </row>
    <row r="294" spans="1:16" ht="38.25" x14ac:dyDescent="0.25">
      <c r="A294" s="386"/>
      <c r="B294" s="337"/>
      <c r="C294" s="20"/>
      <c r="D294" s="21"/>
      <c r="E294" s="21"/>
      <c r="F294" s="21"/>
      <c r="G294" s="21"/>
      <c r="H294" s="21"/>
      <c r="I294" s="150"/>
      <c r="J294" s="43" t="s">
        <v>540</v>
      </c>
      <c r="K294" s="22" t="s">
        <v>23</v>
      </c>
      <c r="L294" s="23">
        <v>100</v>
      </c>
      <c r="M294" s="135">
        <v>100</v>
      </c>
      <c r="N294" s="43"/>
      <c r="O294" s="44"/>
    </row>
    <row r="295" spans="1:16" ht="51" x14ac:dyDescent="0.25">
      <c r="A295" s="386"/>
      <c r="B295" s="337"/>
      <c r="C295" s="20"/>
      <c r="D295" s="21"/>
      <c r="E295" s="21"/>
      <c r="F295" s="21"/>
      <c r="G295" s="21"/>
      <c r="H295" s="21"/>
      <c r="I295" s="150"/>
      <c r="J295" s="43" t="s">
        <v>541</v>
      </c>
      <c r="K295" s="22" t="s">
        <v>23</v>
      </c>
      <c r="L295" s="23">
        <v>30</v>
      </c>
      <c r="M295" s="134">
        <v>100</v>
      </c>
      <c r="N295" s="43"/>
      <c r="O295" s="44"/>
    </row>
    <row r="296" spans="1:16" ht="25.5" x14ac:dyDescent="0.25">
      <c r="A296" s="386"/>
      <c r="B296" s="337"/>
      <c r="C296" s="20"/>
      <c r="D296" s="21"/>
      <c r="E296" s="21"/>
      <c r="F296" s="21"/>
      <c r="G296" s="21"/>
      <c r="H296" s="21"/>
      <c r="I296" s="150"/>
      <c r="J296" s="43" t="s">
        <v>542</v>
      </c>
      <c r="K296" s="22" t="s">
        <v>23</v>
      </c>
      <c r="L296" s="23">
        <v>30</v>
      </c>
      <c r="M296" s="134">
        <v>100</v>
      </c>
      <c r="N296" s="43"/>
      <c r="O296" s="44"/>
    </row>
    <row r="297" spans="1:16" ht="38.25" x14ac:dyDescent="0.25">
      <c r="A297" s="386"/>
      <c r="B297" s="337"/>
      <c r="C297" s="20"/>
      <c r="D297" s="21"/>
      <c r="E297" s="21"/>
      <c r="F297" s="21"/>
      <c r="G297" s="21"/>
      <c r="H297" s="21"/>
      <c r="I297" s="150"/>
      <c r="J297" s="43" t="s">
        <v>543</v>
      </c>
      <c r="K297" s="22" t="s">
        <v>23</v>
      </c>
      <c r="L297" s="23">
        <v>60</v>
      </c>
      <c r="M297" s="135">
        <v>60</v>
      </c>
      <c r="N297" s="43"/>
      <c r="O297" s="44"/>
    </row>
    <row r="298" spans="1:16" ht="51.75" thickBot="1" x14ac:dyDescent="0.3">
      <c r="A298" s="387"/>
      <c r="B298" s="338"/>
      <c r="C298" s="20"/>
      <c r="D298" s="21"/>
      <c r="E298" s="21"/>
      <c r="F298" s="21"/>
      <c r="G298" s="21"/>
      <c r="H298" s="21"/>
      <c r="I298" s="150"/>
      <c r="J298" s="43" t="s">
        <v>544</v>
      </c>
      <c r="K298" s="61" t="s">
        <v>23</v>
      </c>
      <c r="L298" s="23">
        <v>30</v>
      </c>
      <c r="M298" s="134">
        <v>50</v>
      </c>
      <c r="N298" s="43"/>
      <c r="O298" s="44"/>
    </row>
    <row r="299" spans="1:16" ht="64.5" customHeight="1" x14ac:dyDescent="0.25">
      <c r="A299" s="385" t="s">
        <v>545</v>
      </c>
      <c r="B299" s="336" t="s">
        <v>546</v>
      </c>
      <c r="C299" s="14"/>
      <c r="D299" s="15">
        <f>SUM(D300:D301)</f>
        <v>25</v>
      </c>
      <c r="E299" s="15">
        <f>SUM(E300:E301)</f>
        <v>25</v>
      </c>
      <c r="F299" s="15">
        <f>SUM(F300:F301)</f>
        <v>10.7</v>
      </c>
      <c r="G299" s="15">
        <f>SUM(G300:G301)</f>
        <v>14.3</v>
      </c>
      <c r="H299" s="15">
        <f>SUM(H300:H301)</f>
        <v>14.3</v>
      </c>
      <c r="I299" s="148">
        <f>SUM(F299/E299)</f>
        <v>0.42799999999999999</v>
      </c>
      <c r="J299" s="41" t="s">
        <v>547</v>
      </c>
      <c r="K299" s="100" t="s">
        <v>23</v>
      </c>
      <c r="L299" s="17">
        <v>20</v>
      </c>
      <c r="M299" s="137">
        <v>0</v>
      </c>
      <c r="N299" s="41" t="s">
        <v>1825</v>
      </c>
      <c r="O299" s="42" t="s">
        <v>1826</v>
      </c>
      <c r="P299" s="175"/>
    </row>
    <row r="300" spans="1:16" x14ac:dyDescent="0.25">
      <c r="A300" s="386"/>
      <c r="B300" s="337"/>
      <c r="C300" s="20" t="s">
        <v>43</v>
      </c>
      <c r="D300" s="21">
        <v>5</v>
      </c>
      <c r="E300" s="21">
        <v>5</v>
      </c>
      <c r="F300" s="21">
        <v>0.7</v>
      </c>
      <c r="G300" s="21">
        <v>4.3</v>
      </c>
      <c r="H300" s="67">
        <v>4.3</v>
      </c>
      <c r="I300" s="149">
        <f t="shared" ref="I300:I305" si="18">SUM(F300/E300)</f>
        <v>0.13999999999999999</v>
      </c>
      <c r="J300" s="360" t="s">
        <v>548</v>
      </c>
      <c r="K300" s="362" t="s">
        <v>35</v>
      </c>
      <c r="L300" s="363">
        <v>1</v>
      </c>
      <c r="M300" s="418">
        <v>1</v>
      </c>
      <c r="N300" s="354"/>
      <c r="O300" s="355"/>
    </row>
    <row r="301" spans="1:16" ht="15.75" thickBot="1" x14ac:dyDescent="0.3">
      <c r="A301" s="387"/>
      <c r="B301" s="338"/>
      <c r="C301" s="20" t="s">
        <v>24</v>
      </c>
      <c r="D301" s="21">
        <v>20</v>
      </c>
      <c r="E301" s="21">
        <v>20</v>
      </c>
      <c r="F301" s="21">
        <v>10</v>
      </c>
      <c r="G301" s="21">
        <v>10</v>
      </c>
      <c r="H301" s="21">
        <v>10</v>
      </c>
      <c r="I301" s="79">
        <f t="shared" si="18"/>
        <v>0.5</v>
      </c>
      <c r="J301" s="361"/>
      <c r="K301" s="341"/>
      <c r="L301" s="344"/>
      <c r="M301" s="347"/>
      <c r="N301" s="332"/>
      <c r="O301" s="335"/>
    </row>
    <row r="302" spans="1:16" ht="102.75" thickBot="1" x14ac:dyDescent="0.3">
      <c r="A302" s="13" t="s">
        <v>549</v>
      </c>
      <c r="B302" s="37" t="s">
        <v>550</v>
      </c>
      <c r="C302" s="14" t="s">
        <v>43</v>
      </c>
      <c r="D302" s="24">
        <v>70</v>
      </c>
      <c r="E302" s="24">
        <v>70</v>
      </c>
      <c r="F302" s="24">
        <v>68.2</v>
      </c>
      <c r="G302" s="24">
        <v>1.8</v>
      </c>
      <c r="H302" s="24">
        <v>1.8</v>
      </c>
      <c r="I302" s="154">
        <f t="shared" si="18"/>
        <v>0.97428571428571431</v>
      </c>
      <c r="J302" s="41" t="s">
        <v>551</v>
      </c>
      <c r="K302" s="16" t="s">
        <v>35</v>
      </c>
      <c r="L302" s="17">
        <v>80</v>
      </c>
      <c r="M302" s="190">
        <v>159</v>
      </c>
      <c r="N302" s="124" t="s">
        <v>1827</v>
      </c>
      <c r="O302" s="125"/>
      <c r="P302" s="284"/>
    </row>
    <row r="303" spans="1:16" ht="25.5" x14ac:dyDescent="0.25">
      <c r="A303" s="385" t="s">
        <v>552</v>
      </c>
      <c r="B303" s="336" t="s">
        <v>553</v>
      </c>
      <c r="C303" s="14"/>
      <c r="D303" s="15">
        <f>SUM(D304:D309)</f>
        <v>220</v>
      </c>
      <c r="E303" s="15">
        <f>SUM(E304:E309)</f>
        <v>220</v>
      </c>
      <c r="F303" s="15"/>
      <c r="G303" s="15">
        <f>SUM(G304:G309)</f>
        <v>220</v>
      </c>
      <c r="H303" s="15">
        <f>SUM(H304:H309)</f>
        <v>220</v>
      </c>
      <c r="I303" s="148">
        <f t="shared" si="18"/>
        <v>0</v>
      </c>
      <c r="J303" s="41" t="s">
        <v>554</v>
      </c>
      <c r="K303" s="16" t="s">
        <v>35</v>
      </c>
      <c r="L303" s="17">
        <v>1</v>
      </c>
      <c r="M303" s="137">
        <v>0</v>
      </c>
      <c r="N303" s="41"/>
      <c r="O303" s="42" t="s">
        <v>1828</v>
      </c>
      <c r="P303" s="290"/>
    </row>
    <row r="304" spans="1:16" ht="66" customHeight="1" x14ac:dyDescent="0.25">
      <c r="A304" s="386"/>
      <c r="B304" s="337"/>
      <c r="C304" s="20" t="s">
        <v>43</v>
      </c>
      <c r="D304" s="21">
        <v>30</v>
      </c>
      <c r="E304" s="21">
        <v>30</v>
      </c>
      <c r="F304" s="21"/>
      <c r="G304" s="21">
        <v>30</v>
      </c>
      <c r="H304" s="67">
        <v>30</v>
      </c>
      <c r="I304" s="149">
        <f t="shared" si="18"/>
        <v>0</v>
      </c>
      <c r="J304" s="68" t="s">
        <v>555</v>
      </c>
      <c r="K304" s="22" t="s">
        <v>23</v>
      </c>
      <c r="L304" s="23">
        <v>100</v>
      </c>
      <c r="M304" s="138">
        <v>0</v>
      </c>
      <c r="N304" s="43"/>
      <c r="O304" s="44" t="s">
        <v>1829</v>
      </c>
    </row>
    <row r="305" spans="1:16" ht="38.25" x14ac:dyDescent="0.25">
      <c r="A305" s="386"/>
      <c r="B305" s="337"/>
      <c r="C305" s="20" t="s">
        <v>24</v>
      </c>
      <c r="D305" s="21">
        <v>190</v>
      </c>
      <c r="E305" s="21">
        <v>190</v>
      </c>
      <c r="F305" s="21"/>
      <c r="G305" s="21">
        <v>190</v>
      </c>
      <c r="H305" s="21">
        <v>190</v>
      </c>
      <c r="I305" s="79">
        <f t="shared" si="18"/>
        <v>0</v>
      </c>
      <c r="J305" s="43" t="s">
        <v>556</v>
      </c>
      <c r="K305" s="22" t="s">
        <v>35</v>
      </c>
      <c r="L305" s="23">
        <v>1</v>
      </c>
      <c r="M305" s="138">
        <v>0</v>
      </c>
      <c r="N305" s="43"/>
      <c r="O305" s="44" t="s">
        <v>1852</v>
      </c>
    </row>
    <row r="306" spans="1:16" ht="53.25" customHeight="1" x14ac:dyDescent="0.25">
      <c r="A306" s="386"/>
      <c r="B306" s="337"/>
      <c r="C306" s="20"/>
      <c r="D306" s="21"/>
      <c r="E306" s="21"/>
      <c r="F306" s="21"/>
      <c r="G306" s="21"/>
      <c r="H306" s="21"/>
      <c r="I306" s="150"/>
      <c r="J306" s="43" t="s">
        <v>557</v>
      </c>
      <c r="K306" s="22" t="s">
        <v>35</v>
      </c>
      <c r="L306" s="23">
        <v>1</v>
      </c>
      <c r="M306" s="138">
        <v>0</v>
      </c>
      <c r="N306" s="43"/>
      <c r="O306" s="44" t="s">
        <v>1852</v>
      </c>
    </row>
    <row r="307" spans="1:16" ht="25.5" x14ac:dyDescent="0.25">
      <c r="A307" s="386"/>
      <c r="B307" s="337"/>
      <c r="C307" s="20"/>
      <c r="D307" s="21"/>
      <c r="E307" s="21"/>
      <c r="F307" s="21"/>
      <c r="G307" s="21"/>
      <c r="H307" s="21"/>
      <c r="I307" s="150"/>
      <c r="J307" s="43" t="s">
        <v>558</v>
      </c>
      <c r="K307" s="22" t="s">
        <v>35</v>
      </c>
      <c r="L307" s="23">
        <v>1</v>
      </c>
      <c r="M307" s="138">
        <v>0</v>
      </c>
      <c r="N307" s="43"/>
      <c r="O307" s="44"/>
    </row>
    <row r="308" spans="1:16" ht="61.5" customHeight="1" x14ac:dyDescent="0.25">
      <c r="A308" s="386"/>
      <c r="B308" s="337"/>
      <c r="C308" s="20"/>
      <c r="D308" s="21"/>
      <c r="E308" s="21"/>
      <c r="F308" s="21"/>
      <c r="G308" s="21"/>
      <c r="H308" s="21"/>
      <c r="I308" s="150"/>
      <c r="J308" s="43" t="s">
        <v>559</v>
      </c>
      <c r="K308" s="22" t="s">
        <v>35</v>
      </c>
      <c r="L308" s="23">
        <v>1</v>
      </c>
      <c r="M308" s="211">
        <v>1</v>
      </c>
      <c r="N308" s="43"/>
      <c r="O308" s="382" t="s">
        <v>1830</v>
      </c>
    </row>
    <row r="309" spans="1:16" ht="82.5" customHeight="1" thickBot="1" x14ac:dyDescent="0.3">
      <c r="A309" s="387"/>
      <c r="B309" s="338"/>
      <c r="C309" s="20"/>
      <c r="D309" s="21"/>
      <c r="E309" s="21"/>
      <c r="F309" s="21"/>
      <c r="G309" s="21"/>
      <c r="H309" s="21"/>
      <c r="I309" s="150"/>
      <c r="J309" s="43" t="s">
        <v>560</v>
      </c>
      <c r="K309" s="22" t="s">
        <v>35</v>
      </c>
      <c r="L309" s="23">
        <v>1</v>
      </c>
      <c r="M309" s="138">
        <v>0</v>
      </c>
      <c r="N309" s="43"/>
      <c r="O309" s="384"/>
    </row>
    <row r="310" spans="1:16" ht="26.25" thickBot="1" x14ac:dyDescent="0.3">
      <c r="A310" s="13" t="s">
        <v>561</v>
      </c>
      <c r="B310" s="37" t="s">
        <v>562</v>
      </c>
      <c r="C310" s="14"/>
      <c r="D310" s="15">
        <f>D311+D314+D317</f>
        <v>2125.1000000000004</v>
      </c>
      <c r="E310" s="15">
        <f>E311+E314+E317</f>
        <v>2125.1000000000004</v>
      </c>
      <c r="F310" s="15">
        <f>F311+F314+F317+0.1</f>
        <v>1389.6</v>
      </c>
      <c r="G310" s="15">
        <f>G311+G314+G317</f>
        <v>735.59999999999991</v>
      </c>
      <c r="H310" s="15">
        <f>H311+H314+H317</f>
        <v>735.59999999999991</v>
      </c>
      <c r="I310" s="154">
        <f>SUM(F310/E310)</f>
        <v>0.65389864006399678</v>
      </c>
      <c r="J310" s="41"/>
      <c r="K310" s="16"/>
      <c r="L310" s="48"/>
      <c r="M310" s="17"/>
      <c r="N310" s="41"/>
      <c r="O310" s="42"/>
      <c r="P310" s="181"/>
    </row>
    <row r="311" spans="1:16" ht="86.25" customHeight="1" x14ac:dyDescent="0.25">
      <c r="A311" s="385" t="s">
        <v>563</v>
      </c>
      <c r="B311" s="336" t="s">
        <v>564</v>
      </c>
      <c r="C311" s="14"/>
      <c r="D311" s="15">
        <f>SUM(D312:D313)</f>
        <v>155</v>
      </c>
      <c r="E311" s="15">
        <f>SUM(E312:E313)</f>
        <v>155</v>
      </c>
      <c r="F311" s="15">
        <f>SUM(F312:F313)</f>
        <v>20.100000000000001</v>
      </c>
      <c r="G311" s="15">
        <f>SUM(G312:G313)</f>
        <v>134.9</v>
      </c>
      <c r="H311" s="15">
        <f>SUM(H312:H313)</f>
        <v>134.9</v>
      </c>
      <c r="I311" s="148">
        <f t="shared" ref="I311:I326" si="19">SUM(F311/E311)</f>
        <v>0.12967741935483873</v>
      </c>
      <c r="J311" s="371" t="s">
        <v>565</v>
      </c>
      <c r="K311" s="339" t="s">
        <v>35</v>
      </c>
      <c r="L311" s="342">
        <v>3</v>
      </c>
      <c r="M311" s="369">
        <v>0</v>
      </c>
      <c r="N311" s="330"/>
      <c r="O311" s="443" t="s">
        <v>1909</v>
      </c>
    </row>
    <row r="312" spans="1:16" x14ac:dyDescent="0.25">
      <c r="A312" s="386"/>
      <c r="B312" s="337"/>
      <c r="C312" s="20" t="s">
        <v>43</v>
      </c>
      <c r="D312" s="21">
        <v>50</v>
      </c>
      <c r="E312" s="21">
        <v>50</v>
      </c>
      <c r="F312" s="21"/>
      <c r="G312" s="21">
        <v>50</v>
      </c>
      <c r="H312" s="67">
        <v>50</v>
      </c>
      <c r="I312" s="149">
        <f t="shared" si="19"/>
        <v>0</v>
      </c>
      <c r="J312" s="372"/>
      <c r="K312" s="340"/>
      <c r="L312" s="343"/>
      <c r="M312" s="373"/>
      <c r="N312" s="331"/>
      <c r="O312" s="383"/>
    </row>
    <row r="313" spans="1:16" ht="15.75" thickBot="1" x14ac:dyDescent="0.3">
      <c r="A313" s="387"/>
      <c r="B313" s="338"/>
      <c r="C313" s="20" t="s">
        <v>24</v>
      </c>
      <c r="D313" s="21">
        <v>105</v>
      </c>
      <c r="E313" s="21">
        <v>105</v>
      </c>
      <c r="F313" s="21">
        <v>20.100000000000001</v>
      </c>
      <c r="G313" s="21">
        <v>84.9</v>
      </c>
      <c r="H313" s="21">
        <v>84.9</v>
      </c>
      <c r="I313" s="79">
        <f t="shared" si="19"/>
        <v>0.19142857142857145</v>
      </c>
      <c r="J313" s="361"/>
      <c r="K313" s="341"/>
      <c r="L313" s="344"/>
      <c r="M313" s="370"/>
      <c r="N313" s="332"/>
      <c r="O313" s="384"/>
    </row>
    <row r="314" spans="1:16" ht="165.75" customHeight="1" x14ac:dyDescent="0.25">
      <c r="A314" s="385" t="s">
        <v>566</v>
      </c>
      <c r="B314" s="336" t="s">
        <v>567</v>
      </c>
      <c r="C314" s="14"/>
      <c r="D314" s="15">
        <f>SUM(D315:D316)</f>
        <v>830.2</v>
      </c>
      <c r="E314" s="15">
        <f>SUM(E315:E316)</f>
        <v>830.2</v>
      </c>
      <c r="F314" s="15">
        <f>SUM(F315:F316)</f>
        <v>389.2</v>
      </c>
      <c r="G314" s="15">
        <f>SUM(G315:G316)</f>
        <v>441</v>
      </c>
      <c r="H314" s="15">
        <f>SUM(H315:H316)</f>
        <v>441</v>
      </c>
      <c r="I314" s="148">
        <f t="shared" si="19"/>
        <v>0.46880269814502523</v>
      </c>
      <c r="J314" s="371" t="s">
        <v>568</v>
      </c>
      <c r="K314" s="339" t="s">
        <v>35</v>
      </c>
      <c r="L314" s="342">
        <v>9</v>
      </c>
      <c r="M314" s="348">
        <v>11</v>
      </c>
      <c r="N314" s="336" t="s">
        <v>1831</v>
      </c>
      <c r="O314" s="419"/>
    </row>
    <row r="315" spans="1:16" x14ac:dyDescent="0.25">
      <c r="A315" s="386"/>
      <c r="B315" s="337"/>
      <c r="C315" s="20" t="s">
        <v>43</v>
      </c>
      <c r="D315" s="21">
        <v>562</v>
      </c>
      <c r="E315" s="21">
        <v>562</v>
      </c>
      <c r="F315" s="21">
        <v>121</v>
      </c>
      <c r="G315" s="21">
        <v>441</v>
      </c>
      <c r="H315" s="67">
        <v>441</v>
      </c>
      <c r="I315" s="149">
        <f t="shared" si="19"/>
        <v>0.21530249110320285</v>
      </c>
      <c r="J315" s="372"/>
      <c r="K315" s="340"/>
      <c r="L315" s="343"/>
      <c r="M315" s="349"/>
      <c r="N315" s="337"/>
      <c r="O315" s="420"/>
    </row>
    <row r="316" spans="1:16" ht="15.75" thickBot="1" x14ac:dyDescent="0.3">
      <c r="A316" s="387"/>
      <c r="B316" s="338"/>
      <c r="C316" s="20" t="s">
        <v>24</v>
      </c>
      <c r="D316" s="21">
        <v>268.2</v>
      </c>
      <c r="E316" s="21">
        <v>268.2</v>
      </c>
      <c r="F316" s="21">
        <v>268.2</v>
      </c>
      <c r="G316" s="21"/>
      <c r="H316" s="21"/>
      <c r="I316" s="155">
        <f t="shared" si="19"/>
        <v>1</v>
      </c>
      <c r="J316" s="361"/>
      <c r="K316" s="341"/>
      <c r="L316" s="344"/>
      <c r="M316" s="350"/>
      <c r="N316" s="338"/>
      <c r="O316" s="421"/>
    </row>
    <row r="317" spans="1:16" ht="63.75" customHeight="1" x14ac:dyDescent="0.25">
      <c r="A317" s="385" t="s">
        <v>569</v>
      </c>
      <c r="B317" s="336" t="s">
        <v>570</v>
      </c>
      <c r="C317" s="14"/>
      <c r="D317" s="15">
        <f>SUM(D318:D319)</f>
        <v>1139.9000000000001</v>
      </c>
      <c r="E317" s="15">
        <f>SUM(E318:E319)</f>
        <v>1139.9000000000001</v>
      </c>
      <c r="F317" s="15">
        <f>SUM(F318:F319)</f>
        <v>980.19999999999993</v>
      </c>
      <c r="G317" s="15">
        <f>SUM(G318:G319)</f>
        <v>159.69999999999999</v>
      </c>
      <c r="H317" s="15">
        <f>SUM(H318:H319)</f>
        <v>159.69999999999999</v>
      </c>
      <c r="I317" s="79">
        <f t="shared" si="19"/>
        <v>0.85989999122730054</v>
      </c>
      <c r="J317" s="336" t="s">
        <v>571</v>
      </c>
      <c r="K317" s="339" t="s">
        <v>35</v>
      </c>
      <c r="L317" s="342">
        <v>8</v>
      </c>
      <c r="M317" s="348">
        <v>20</v>
      </c>
      <c r="N317" s="336" t="s">
        <v>1833</v>
      </c>
      <c r="O317" s="351" t="s">
        <v>1832</v>
      </c>
    </row>
    <row r="318" spans="1:16" x14ac:dyDescent="0.25">
      <c r="A318" s="386"/>
      <c r="B318" s="337"/>
      <c r="C318" s="20" t="s">
        <v>27</v>
      </c>
      <c r="D318" s="21">
        <v>39.9</v>
      </c>
      <c r="E318" s="21">
        <v>39.9</v>
      </c>
      <c r="F318" s="21">
        <v>9.9</v>
      </c>
      <c r="G318" s="21">
        <v>30</v>
      </c>
      <c r="H318" s="21">
        <v>30</v>
      </c>
      <c r="I318" s="79">
        <f t="shared" si="19"/>
        <v>0.24812030075187971</v>
      </c>
      <c r="J318" s="337"/>
      <c r="K318" s="340"/>
      <c r="L318" s="343"/>
      <c r="M318" s="349"/>
      <c r="N318" s="337"/>
      <c r="O318" s="352"/>
    </row>
    <row r="319" spans="1:16" ht="15.75" thickBot="1" x14ac:dyDescent="0.3">
      <c r="A319" s="386"/>
      <c r="B319" s="337"/>
      <c r="C319" s="113" t="s">
        <v>43</v>
      </c>
      <c r="D319" s="114">
        <v>1100</v>
      </c>
      <c r="E319" s="114">
        <v>1100</v>
      </c>
      <c r="F319" s="114">
        <v>970.3</v>
      </c>
      <c r="G319" s="114">
        <v>129.69999999999999</v>
      </c>
      <c r="H319" s="114">
        <v>129.69999999999999</v>
      </c>
      <c r="I319" s="192">
        <f t="shared" si="19"/>
        <v>0.88209090909090904</v>
      </c>
      <c r="J319" s="337"/>
      <c r="K319" s="340"/>
      <c r="L319" s="343"/>
      <c r="M319" s="349"/>
      <c r="N319" s="337"/>
      <c r="O319" s="352"/>
    </row>
    <row r="320" spans="1:16" ht="51" x14ac:dyDescent="0.25">
      <c r="A320" s="388" t="s">
        <v>572</v>
      </c>
      <c r="B320" s="390" t="s">
        <v>573</v>
      </c>
      <c r="C320" s="195" t="s">
        <v>43</v>
      </c>
      <c r="D320" s="196">
        <f>SUM(D321:D321)+25</f>
        <v>25</v>
      </c>
      <c r="E320" s="196">
        <f>SUM(E321:E321)+25</f>
        <v>25</v>
      </c>
      <c r="F320" s="196"/>
      <c r="G320" s="196">
        <f>SUM(G321:G321)+25</f>
        <v>25</v>
      </c>
      <c r="H320" s="196">
        <f>SUM(H321:H321)+25</f>
        <v>25</v>
      </c>
      <c r="I320" s="197">
        <f t="shared" si="19"/>
        <v>0</v>
      </c>
      <c r="J320" s="198" t="s">
        <v>574</v>
      </c>
      <c r="K320" s="199" t="s">
        <v>35</v>
      </c>
      <c r="L320" s="224">
        <v>1</v>
      </c>
      <c r="M320" s="225">
        <v>1</v>
      </c>
      <c r="N320" s="226"/>
      <c r="O320" s="228" t="s">
        <v>1937</v>
      </c>
      <c r="P320" s="181"/>
    </row>
    <row r="321" spans="1:16" ht="27.75" customHeight="1" thickBot="1" x14ac:dyDescent="0.3">
      <c r="A321" s="389"/>
      <c r="B321" s="391"/>
      <c r="C321" s="58"/>
      <c r="D321" s="59"/>
      <c r="E321" s="59"/>
      <c r="F321" s="59"/>
      <c r="G321" s="59"/>
      <c r="H321" s="59"/>
      <c r="I321" s="80"/>
      <c r="J321" s="60" t="s">
        <v>575</v>
      </c>
      <c r="K321" s="61" t="s">
        <v>35</v>
      </c>
      <c r="L321" s="62">
        <v>1</v>
      </c>
      <c r="M321" s="227">
        <v>1</v>
      </c>
      <c r="N321" s="203"/>
      <c r="O321" s="229" t="s">
        <v>1938</v>
      </c>
    </row>
    <row r="322" spans="1:16" ht="64.5" thickBot="1" x14ac:dyDescent="0.3">
      <c r="A322" s="96" t="s">
        <v>576</v>
      </c>
      <c r="B322" s="97" t="s">
        <v>577</v>
      </c>
      <c r="C322" s="98" t="s">
        <v>43</v>
      </c>
      <c r="D322" s="194">
        <v>30</v>
      </c>
      <c r="E322" s="194">
        <v>30</v>
      </c>
      <c r="F322" s="194"/>
      <c r="G322" s="194">
        <v>30</v>
      </c>
      <c r="H322" s="194">
        <v>30</v>
      </c>
      <c r="I322" s="156">
        <f t="shared" si="19"/>
        <v>0</v>
      </c>
      <c r="J322" s="84" t="s">
        <v>578</v>
      </c>
      <c r="K322" s="100" t="s">
        <v>35</v>
      </c>
      <c r="L322" s="101">
        <v>70</v>
      </c>
      <c r="M322" s="223">
        <v>71</v>
      </c>
      <c r="N322" s="84"/>
      <c r="O322" s="85"/>
      <c r="P322" s="284"/>
    </row>
    <row r="323" spans="1:16" ht="39" thickBot="1" x14ac:dyDescent="0.3">
      <c r="A323" s="13" t="s">
        <v>579</v>
      </c>
      <c r="B323" s="37" t="s">
        <v>580</v>
      </c>
      <c r="C323" s="14" t="s">
        <v>43</v>
      </c>
      <c r="D323" s="24">
        <v>13</v>
      </c>
      <c r="E323" s="24">
        <v>13</v>
      </c>
      <c r="F323" s="24">
        <v>9.1</v>
      </c>
      <c r="G323" s="24">
        <v>3.9</v>
      </c>
      <c r="H323" s="24">
        <v>3.9</v>
      </c>
      <c r="I323" s="158">
        <f t="shared" si="19"/>
        <v>0.7</v>
      </c>
      <c r="J323" s="41" t="s">
        <v>581</v>
      </c>
      <c r="K323" s="16" t="s">
        <v>35</v>
      </c>
      <c r="L323" s="17">
        <v>2</v>
      </c>
      <c r="M323" s="136">
        <v>2</v>
      </c>
      <c r="N323" s="41" t="s">
        <v>1835</v>
      </c>
      <c r="O323" s="42"/>
      <c r="P323" s="181"/>
    </row>
    <row r="324" spans="1:16" ht="39" thickBot="1" x14ac:dyDescent="0.3">
      <c r="A324" s="13" t="s">
        <v>582</v>
      </c>
      <c r="B324" s="37" t="s">
        <v>583</v>
      </c>
      <c r="C324" s="14" t="s">
        <v>43</v>
      </c>
      <c r="D324" s="24">
        <v>15</v>
      </c>
      <c r="E324" s="24">
        <v>15</v>
      </c>
      <c r="F324" s="24">
        <v>5</v>
      </c>
      <c r="G324" s="24">
        <v>10</v>
      </c>
      <c r="H324" s="24">
        <v>10</v>
      </c>
      <c r="I324" s="158">
        <f t="shared" si="19"/>
        <v>0.33333333333333331</v>
      </c>
      <c r="J324" s="41" t="s">
        <v>584</v>
      </c>
      <c r="K324" s="16" t="s">
        <v>35</v>
      </c>
      <c r="L324" s="17">
        <v>4</v>
      </c>
      <c r="M324" s="137">
        <v>0</v>
      </c>
      <c r="N324" s="41"/>
      <c r="O324" s="42" t="s">
        <v>1605</v>
      </c>
      <c r="P324" s="139"/>
    </row>
    <row r="325" spans="1:16" ht="54.75" customHeight="1" thickBot="1" x14ac:dyDescent="0.3">
      <c r="A325" s="13" t="s">
        <v>585</v>
      </c>
      <c r="B325" s="37" t="s">
        <v>586</v>
      </c>
      <c r="C325" s="14" t="s">
        <v>27</v>
      </c>
      <c r="D325" s="24">
        <v>3.9</v>
      </c>
      <c r="E325" s="24">
        <v>3.9</v>
      </c>
      <c r="F325" s="24">
        <v>1.3</v>
      </c>
      <c r="G325" s="24">
        <v>2.6</v>
      </c>
      <c r="H325" s="24">
        <v>2.6</v>
      </c>
      <c r="I325" s="158">
        <f t="shared" si="19"/>
        <v>0.33333333333333337</v>
      </c>
      <c r="J325" s="41" t="s">
        <v>587</v>
      </c>
      <c r="K325" s="16" t="s">
        <v>108</v>
      </c>
      <c r="L325" s="17">
        <v>7</v>
      </c>
      <c r="M325" s="210">
        <v>3</v>
      </c>
      <c r="N325" s="41" t="s">
        <v>1836</v>
      </c>
      <c r="O325" s="42" t="s">
        <v>1837</v>
      </c>
      <c r="P325" s="290"/>
    </row>
    <row r="326" spans="1:16" ht="39" thickBot="1" x14ac:dyDescent="0.3">
      <c r="A326" s="13" t="s">
        <v>588</v>
      </c>
      <c r="B326" s="37" t="s">
        <v>589</v>
      </c>
      <c r="C326" s="14" t="s">
        <v>43</v>
      </c>
      <c r="D326" s="24">
        <v>89.7</v>
      </c>
      <c r="E326" s="24">
        <v>89.7</v>
      </c>
      <c r="F326" s="24">
        <v>0</v>
      </c>
      <c r="G326" s="24">
        <v>89.7</v>
      </c>
      <c r="H326" s="24">
        <v>89.7</v>
      </c>
      <c r="I326" s="79">
        <f t="shared" si="19"/>
        <v>0</v>
      </c>
      <c r="J326" s="41" t="s">
        <v>590</v>
      </c>
      <c r="K326" s="16" t="s">
        <v>442</v>
      </c>
      <c r="L326" s="17">
        <v>850</v>
      </c>
      <c r="M326" s="137">
        <v>0</v>
      </c>
      <c r="N326" s="92"/>
      <c r="O326" s="42" t="s">
        <v>1627</v>
      </c>
      <c r="P326" s="139"/>
    </row>
    <row r="327" spans="1:16" ht="28.5" customHeight="1" x14ac:dyDescent="0.25">
      <c r="A327" s="401" t="s">
        <v>591</v>
      </c>
      <c r="B327" s="404" t="s">
        <v>592</v>
      </c>
      <c r="C327" s="407"/>
      <c r="D327" s="395">
        <f>D328+D329+D330+D331+D332+D333+D334+D335+D348+D360+D364+D373+D380+D387+D392+D393+D407</f>
        <v>42544.400000000009</v>
      </c>
      <c r="E327" s="395">
        <f>E328+E329+E330+E331+E332+E333+E334+E335+E348+E360+E364+E373+E380+E387+E392+E393+E407</f>
        <v>42544.400000000009</v>
      </c>
      <c r="F327" s="395">
        <f>F328+F329+F330+F331+F332+F333+F334+F335+F348+F360+F364+F373+F380+F387+F392+F393+F407</f>
        <v>39190.700000000012</v>
      </c>
      <c r="G327" s="395">
        <f>G328+G329+G330+G331+G332+G333+G334+G335+G348+G360+G364+G373+G380+G387+G392+G393+G407</f>
        <v>3353.7</v>
      </c>
      <c r="H327" s="395">
        <f>H328+H329+H330+H331+H332+H333+H334+H335+H348+H360+H364+H373+H380+H387+H392+H393+H407</f>
        <v>3353.7</v>
      </c>
      <c r="I327" s="398">
        <f>SUM(F327/E327)</f>
        <v>0.9211717640864604</v>
      </c>
      <c r="J327" s="45" t="s">
        <v>593</v>
      </c>
      <c r="K327" s="12" t="s">
        <v>23</v>
      </c>
      <c r="L327" s="50">
        <v>29</v>
      </c>
      <c r="M327" s="82">
        <v>13</v>
      </c>
      <c r="N327" s="86"/>
      <c r="O327" s="89" t="s">
        <v>1781</v>
      </c>
    </row>
    <row r="328" spans="1:16" ht="25.5" x14ac:dyDescent="0.25">
      <c r="A328" s="402"/>
      <c r="B328" s="405"/>
      <c r="C328" s="408"/>
      <c r="D328" s="396"/>
      <c r="E328" s="396"/>
      <c r="F328" s="396"/>
      <c r="G328" s="396"/>
      <c r="H328" s="396"/>
      <c r="I328" s="399"/>
      <c r="J328" s="55" t="s">
        <v>594</v>
      </c>
      <c r="K328" s="56" t="s">
        <v>23</v>
      </c>
      <c r="L328" s="57">
        <v>2</v>
      </c>
      <c r="M328" s="83">
        <v>0</v>
      </c>
      <c r="N328" s="91"/>
      <c r="O328" s="90" t="s">
        <v>1782</v>
      </c>
    </row>
    <row r="329" spans="1:16" ht="25.5" x14ac:dyDescent="0.25">
      <c r="A329" s="402"/>
      <c r="B329" s="405"/>
      <c r="C329" s="408"/>
      <c r="D329" s="396"/>
      <c r="E329" s="396"/>
      <c r="F329" s="396"/>
      <c r="G329" s="396"/>
      <c r="H329" s="396"/>
      <c r="I329" s="399"/>
      <c r="J329" s="55" t="s">
        <v>595</v>
      </c>
      <c r="K329" s="56" t="s">
        <v>456</v>
      </c>
      <c r="L329" s="57">
        <v>1</v>
      </c>
      <c r="M329" s="83">
        <v>0.92</v>
      </c>
      <c r="N329" s="91"/>
      <c r="O329" s="90" t="s">
        <v>1783</v>
      </c>
    </row>
    <row r="330" spans="1:16" ht="25.5" x14ac:dyDescent="0.25">
      <c r="A330" s="402"/>
      <c r="B330" s="405"/>
      <c r="C330" s="408"/>
      <c r="D330" s="396"/>
      <c r="E330" s="396"/>
      <c r="F330" s="396"/>
      <c r="G330" s="396"/>
      <c r="H330" s="396"/>
      <c r="I330" s="399"/>
      <c r="J330" s="55" t="s">
        <v>596</v>
      </c>
      <c r="K330" s="56" t="s">
        <v>23</v>
      </c>
      <c r="L330" s="57">
        <v>33</v>
      </c>
      <c r="M330" s="83">
        <v>39</v>
      </c>
      <c r="N330" s="91"/>
      <c r="O330" s="90" t="s">
        <v>1628</v>
      </c>
    </row>
    <row r="331" spans="1:16" ht="25.5" x14ac:dyDescent="0.25">
      <c r="A331" s="402"/>
      <c r="B331" s="405"/>
      <c r="C331" s="408"/>
      <c r="D331" s="396"/>
      <c r="E331" s="396"/>
      <c r="F331" s="396"/>
      <c r="G331" s="396"/>
      <c r="H331" s="396"/>
      <c r="I331" s="399"/>
      <c r="J331" s="55" t="s">
        <v>597</v>
      </c>
      <c r="K331" s="56" t="s">
        <v>23</v>
      </c>
      <c r="L331" s="57">
        <v>33</v>
      </c>
      <c r="M331" s="83">
        <v>30</v>
      </c>
      <c r="N331" s="91"/>
      <c r="O331" s="90" t="s">
        <v>1628</v>
      </c>
    </row>
    <row r="332" spans="1:16" ht="25.5" x14ac:dyDescent="0.25">
      <c r="A332" s="402"/>
      <c r="B332" s="405"/>
      <c r="C332" s="408"/>
      <c r="D332" s="396"/>
      <c r="E332" s="396"/>
      <c r="F332" s="396"/>
      <c r="G332" s="396"/>
      <c r="H332" s="396"/>
      <c r="I332" s="399"/>
      <c r="J332" s="55" t="s">
        <v>598</v>
      </c>
      <c r="K332" s="56" t="s">
        <v>23</v>
      </c>
      <c r="L332" s="57">
        <v>10</v>
      </c>
      <c r="M332" s="83">
        <v>2</v>
      </c>
      <c r="N332" s="91"/>
      <c r="O332" s="90" t="s">
        <v>1628</v>
      </c>
    </row>
    <row r="333" spans="1:16" ht="25.5" x14ac:dyDescent="0.25">
      <c r="A333" s="402"/>
      <c r="B333" s="405"/>
      <c r="C333" s="408"/>
      <c r="D333" s="396"/>
      <c r="E333" s="396"/>
      <c r="F333" s="396"/>
      <c r="G333" s="396"/>
      <c r="H333" s="396"/>
      <c r="I333" s="399"/>
      <c r="J333" s="55" t="s">
        <v>599</v>
      </c>
      <c r="K333" s="56" t="s">
        <v>23</v>
      </c>
      <c r="L333" s="57">
        <v>24</v>
      </c>
      <c r="M333" s="83">
        <v>27</v>
      </c>
      <c r="N333" s="91"/>
      <c r="O333" s="90" t="s">
        <v>1628</v>
      </c>
    </row>
    <row r="334" spans="1:16" ht="26.25" thickBot="1" x14ac:dyDescent="0.3">
      <c r="A334" s="403"/>
      <c r="B334" s="406"/>
      <c r="C334" s="409"/>
      <c r="D334" s="397"/>
      <c r="E334" s="397"/>
      <c r="F334" s="397"/>
      <c r="G334" s="397"/>
      <c r="H334" s="397"/>
      <c r="I334" s="400"/>
      <c r="J334" s="55" t="s">
        <v>600</v>
      </c>
      <c r="K334" s="56" t="s">
        <v>35</v>
      </c>
      <c r="L334" s="57">
        <v>97</v>
      </c>
      <c r="M334" s="83">
        <v>80.5</v>
      </c>
      <c r="N334" s="87"/>
      <c r="O334" s="90" t="s">
        <v>1675</v>
      </c>
    </row>
    <row r="335" spans="1:16" ht="39" thickBot="1" x14ac:dyDescent="0.3">
      <c r="A335" s="13" t="s">
        <v>601</v>
      </c>
      <c r="B335" s="37" t="s">
        <v>602</v>
      </c>
      <c r="C335" s="14"/>
      <c r="D335" s="15">
        <f>D336+D339+D342+D345</f>
        <v>1652.9</v>
      </c>
      <c r="E335" s="15">
        <f>E336+E339+E342+E345</f>
        <v>1652.9</v>
      </c>
      <c r="F335" s="15">
        <f>F336+F339+F342+F345</f>
        <v>1582.2</v>
      </c>
      <c r="G335" s="15">
        <f>G336+G339+G342+G345</f>
        <v>70.699999999999989</v>
      </c>
      <c r="H335" s="15">
        <f>H336+H339+H342+H345</f>
        <v>70.699999999999989</v>
      </c>
      <c r="I335" s="154">
        <f>SUM(F335/E335)</f>
        <v>0.95722669247988379</v>
      </c>
      <c r="J335" s="41"/>
      <c r="K335" s="16"/>
      <c r="L335" s="48"/>
      <c r="M335" s="17"/>
      <c r="N335" s="84"/>
      <c r="O335" s="42"/>
      <c r="P335" s="175"/>
    </row>
    <row r="336" spans="1:16" ht="18" customHeight="1" x14ac:dyDescent="0.25">
      <c r="A336" s="385" t="s">
        <v>603</v>
      </c>
      <c r="B336" s="336" t="s">
        <v>604</v>
      </c>
      <c r="C336" s="14"/>
      <c r="D336" s="15">
        <f>SUM(D337:D338)</f>
        <v>473</v>
      </c>
      <c r="E336" s="15">
        <f>SUM(E337:E338)</f>
        <v>473</v>
      </c>
      <c r="F336" s="15">
        <f>SUM(F337:F338)</f>
        <v>468.4</v>
      </c>
      <c r="G336" s="15">
        <f>SUM(G337:G338)</f>
        <v>4.5999999999999996</v>
      </c>
      <c r="H336" s="15">
        <f>SUM(H337:H338)</f>
        <v>4.5999999999999996</v>
      </c>
      <c r="I336" s="148">
        <f t="shared" ref="I336:I399" si="20">SUM(F336/E336)</f>
        <v>0.99027484143763211</v>
      </c>
      <c r="J336" s="371" t="s">
        <v>605</v>
      </c>
      <c r="K336" s="339" t="s">
        <v>35</v>
      </c>
      <c r="L336" s="342">
        <v>76</v>
      </c>
      <c r="M336" s="345">
        <v>76</v>
      </c>
      <c r="N336" s="336" t="s">
        <v>1784</v>
      </c>
      <c r="O336" s="333"/>
    </row>
    <row r="337" spans="1:16" x14ac:dyDescent="0.25">
      <c r="A337" s="386"/>
      <c r="B337" s="337"/>
      <c r="C337" s="20" t="s">
        <v>24</v>
      </c>
      <c r="D337" s="21">
        <v>160</v>
      </c>
      <c r="E337" s="21">
        <v>160</v>
      </c>
      <c r="F337" s="21">
        <v>160</v>
      </c>
      <c r="G337" s="21"/>
      <c r="H337" s="67"/>
      <c r="I337" s="149">
        <f t="shared" si="20"/>
        <v>1</v>
      </c>
      <c r="J337" s="372"/>
      <c r="K337" s="340"/>
      <c r="L337" s="343"/>
      <c r="M337" s="346"/>
      <c r="N337" s="337"/>
      <c r="O337" s="334"/>
    </row>
    <row r="338" spans="1:16" ht="15.75" thickBot="1" x14ac:dyDescent="0.3">
      <c r="A338" s="387"/>
      <c r="B338" s="338"/>
      <c r="C338" s="20" t="s">
        <v>43</v>
      </c>
      <c r="D338" s="21">
        <v>313</v>
      </c>
      <c r="E338" s="21">
        <v>313</v>
      </c>
      <c r="F338" s="21">
        <v>308.39999999999998</v>
      </c>
      <c r="G338" s="21">
        <v>4.5999999999999996</v>
      </c>
      <c r="H338" s="21">
        <v>4.5999999999999996</v>
      </c>
      <c r="I338" s="79">
        <f t="shared" si="20"/>
        <v>0.9853035143769967</v>
      </c>
      <c r="J338" s="361"/>
      <c r="K338" s="341"/>
      <c r="L338" s="344"/>
      <c r="M338" s="347"/>
      <c r="N338" s="338"/>
      <c r="O338" s="335"/>
    </row>
    <row r="339" spans="1:16" ht="19.5" customHeight="1" x14ac:dyDescent="0.25">
      <c r="A339" s="385" t="s">
        <v>606</v>
      </c>
      <c r="B339" s="336" t="s">
        <v>607</v>
      </c>
      <c r="C339" s="14"/>
      <c r="D339" s="15">
        <f>SUM(D340:D341)</f>
        <v>947</v>
      </c>
      <c r="E339" s="15">
        <f>SUM(E340:E341)</f>
        <v>947</v>
      </c>
      <c r="F339" s="15">
        <f>SUM(F340:F341)</f>
        <v>886.2</v>
      </c>
      <c r="G339" s="15">
        <f>SUM(G340:G341)</f>
        <v>60.8</v>
      </c>
      <c r="H339" s="15">
        <f>SUM(H340:H341)</f>
        <v>60.8</v>
      </c>
      <c r="I339" s="148">
        <f t="shared" si="20"/>
        <v>0.93579725448785644</v>
      </c>
      <c r="J339" s="371" t="s">
        <v>608</v>
      </c>
      <c r="K339" s="339" t="s">
        <v>442</v>
      </c>
      <c r="L339" s="410">
        <v>35000</v>
      </c>
      <c r="M339" s="492">
        <v>35904</v>
      </c>
      <c r="N339" s="336" t="s">
        <v>1785</v>
      </c>
      <c r="O339" s="333"/>
    </row>
    <row r="340" spans="1:16" x14ac:dyDescent="0.25">
      <c r="A340" s="386"/>
      <c r="B340" s="337"/>
      <c r="C340" s="20" t="s">
        <v>24</v>
      </c>
      <c r="D340" s="21">
        <v>170</v>
      </c>
      <c r="E340" s="21">
        <v>170</v>
      </c>
      <c r="F340" s="21">
        <v>170</v>
      </c>
      <c r="G340" s="21"/>
      <c r="H340" s="67"/>
      <c r="I340" s="149">
        <f t="shared" si="20"/>
        <v>1</v>
      </c>
      <c r="J340" s="372"/>
      <c r="K340" s="340"/>
      <c r="L340" s="411"/>
      <c r="M340" s="493"/>
      <c r="N340" s="337"/>
      <c r="O340" s="334"/>
    </row>
    <row r="341" spans="1:16" ht="15.75" thickBot="1" x14ac:dyDescent="0.3">
      <c r="A341" s="387"/>
      <c r="B341" s="338"/>
      <c r="C341" s="20" t="s">
        <v>43</v>
      </c>
      <c r="D341" s="21">
        <v>777</v>
      </c>
      <c r="E341" s="21">
        <v>777</v>
      </c>
      <c r="F341" s="21">
        <v>716.2</v>
      </c>
      <c r="G341" s="21">
        <v>60.8</v>
      </c>
      <c r="H341" s="21">
        <v>60.8</v>
      </c>
      <c r="I341" s="79">
        <f t="shared" si="20"/>
        <v>0.92175032175032179</v>
      </c>
      <c r="J341" s="361"/>
      <c r="K341" s="341"/>
      <c r="L341" s="412"/>
      <c r="M341" s="494"/>
      <c r="N341" s="338"/>
      <c r="O341" s="335"/>
    </row>
    <row r="342" spans="1:16" ht="18.75" customHeight="1" x14ac:dyDescent="0.25">
      <c r="A342" s="385" t="s">
        <v>609</v>
      </c>
      <c r="B342" s="336" t="s">
        <v>610</v>
      </c>
      <c r="C342" s="14"/>
      <c r="D342" s="15">
        <f>SUM(D343:D344)</f>
        <v>187</v>
      </c>
      <c r="E342" s="15">
        <f>SUM(E343:E344)</f>
        <v>187</v>
      </c>
      <c r="F342" s="15">
        <f>SUM(F343:F344)</f>
        <v>186.7</v>
      </c>
      <c r="G342" s="15">
        <f>SUM(G343:G344)</f>
        <v>0.3</v>
      </c>
      <c r="H342" s="15">
        <f>SUM(H343:H344)</f>
        <v>0.3</v>
      </c>
      <c r="I342" s="148">
        <f t="shared" si="20"/>
        <v>0.99839572192513359</v>
      </c>
      <c r="J342" s="371" t="s">
        <v>611</v>
      </c>
      <c r="K342" s="339" t="s">
        <v>456</v>
      </c>
      <c r="L342" s="342">
        <v>53</v>
      </c>
      <c r="M342" s="440">
        <v>44.76</v>
      </c>
      <c r="N342" s="336" t="s">
        <v>1786</v>
      </c>
      <c r="O342" s="351" t="s">
        <v>1787</v>
      </c>
    </row>
    <row r="343" spans="1:16" x14ac:dyDescent="0.25">
      <c r="A343" s="386"/>
      <c r="B343" s="337"/>
      <c r="C343" s="20" t="s">
        <v>43</v>
      </c>
      <c r="D343" s="21">
        <v>37</v>
      </c>
      <c r="E343" s="21">
        <v>37</v>
      </c>
      <c r="F343" s="21">
        <v>36.700000000000003</v>
      </c>
      <c r="G343" s="21">
        <v>0.3</v>
      </c>
      <c r="H343" s="67">
        <v>0.3</v>
      </c>
      <c r="I343" s="149">
        <f t="shared" si="20"/>
        <v>0.99189189189189197</v>
      </c>
      <c r="J343" s="372"/>
      <c r="K343" s="340"/>
      <c r="L343" s="343"/>
      <c r="M343" s="358"/>
      <c r="N343" s="337"/>
      <c r="O343" s="352"/>
    </row>
    <row r="344" spans="1:16" ht="15.75" thickBot="1" x14ac:dyDescent="0.3">
      <c r="A344" s="387"/>
      <c r="B344" s="338"/>
      <c r="C344" s="20" t="s">
        <v>612</v>
      </c>
      <c r="D344" s="21">
        <v>150</v>
      </c>
      <c r="E344" s="21">
        <v>150</v>
      </c>
      <c r="F344" s="21">
        <v>150</v>
      </c>
      <c r="G344" s="21"/>
      <c r="H344" s="21"/>
      <c r="I344" s="79">
        <f t="shared" si="20"/>
        <v>1</v>
      </c>
      <c r="J344" s="361"/>
      <c r="K344" s="341"/>
      <c r="L344" s="344"/>
      <c r="M344" s="359"/>
      <c r="N344" s="338"/>
      <c r="O344" s="353"/>
    </row>
    <row r="345" spans="1:16" ht="21.75" customHeight="1" x14ac:dyDescent="0.25">
      <c r="A345" s="385" t="s">
        <v>613</v>
      </c>
      <c r="B345" s="336" t="s">
        <v>614</v>
      </c>
      <c r="C345" s="14"/>
      <c r="D345" s="15">
        <f>SUM(D346:D347)</f>
        <v>45.9</v>
      </c>
      <c r="E345" s="15">
        <f>SUM(E346:E347)</f>
        <v>45.9</v>
      </c>
      <c r="F345" s="15">
        <f>SUM(F346:F347)</f>
        <v>40.9</v>
      </c>
      <c r="G345" s="15">
        <f>SUM(G346:G347)</f>
        <v>5</v>
      </c>
      <c r="H345" s="15">
        <f>SUM(H346:H347)</f>
        <v>5</v>
      </c>
      <c r="I345" s="148">
        <f t="shared" si="20"/>
        <v>0.89106753812636164</v>
      </c>
      <c r="J345" s="371" t="s">
        <v>615</v>
      </c>
      <c r="K345" s="339" t="s">
        <v>442</v>
      </c>
      <c r="L345" s="410">
        <v>20000</v>
      </c>
      <c r="M345" s="498">
        <v>7797</v>
      </c>
      <c r="N345" s="336" t="s">
        <v>1788</v>
      </c>
      <c r="O345" s="351" t="s">
        <v>1789</v>
      </c>
    </row>
    <row r="346" spans="1:16" x14ac:dyDescent="0.25">
      <c r="A346" s="386"/>
      <c r="B346" s="337"/>
      <c r="C346" s="20" t="s">
        <v>612</v>
      </c>
      <c r="D346" s="21">
        <v>35.9</v>
      </c>
      <c r="E346" s="21">
        <v>35.9</v>
      </c>
      <c r="F346" s="21">
        <v>35.9</v>
      </c>
      <c r="G346" s="21"/>
      <c r="H346" s="67"/>
      <c r="I346" s="149">
        <f t="shared" si="20"/>
        <v>1</v>
      </c>
      <c r="J346" s="372"/>
      <c r="K346" s="340"/>
      <c r="L346" s="411"/>
      <c r="M346" s="499"/>
      <c r="N346" s="337"/>
      <c r="O346" s="352"/>
    </row>
    <row r="347" spans="1:16" ht="15.75" thickBot="1" x14ac:dyDescent="0.3">
      <c r="A347" s="387"/>
      <c r="B347" s="338"/>
      <c r="C347" s="20" t="s">
        <v>43</v>
      </c>
      <c r="D347" s="21">
        <v>10</v>
      </c>
      <c r="E347" s="21">
        <v>10</v>
      </c>
      <c r="F347" s="21">
        <v>5</v>
      </c>
      <c r="G347" s="21">
        <v>5</v>
      </c>
      <c r="H347" s="21">
        <v>5</v>
      </c>
      <c r="I347" s="79">
        <f t="shared" si="20"/>
        <v>0.5</v>
      </c>
      <c r="J347" s="361"/>
      <c r="K347" s="341"/>
      <c r="L347" s="412"/>
      <c r="M347" s="500"/>
      <c r="N347" s="338"/>
      <c r="O347" s="353"/>
    </row>
    <row r="348" spans="1:16" ht="51.75" thickBot="1" x14ac:dyDescent="0.3">
      <c r="A348" s="13" t="s">
        <v>616</v>
      </c>
      <c r="B348" s="37" t="s">
        <v>617</v>
      </c>
      <c r="C348" s="14"/>
      <c r="D348" s="15">
        <f>D349+D350+D356+D359</f>
        <v>20204.8</v>
      </c>
      <c r="E348" s="15">
        <f>E349+E350+E356+E359</f>
        <v>20204.8</v>
      </c>
      <c r="F348" s="15">
        <f>F349+F350+F356+F359</f>
        <v>20192.100000000002</v>
      </c>
      <c r="G348" s="15">
        <f>G349+G350+G356+G359</f>
        <v>12.7</v>
      </c>
      <c r="H348" s="15">
        <f>H349+H350+H356+H359</f>
        <v>12.7</v>
      </c>
      <c r="I348" s="154">
        <f t="shared" si="20"/>
        <v>0.9993714364903391</v>
      </c>
      <c r="J348" s="41"/>
      <c r="K348" s="16"/>
      <c r="L348" s="48"/>
      <c r="M348" s="17"/>
      <c r="N348" s="41"/>
      <c r="O348" s="42"/>
      <c r="P348" s="181"/>
    </row>
    <row r="349" spans="1:16" ht="15.75" thickBot="1" x14ac:dyDescent="0.3">
      <c r="A349" s="13" t="s">
        <v>618</v>
      </c>
      <c r="B349" s="37" t="s">
        <v>619</v>
      </c>
      <c r="C349" s="14" t="s">
        <v>43</v>
      </c>
      <c r="D349" s="24">
        <v>300.8</v>
      </c>
      <c r="E349" s="24">
        <v>300.8</v>
      </c>
      <c r="F349" s="24">
        <v>288.2</v>
      </c>
      <c r="G349" s="24">
        <v>12.6</v>
      </c>
      <c r="H349" s="24">
        <v>12.6</v>
      </c>
      <c r="I349" s="154">
        <f t="shared" si="20"/>
        <v>0.9581117021276595</v>
      </c>
      <c r="J349" s="41" t="s">
        <v>620</v>
      </c>
      <c r="K349" s="16" t="s">
        <v>35</v>
      </c>
      <c r="L349" s="17">
        <v>300</v>
      </c>
      <c r="M349" s="176">
        <v>557</v>
      </c>
      <c r="N349" s="41" t="s">
        <v>1790</v>
      </c>
      <c r="O349" s="42"/>
    </row>
    <row r="350" spans="1:16" ht="18.75" customHeight="1" x14ac:dyDescent="0.25">
      <c r="A350" s="385" t="s">
        <v>621</v>
      </c>
      <c r="B350" s="336" t="s">
        <v>622</v>
      </c>
      <c r="C350" s="14"/>
      <c r="D350" s="15">
        <f>SUM(D351:D355)</f>
        <v>18656.2</v>
      </c>
      <c r="E350" s="15">
        <f>SUM(E351:E355)</f>
        <v>18656.2</v>
      </c>
      <c r="F350" s="15">
        <f>SUM(F351:F355)</f>
        <v>18656.100000000002</v>
      </c>
      <c r="G350" s="15">
        <f>SUM(G351:G355)</f>
        <v>0.1</v>
      </c>
      <c r="H350" s="15">
        <f>SUM(H351:H355)</f>
        <v>0.1</v>
      </c>
      <c r="I350" s="148">
        <f t="shared" si="20"/>
        <v>0.99999463985163117</v>
      </c>
      <c r="J350" s="371" t="s">
        <v>623</v>
      </c>
      <c r="K350" s="339" t="s">
        <v>23</v>
      </c>
      <c r="L350" s="342">
        <v>100</v>
      </c>
      <c r="M350" s="345">
        <v>100</v>
      </c>
      <c r="N350" s="336" t="s">
        <v>1791</v>
      </c>
      <c r="O350" s="419"/>
    </row>
    <row r="351" spans="1:16" x14ac:dyDescent="0.25">
      <c r="A351" s="386"/>
      <c r="B351" s="337"/>
      <c r="C351" s="20" t="s">
        <v>24</v>
      </c>
      <c r="D351" s="21">
        <v>1279.5</v>
      </c>
      <c r="E351" s="21">
        <v>1279.5</v>
      </c>
      <c r="F351" s="21">
        <v>1279.5</v>
      </c>
      <c r="G351" s="21"/>
      <c r="H351" s="67"/>
      <c r="I351" s="149">
        <f t="shared" si="20"/>
        <v>1</v>
      </c>
      <c r="J351" s="372"/>
      <c r="K351" s="340"/>
      <c r="L351" s="343"/>
      <c r="M351" s="346"/>
      <c r="N351" s="337"/>
      <c r="O351" s="420"/>
    </row>
    <row r="352" spans="1:16" x14ac:dyDescent="0.25">
      <c r="A352" s="386"/>
      <c r="B352" s="337"/>
      <c r="C352" s="20" t="s">
        <v>612</v>
      </c>
      <c r="D352" s="21">
        <v>7724.9</v>
      </c>
      <c r="E352" s="21">
        <v>7724.9</v>
      </c>
      <c r="F352" s="21">
        <v>7724.9</v>
      </c>
      <c r="G352" s="21"/>
      <c r="H352" s="67"/>
      <c r="I352" s="149">
        <f t="shared" si="20"/>
        <v>1</v>
      </c>
      <c r="J352" s="372"/>
      <c r="K352" s="340"/>
      <c r="L352" s="343"/>
      <c r="M352" s="346"/>
      <c r="N352" s="337"/>
      <c r="O352" s="420"/>
    </row>
    <row r="353" spans="1:16" x14ac:dyDescent="0.25">
      <c r="A353" s="386"/>
      <c r="B353" s="337"/>
      <c r="C353" s="20" t="s">
        <v>43</v>
      </c>
      <c r="D353" s="21">
        <v>3389.7</v>
      </c>
      <c r="E353" s="21">
        <v>3389.7</v>
      </c>
      <c r="F353" s="21">
        <v>3389.6</v>
      </c>
      <c r="G353" s="21">
        <v>0.1</v>
      </c>
      <c r="H353" s="67">
        <v>0.1</v>
      </c>
      <c r="I353" s="149">
        <f t="shared" si="20"/>
        <v>0.9999704988642063</v>
      </c>
      <c r="J353" s="372"/>
      <c r="K353" s="340"/>
      <c r="L353" s="343"/>
      <c r="M353" s="346"/>
      <c r="N353" s="337"/>
      <c r="O353" s="420"/>
    </row>
    <row r="354" spans="1:16" x14ac:dyDescent="0.25">
      <c r="A354" s="386"/>
      <c r="B354" s="337"/>
      <c r="C354" s="20" t="s">
        <v>624</v>
      </c>
      <c r="D354" s="21">
        <v>5641.4</v>
      </c>
      <c r="E354" s="21">
        <v>5641.4</v>
      </c>
      <c r="F354" s="21">
        <v>5641.4</v>
      </c>
      <c r="G354" s="21"/>
      <c r="H354" s="67"/>
      <c r="I354" s="149">
        <f t="shared" si="20"/>
        <v>1</v>
      </c>
      <c r="J354" s="372"/>
      <c r="K354" s="340"/>
      <c r="L354" s="343"/>
      <c r="M354" s="346"/>
      <c r="N354" s="337"/>
      <c r="O354" s="420"/>
    </row>
    <row r="355" spans="1:16" ht="15.75" thickBot="1" x14ac:dyDescent="0.3">
      <c r="A355" s="387"/>
      <c r="B355" s="338"/>
      <c r="C355" s="20" t="s">
        <v>27</v>
      </c>
      <c r="D355" s="21">
        <v>620.70000000000005</v>
      </c>
      <c r="E355" s="21">
        <v>620.70000000000005</v>
      </c>
      <c r="F355" s="21">
        <v>620.70000000000005</v>
      </c>
      <c r="G355" s="21"/>
      <c r="H355" s="21"/>
      <c r="I355" s="79">
        <f t="shared" si="20"/>
        <v>1</v>
      </c>
      <c r="J355" s="361"/>
      <c r="K355" s="341"/>
      <c r="L355" s="344"/>
      <c r="M355" s="347"/>
      <c r="N355" s="338"/>
      <c r="O355" s="421"/>
    </row>
    <row r="356" spans="1:16" ht="41.25" customHeight="1" x14ac:dyDescent="0.25">
      <c r="A356" s="385" t="s">
        <v>625</v>
      </c>
      <c r="B356" s="336" t="s">
        <v>626</v>
      </c>
      <c r="C356" s="14"/>
      <c r="D356" s="15">
        <f>SUM(D357:D358)</f>
        <v>1247.8000000000002</v>
      </c>
      <c r="E356" s="15">
        <f>SUM(E357:E358)</f>
        <v>1247.8000000000002</v>
      </c>
      <c r="F356" s="15">
        <f>SUM(F357:F358)</f>
        <v>1247.8000000000002</v>
      </c>
      <c r="G356" s="15"/>
      <c r="H356" s="15"/>
      <c r="I356" s="148">
        <f t="shared" si="20"/>
        <v>1</v>
      </c>
      <c r="J356" s="371" t="s">
        <v>627</v>
      </c>
      <c r="K356" s="339" t="s">
        <v>23</v>
      </c>
      <c r="L356" s="342">
        <v>100</v>
      </c>
      <c r="M356" s="345">
        <v>100</v>
      </c>
      <c r="N356" s="336" t="s">
        <v>1792</v>
      </c>
      <c r="O356" s="333"/>
    </row>
    <row r="357" spans="1:16" x14ac:dyDescent="0.25">
      <c r="A357" s="386"/>
      <c r="B357" s="337"/>
      <c r="C357" s="20" t="s">
        <v>43</v>
      </c>
      <c r="D357" s="21">
        <v>892.2</v>
      </c>
      <c r="E357" s="21">
        <v>892.2</v>
      </c>
      <c r="F357" s="21">
        <v>892.2</v>
      </c>
      <c r="G357" s="21"/>
      <c r="H357" s="67"/>
      <c r="I357" s="149">
        <f t="shared" si="20"/>
        <v>1</v>
      </c>
      <c r="J357" s="372"/>
      <c r="K357" s="340"/>
      <c r="L357" s="343"/>
      <c r="M357" s="346"/>
      <c r="N357" s="337"/>
      <c r="O357" s="334"/>
    </row>
    <row r="358" spans="1:16" ht="14.25" customHeight="1" thickBot="1" x14ac:dyDescent="0.3">
      <c r="A358" s="387"/>
      <c r="B358" s="338"/>
      <c r="C358" s="20" t="s">
        <v>24</v>
      </c>
      <c r="D358" s="21">
        <v>355.6</v>
      </c>
      <c r="E358" s="21">
        <v>355.6</v>
      </c>
      <c r="F358" s="21">
        <v>355.6</v>
      </c>
      <c r="G358" s="21"/>
      <c r="H358" s="21"/>
      <c r="I358" s="79">
        <f t="shared" si="20"/>
        <v>1</v>
      </c>
      <c r="J358" s="361"/>
      <c r="K358" s="341"/>
      <c r="L358" s="344"/>
      <c r="M358" s="347"/>
      <c r="N358" s="338"/>
      <c r="O358" s="335"/>
    </row>
    <row r="359" spans="1:16" ht="1.5" hidden="1" customHeight="1" thickBot="1" x14ac:dyDescent="0.3">
      <c r="A359" s="13" t="s">
        <v>628</v>
      </c>
      <c r="B359" s="37" t="s">
        <v>629</v>
      </c>
      <c r="C359" s="14"/>
      <c r="D359" s="24"/>
      <c r="E359" s="24"/>
      <c r="F359" s="24"/>
      <c r="G359" s="24"/>
      <c r="H359" s="24"/>
      <c r="I359" s="154" t="e">
        <f t="shared" si="20"/>
        <v>#DIV/0!</v>
      </c>
      <c r="J359" s="41"/>
      <c r="K359" s="16"/>
      <c r="L359" s="48"/>
      <c r="M359" s="17"/>
      <c r="N359" s="41"/>
      <c r="O359" s="42"/>
    </row>
    <row r="360" spans="1:16" ht="81" customHeight="1" x14ac:dyDescent="0.25">
      <c r="A360" s="385" t="s">
        <v>630</v>
      </c>
      <c r="B360" s="336" t="s">
        <v>631</v>
      </c>
      <c r="C360" s="14"/>
      <c r="D360" s="15">
        <f>SUM(D361:D363)</f>
        <v>695.9</v>
      </c>
      <c r="E360" s="15">
        <f>SUM(E361:E363)</f>
        <v>695.9</v>
      </c>
      <c r="F360" s="15">
        <f>SUM(F361:F363)+0.1</f>
        <v>228</v>
      </c>
      <c r="G360" s="15">
        <f>SUM(G361:G363)-0.1</f>
        <v>467.9</v>
      </c>
      <c r="H360" s="15">
        <f>SUM(H361:H363)-0.1</f>
        <v>467.9</v>
      </c>
      <c r="I360" s="148">
        <f t="shared" si="20"/>
        <v>0.32763328064377067</v>
      </c>
      <c r="J360" s="371" t="s">
        <v>632</v>
      </c>
      <c r="K360" s="339" t="s">
        <v>35</v>
      </c>
      <c r="L360" s="342">
        <v>1</v>
      </c>
      <c r="M360" s="495">
        <v>0</v>
      </c>
      <c r="N360" s="374" t="s">
        <v>2087</v>
      </c>
      <c r="O360" s="351" t="s">
        <v>1793</v>
      </c>
      <c r="P360" s="139"/>
    </row>
    <row r="361" spans="1:16" x14ac:dyDescent="0.25">
      <c r="A361" s="386"/>
      <c r="B361" s="337"/>
      <c r="C361" s="20" t="s">
        <v>29</v>
      </c>
      <c r="D361" s="21">
        <v>290.89999999999998</v>
      </c>
      <c r="E361" s="21">
        <v>290.89999999999998</v>
      </c>
      <c r="F361" s="21">
        <v>0</v>
      </c>
      <c r="G361" s="21">
        <v>290.89999999999998</v>
      </c>
      <c r="H361" s="67">
        <v>290.89999999999998</v>
      </c>
      <c r="I361" s="149">
        <f t="shared" si="20"/>
        <v>0</v>
      </c>
      <c r="J361" s="372"/>
      <c r="K361" s="340"/>
      <c r="L361" s="343"/>
      <c r="M361" s="496"/>
      <c r="N361" s="375"/>
      <c r="O361" s="352"/>
    </row>
    <row r="362" spans="1:16" x14ac:dyDescent="0.25">
      <c r="A362" s="386"/>
      <c r="B362" s="337"/>
      <c r="C362" s="20" t="s">
        <v>43</v>
      </c>
      <c r="D362" s="21">
        <v>150</v>
      </c>
      <c r="E362" s="21">
        <v>150</v>
      </c>
      <c r="F362" s="21">
        <v>129.9</v>
      </c>
      <c r="G362" s="21">
        <v>20.100000000000001</v>
      </c>
      <c r="H362" s="67">
        <v>20.100000000000001</v>
      </c>
      <c r="I362" s="149">
        <f t="shared" si="20"/>
        <v>0.86599999999999999</v>
      </c>
      <c r="J362" s="372"/>
      <c r="K362" s="340"/>
      <c r="L362" s="343"/>
      <c r="M362" s="496"/>
      <c r="N362" s="375"/>
      <c r="O362" s="352"/>
    </row>
    <row r="363" spans="1:16" ht="15.75" thickBot="1" x14ac:dyDescent="0.3">
      <c r="A363" s="387"/>
      <c r="B363" s="338"/>
      <c r="C363" s="20" t="s">
        <v>24</v>
      </c>
      <c r="D363" s="21">
        <v>255</v>
      </c>
      <c r="E363" s="21">
        <v>255</v>
      </c>
      <c r="F363" s="21">
        <v>98</v>
      </c>
      <c r="G363" s="21">
        <v>157</v>
      </c>
      <c r="H363" s="21">
        <v>157</v>
      </c>
      <c r="I363" s="79">
        <f t="shared" si="20"/>
        <v>0.3843137254901961</v>
      </c>
      <c r="J363" s="361"/>
      <c r="K363" s="341"/>
      <c r="L363" s="344"/>
      <c r="M363" s="497"/>
      <c r="N363" s="376"/>
      <c r="O363" s="353"/>
    </row>
    <row r="364" spans="1:16" ht="26.25" thickBot="1" x14ac:dyDescent="0.3">
      <c r="A364" s="13" t="s">
        <v>633</v>
      </c>
      <c r="B364" s="37" t="s">
        <v>634</v>
      </c>
      <c r="C364" s="14"/>
      <c r="D364" s="15">
        <f>D365+D369+D372</f>
        <v>6562.2000000000007</v>
      </c>
      <c r="E364" s="15">
        <f>E365+E369+E372</f>
        <v>6562.2000000000007</v>
      </c>
      <c r="F364" s="15">
        <f>F365+F369+F372</f>
        <v>3918.5</v>
      </c>
      <c r="G364" s="15">
        <f>G365+G369+G372</f>
        <v>2643.7</v>
      </c>
      <c r="H364" s="15">
        <f>H365+H369+H372</f>
        <v>2643.7</v>
      </c>
      <c r="I364" s="154">
        <f t="shared" si="20"/>
        <v>0.59713205937033309</v>
      </c>
      <c r="J364" s="41"/>
      <c r="K364" s="16"/>
      <c r="L364" s="48"/>
      <c r="M364" s="17"/>
      <c r="N364" s="41"/>
      <c r="O364" s="42"/>
      <c r="P364" s="175"/>
    </row>
    <row r="365" spans="1:16" ht="50.25" customHeight="1" x14ac:dyDescent="0.25">
      <c r="A365" s="385" t="s">
        <v>635</v>
      </c>
      <c r="B365" s="336" t="s">
        <v>636</v>
      </c>
      <c r="C365" s="14"/>
      <c r="D365" s="15">
        <f>SUM(D366:D368)</f>
        <v>6512.2000000000007</v>
      </c>
      <c r="E365" s="15">
        <f>SUM(E366:E368)</f>
        <v>6512.2000000000007</v>
      </c>
      <c r="F365" s="15">
        <f>SUM(F366:F368)</f>
        <v>3918.5</v>
      </c>
      <c r="G365" s="15">
        <f>SUM(G366:G368)</f>
        <v>2593.6999999999998</v>
      </c>
      <c r="H365" s="15">
        <f>SUM(H366:H368)</f>
        <v>2593.6999999999998</v>
      </c>
      <c r="I365" s="148">
        <f t="shared" si="20"/>
        <v>0.60171677774024135</v>
      </c>
      <c r="J365" s="41" t="s">
        <v>637</v>
      </c>
      <c r="K365" s="16" t="s">
        <v>456</v>
      </c>
      <c r="L365" s="17">
        <v>6</v>
      </c>
      <c r="M365" s="268">
        <v>4.8</v>
      </c>
      <c r="N365" s="41" t="s">
        <v>2012</v>
      </c>
      <c r="O365" s="42" t="s">
        <v>2013</v>
      </c>
    </row>
    <row r="366" spans="1:16" ht="18" customHeight="1" x14ac:dyDescent="0.25">
      <c r="A366" s="386"/>
      <c r="B366" s="337"/>
      <c r="C366" s="20" t="s">
        <v>29</v>
      </c>
      <c r="D366" s="21">
        <v>4268.1000000000004</v>
      </c>
      <c r="E366" s="21">
        <v>4268.1000000000004</v>
      </c>
      <c r="F366" s="21">
        <v>1678.5</v>
      </c>
      <c r="G366" s="21">
        <v>2589.6</v>
      </c>
      <c r="H366" s="67">
        <v>2589.6</v>
      </c>
      <c r="I366" s="149">
        <f t="shared" si="20"/>
        <v>0.39326632459408162</v>
      </c>
      <c r="J366" s="360" t="s">
        <v>638</v>
      </c>
      <c r="K366" s="362" t="s">
        <v>456</v>
      </c>
      <c r="L366" s="363">
        <v>5.8</v>
      </c>
      <c r="M366" s="377">
        <v>2.8</v>
      </c>
      <c r="N366" s="365" t="s">
        <v>1629</v>
      </c>
      <c r="O366" s="380" t="s">
        <v>1630</v>
      </c>
    </row>
    <row r="367" spans="1:16" x14ac:dyDescent="0.25">
      <c r="A367" s="386"/>
      <c r="B367" s="337"/>
      <c r="C367" s="20" t="s">
        <v>43</v>
      </c>
      <c r="D367" s="21">
        <v>650</v>
      </c>
      <c r="E367" s="21">
        <v>650</v>
      </c>
      <c r="F367" s="21">
        <v>645.9</v>
      </c>
      <c r="G367" s="21">
        <v>4.0999999999999996</v>
      </c>
      <c r="H367" s="67">
        <v>4.0999999999999996</v>
      </c>
      <c r="I367" s="149">
        <f t="shared" si="20"/>
        <v>0.99369230769230765</v>
      </c>
      <c r="J367" s="372"/>
      <c r="K367" s="340"/>
      <c r="L367" s="343"/>
      <c r="M367" s="449"/>
      <c r="N367" s="337"/>
      <c r="O367" s="352"/>
    </row>
    <row r="368" spans="1:16" ht="15.75" thickBot="1" x14ac:dyDescent="0.3">
      <c r="A368" s="387"/>
      <c r="B368" s="338"/>
      <c r="C368" s="20" t="s">
        <v>24</v>
      </c>
      <c r="D368" s="21">
        <v>1594.1</v>
      </c>
      <c r="E368" s="21">
        <v>1594.1</v>
      </c>
      <c r="F368" s="21">
        <v>1594.1</v>
      </c>
      <c r="G368" s="21"/>
      <c r="H368" s="21"/>
      <c r="I368" s="79">
        <f t="shared" si="20"/>
        <v>1</v>
      </c>
      <c r="J368" s="361"/>
      <c r="K368" s="341"/>
      <c r="L368" s="344"/>
      <c r="M368" s="378"/>
      <c r="N368" s="338"/>
      <c r="O368" s="353"/>
    </row>
    <row r="369" spans="1:16" ht="22.5" customHeight="1" x14ac:dyDescent="0.25">
      <c r="A369" s="385" t="s">
        <v>639</v>
      </c>
      <c r="B369" s="336" t="s">
        <v>640</v>
      </c>
      <c r="C369" s="14"/>
      <c r="D369" s="15">
        <f>SUM(D370:D371)</f>
        <v>50</v>
      </c>
      <c r="E369" s="15">
        <f>SUM(E370:E371)</f>
        <v>50</v>
      </c>
      <c r="F369" s="15">
        <f>SUM(F370:F371)</f>
        <v>0</v>
      </c>
      <c r="G369" s="15">
        <f>SUM(G370:G371)</f>
        <v>50</v>
      </c>
      <c r="H369" s="15">
        <f>SUM(H370:H371)</f>
        <v>50</v>
      </c>
      <c r="I369" s="148">
        <f t="shared" si="20"/>
        <v>0</v>
      </c>
      <c r="J369" s="371" t="s">
        <v>641</v>
      </c>
      <c r="K369" s="339" t="s">
        <v>23</v>
      </c>
      <c r="L369" s="342">
        <v>2</v>
      </c>
      <c r="M369" s="392">
        <v>2</v>
      </c>
      <c r="N369" s="374" t="s">
        <v>1794</v>
      </c>
      <c r="O369" s="419"/>
    </row>
    <row r="370" spans="1:16" x14ac:dyDescent="0.25">
      <c r="A370" s="386"/>
      <c r="B370" s="337"/>
      <c r="C370" s="20" t="s">
        <v>29</v>
      </c>
      <c r="D370" s="21">
        <v>42.5</v>
      </c>
      <c r="E370" s="21">
        <v>42.5</v>
      </c>
      <c r="F370" s="21"/>
      <c r="G370" s="21">
        <v>42.5</v>
      </c>
      <c r="H370" s="67">
        <v>42.5</v>
      </c>
      <c r="I370" s="149">
        <f t="shared" si="20"/>
        <v>0</v>
      </c>
      <c r="J370" s="372"/>
      <c r="K370" s="340"/>
      <c r="L370" s="343"/>
      <c r="M370" s="393"/>
      <c r="N370" s="375"/>
      <c r="O370" s="420"/>
    </row>
    <row r="371" spans="1:16" ht="15" customHeight="1" thickBot="1" x14ac:dyDescent="0.3">
      <c r="A371" s="387"/>
      <c r="B371" s="338"/>
      <c r="C371" s="20" t="s">
        <v>43</v>
      </c>
      <c r="D371" s="21">
        <v>7.5</v>
      </c>
      <c r="E371" s="21">
        <v>7.5</v>
      </c>
      <c r="F371" s="21"/>
      <c r="G371" s="21">
        <v>7.5</v>
      </c>
      <c r="H371" s="21">
        <v>7.5</v>
      </c>
      <c r="I371" s="79">
        <f t="shared" si="20"/>
        <v>0</v>
      </c>
      <c r="J371" s="361"/>
      <c r="K371" s="341"/>
      <c r="L371" s="344"/>
      <c r="M371" s="394"/>
      <c r="N371" s="376"/>
      <c r="O371" s="421"/>
    </row>
    <row r="372" spans="1:16" ht="64.5" hidden="1" thickBot="1" x14ac:dyDescent="0.3">
      <c r="A372" s="13" t="s">
        <v>642</v>
      </c>
      <c r="B372" s="37" t="s">
        <v>643</v>
      </c>
      <c r="C372" s="14"/>
      <c r="D372" s="24"/>
      <c r="E372" s="24"/>
      <c r="F372" s="24"/>
      <c r="G372" s="24"/>
      <c r="H372" s="24"/>
      <c r="I372" s="154" t="e">
        <f t="shared" si="20"/>
        <v>#DIV/0!</v>
      </c>
      <c r="J372" s="41"/>
      <c r="K372" s="16"/>
      <c r="L372" s="48"/>
      <c r="M372" s="17"/>
      <c r="N372" s="41"/>
      <c r="O372" s="42"/>
    </row>
    <row r="373" spans="1:16" ht="26.25" thickBot="1" x14ac:dyDescent="0.3">
      <c r="A373" s="13" t="s">
        <v>644</v>
      </c>
      <c r="B373" s="37" t="s">
        <v>645</v>
      </c>
      <c r="C373" s="14"/>
      <c r="D373" s="15">
        <f>D374+D377</f>
        <v>7280.4</v>
      </c>
      <c r="E373" s="15">
        <f>E374+E377</f>
        <v>7280.4</v>
      </c>
      <c r="F373" s="15">
        <f>F374+F377</f>
        <v>7262.8</v>
      </c>
      <c r="G373" s="15">
        <f>G374+G377</f>
        <v>17.600000000000001</v>
      </c>
      <c r="H373" s="15">
        <f>H374+H377</f>
        <v>17.600000000000001</v>
      </c>
      <c r="I373" s="154">
        <f t="shared" si="20"/>
        <v>0.9975825504093182</v>
      </c>
      <c r="J373" s="41"/>
      <c r="K373" s="16"/>
      <c r="L373" s="48"/>
      <c r="M373" s="17"/>
      <c r="N373" s="41"/>
      <c r="O373" s="42"/>
      <c r="P373" s="181"/>
    </row>
    <row r="374" spans="1:16" x14ac:dyDescent="0.25">
      <c r="A374" s="385" t="s">
        <v>646</v>
      </c>
      <c r="B374" s="336" t="s">
        <v>647</v>
      </c>
      <c r="C374" s="14"/>
      <c r="D374" s="15">
        <f>SUM(D375:D376)</f>
        <v>2536.6</v>
      </c>
      <c r="E374" s="15">
        <f>SUM(E375:E376)</f>
        <v>2536.6</v>
      </c>
      <c r="F374" s="15">
        <f>SUM(F375:F376)</f>
        <v>2532.8000000000002</v>
      </c>
      <c r="G374" s="15">
        <f>SUM(G375:G376)</f>
        <v>3.8</v>
      </c>
      <c r="H374" s="15">
        <f>SUM(H375:H376)</f>
        <v>3.8</v>
      </c>
      <c r="I374" s="148">
        <f t="shared" si="20"/>
        <v>0.99850193171962476</v>
      </c>
      <c r="J374" s="371" t="s">
        <v>648</v>
      </c>
      <c r="K374" s="339" t="s">
        <v>23</v>
      </c>
      <c r="L374" s="342">
        <v>100</v>
      </c>
      <c r="M374" s="345">
        <v>100</v>
      </c>
      <c r="N374" s="330"/>
      <c r="O374" s="333"/>
    </row>
    <row r="375" spans="1:16" x14ac:dyDescent="0.25">
      <c r="A375" s="386"/>
      <c r="B375" s="337"/>
      <c r="C375" s="20" t="s">
        <v>24</v>
      </c>
      <c r="D375" s="21">
        <v>746.5</v>
      </c>
      <c r="E375" s="21">
        <v>746.5</v>
      </c>
      <c r="F375" s="21">
        <v>746.5</v>
      </c>
      <c r="G375" s="21"/>
      <c r="H375" s="67"/>
      <c r="I375" s="149">
        <f t="shared" si="20"/>
        <v>1</v>
      </c>
      <c r="J375" s="372"/>
      <c r="K375" s="340"/>
      <c r="L375" s="343"/>
      <c r="M375" s="346"/>
      <c r="N375" s="331"/>
      <c r="O375" s="334"/>
    </row>
    <row r="376" spans="1:16" ht="23.25" customHeight="1" thickBot="1" x14ac:dyDescent="0.3">
      <c r="A376" s="387"/>
      <c r="B376" s="338"/>
      <c r="C376" s="20" t="s">
        <v>43</v>
      </c>
      <c r="D376" s="21">
        <v>1790.1</v>
      </c>
      <c r="E376" s="21">
        <v>1790.1</v>
      </c>
      <c r="F376" s="21">
        <v>1786.3</v>
      </c>
      <c r="G376" s="21">
        <v>3.8</v>
      </c>
      <c r="H376" s="21">
        <v>3.8</v>
      </c>
      <c r="I376" s="79">
        <f t="shared" si="20"/>
        <v>0.99787721356348813</v>
      </c>
      <c r="J376" s="361"/>
      <c r="K376" s="341"/>
      <c r="L376" s="344"/>
      <c r="M376" s="347"/>
      <c r="N376" s="332"/>
      <c r="O376" s="335"/>
    </row>
    <row r="377" spans="1:16" x14ac:dyDescent="0.25">
      <c r="A377" s="385" t="s">
        <v>649</v>
      </c>
      <c r="B377" s="336" t="s">
        <v>650</v>
      </c>
      <c r="C377" s="14"/>
      <c r="D377" s="15">
        <f>SUM(D378:D379)</f>
        <v>4743.8</v>
      </c>
      <c r="E377" s="15">
        <f>SUM(E378:E379)</f>
        <v>4743.8</v>
      </c>
      <c r="F377" s="15">
        <f>SUM(F378:F379)</f>
        <v>4730</v>
      </c>
      <c r="G377" s="15">
        <f>SUM(G378:G379)</f>
        <v>13.8</v>
      </c>
      <c r="H377" s="15">
        <f>SUM(H378:H379)</f>
        <v>13.8</v>
      </c>
      <c r="I377" s="148">
        <f t="shared" si="20"/>
        <v>0.99709093975294061</v>
      </c>
      <c r="J377" s="371" t="s">
        <v>648</v>
      </c>
      <c r="K377" s="339" t="s">
        <v>23</v>
      </c>
      <c r="L377" s="342">
        <v>100</v>
      </c>
      <c r="M377" s="345">
        <v>100</v>
      </c>
      <c r="N377" s="330"/>
      <c r="O377" s="333"/>
    </row>
    <row r="378" spans="1:16" x14ac:dyDescent="0.25">
      <c r="A378" s="386"/>
      <c r="B378" s="337"/>
      <c r="C378" s="20" t="s">
        <v>24</v>
      </c>
      <c r="D378" s="21">
        <v>4493.8</v>
      </c>
      <c r="E378" s="21">
        <v>4493.8</v>
      </c>
      <c r="F378" s="21">
        <v>4480.5</v>
      </c>
      <c r="G378" s="21">
        <v>13.3</v>
      </c>
      <c r="H378" s="67">
        <v>13.3</v>
      </c>
      <c r="I378" s="149">
        <f t="shared" si="20"/>
        <v>0.99704036672749119</v>
      </c>
      <c r="J378" s="372"/>
      <c r="K378" s="340"/>
      <c r="L378" s="343"/>
      <c r="M378" s="346"/>
      <c r="N378" s="331"/>
      <c r="O378" s="334"/>
    </row>
    <row r="379" spans="1:16" ht="15.75" thickBot="1" x14ac:dyDescent="0.3">
      <c r="A379" s="387"/>
      <c r="B379" s="338"/>
      <c r="C379" s="20" t="s">
        <v>43</v>
      </c>
      <c r="D379" s="21">
        <v>250</v>
      </c>
      <c r="E379" s="21">
        <v>250</v>
      </c>
      <c r="F379" s="21">
        <v>249.5</v>
      </c>
      <c r="G379" s="21">
        <v>0.5</v>
      </c>
      <c r="H379" s="67">
        <v>0.5</v>
      </c>
      <c r="I379" s="164">
        <f t="shared" si="20"/>
        <v>0.998</v>
      </c>
      <c r="J379" s="361"/>
      <c r="K379" s="341"/>
      <c r="L379" s="344"/>
      <c r="M379" s="347"/>
      <c r="N379" s="332"/>
      <c r="O379" s="335"/>
    </row>
    <row r="380" spans="1:16" ht="15.75" thickBot="1" x14ac:dyDescent="0.3">
      <c r="A380" s="13" t="s">
        <v>651</v>
      </c>
      <c r="B380" s="37" t="s">
        <v>652</v>
      </c>
      <c r="C380" s="14"/>
      <c r="D380" s="15">
        <f>D381+D384</f>
        <v>658</v>
      </c>
      <c r="E380" s="15">
        <f>E381+E384</f>
        <v>658</v>
      </c>
      <c r="F380" s="15">
        <f>F381+F384</f>
        <v>562.9</v>
      </c>
      <c r="G380" s="15">
        <f>G381+G384</f>
        <v>95.1</v>
      </c>
      <c r="H380" s="15">
        <f>H381+H384</f>
        <v>95.1</v>
      </c>
      <c r="I380" s="79">
        <f t="shared" si="20"/>
        <v>0.85547112462006081</v>
      </c>
      <c r="J380" s="41"/>
      <c r="K380" s="16"/>
      <c r="L380" s="48"/>
      <c r="M380" s="17"/>
      <c r="N380" s="41"/>
      <c r="O380" s="42"/>
      <c r="P380" s="284"/>
    </row>
    <row r="381" spans="1:16" ht="51" x14ac:dyDescent="0.25">
      <c r="A381" s="385" t="s">
        <v>653</v>
      </c>
      <c r="B381" s="336" t="s">
        <v>654</v>
      </c>
      <c r="C381" s="14"/>
      <c r="D381" s="15">
        <f>SUM(D382:D383)</f>
        <v>110</v>
      </c>
      <c r="E381" s="15">
        <f>SUM(E382:E383)</f>
        <v>110</v>
      </c>
      <c r="F381" s="15">
        <f>SUM(F382:F383)</f>
        <v>90.7</v>
      </c>
      <c r="G381" s="15">
        <f>SUM(G382:G383)</f>
        <v>19.3</v>
      </c>
      <c r="H381" s="15">
        <f>SUM(H382:H383)</f>
        <v>19.3</v>
      </c>
      <c r="I381" s="148">
        <f t="shared" si="20"/>
        <v>0.82454545454545458</v>
      </c>
      <c r="J381" s="41" t="s">
        <v>655</v>
      </c>
      <c r="K381" s="16" t="s">
        <v>35</v>
      </c>
      <c r="L381" s="17">
        <v>10</v>
      </c>
      <c r="M381" s="190">
        <v>32</v>
      </c>
      <c r="N381" s="41" t="s">
        <v>1795</v>
      </c>
      <c r="O381" s="42"/>
    </row>
    <row r="382" spans="1:16" ht="25.5" customHeight="1" x14ac:dyDescent="0.25">
      <c r="A382" s="386"/>
      <c r="B382" s="337"/>
      <c r="C382" s="20" t="s">
        <v>43</v>
      </c>
      <c r="D382" s="21">
        <v>20</v>
      </c>
      <c r="E382" s="21">
        <v>20</v>
      </c>
      <c r="F382" s="21">
        <v>11.7</v>
      </c>
      <c r="G382" s="21">
        <v>8.3000000000000007</v>
      </c>
      <c r="H382" s="67">
        <v>8.3000000000000007</v>
      </c>
      <c r="I382" s="149">
        <f t="shared" si="20"/>
        <v>0.58499999999999996</v>
      </c>
      <c r="J382" s="360" t="s">
        <v>656</v>
      </c>
      <c r="K382" s="362" t="s">
        <v>35</v>
      </c>
      <c r="L382" s="363">
        <v>30</v>
      </c>
      <c r="M382" s="364">
        <v>32</v>
      </c>
      <c r="N382" s="365" t="s">
        <v>1796</v>
      </c>
      <c r="O382" s="355"/>
    </row>
    <row r="383" spans="1:16" ht="15.75" thickBot="1" x14ac:dyDescent="0.3">
      <c r="A383" s="387"/>
      <c r="B383" s="338"/>
      <c r="C383" s="20" t="s">
        <v>24</v>
      </c>
      <c r="D383" s="21">
        <v>90</v>
      </c>
      <c r="E383" s="21">
        <v>90</v>
      </c>
      <c r="F383" s="21">
        <v>79</v>
      </c>
      <c r="G383" s="21">
        <v>11</v>
      </c>
      <c r="H383" s="21">
        <v>11</v>
      </c>
      <c r="I383" s="79">
        <f t="shared" si="20"/>
        <v>0.87777777777777777</v>
      </c>
      <c r="J383" s="361"/>
      <c r="K383" s="341"/>
      <c r="L383" s="344"/>
      <c r="M383" s="350"/>
      <c r="N383" s="338"/>
      <c r="O383" s="335"/>
    </row>
    <row r="384" spans="1:16" ht="19.5" customHeight="1" x14ac:dyDescent="0.25">
      <c r="A384" s="385" t="s">
        <v>657</v>
      </c>
      <c r="B384" s="336" t="s">
        <v>658</v>
      </c>
      <c r="C384" s="14"/>
      <c r="D384" s="15">
        <f>SUM(D385:D386)</f>
        <v>548</v>
      </c>
      <c r="E384" s="15">
        <f>SUM(E385:E386)</f>
        <v>548</v>
      </c>
      <c r="F384" s="15">
        <f>SUM(F385:F386)</f>
        <v>472.2</v>
      </c>
      <c r="G384" s="15">
        <f>SUM(G385:G386)</f>
        <v>75.8</v>
      </c>
      <c r="H384" s="15">
        <f>SUM(H385:H386)</f>
        <v>75.8</v>
      </c>
      <c r="I384" s="148">
        <f t="shared" si="20"/>
        <v>0.86167883211678831</v>
      </c>
      <c r="J384" s="371" t="s">
        <v>659</v>
      </c>
      <c r="K384" s="339" t="s">
        <v>35</v>
      </c>
      <c r="L384" s="342">
        <v>1</v>
      </c>
      <c r="M384" s="345">
        <v>1</v>
      </c>
      <c r="N384" s="336" t="s">
        <v>1797</v>
      </c>
      <c r="O384" s="333"/>
    </row>
    <row r="385" spans="1:16" x14ac:dyDescent="0.25">
      <c r="A385" s="386"/>
      <c r="B385" s="337"/>
      <c r="C385" s="20" t="s">
        <v>29</v>
      </c>
      <c r="D385" s="21">
        <v>538</v>
      </c>
      <c r="E385" s="21">
        <v>538</v>
      </c>
      <c r="F385" s="21">
        <v>472.2</v>
      </c>
      <c r="G385" s="21">
        <v>65.8</v>
      </c>
      <c r="H385" s="67">
        <v>65.8</v>
      </c>
      <c r="I385" s="149">
        <f t="shared" si="20"/>
        <v>0.8776951672862453</v>
      </c>
      <c r="J385" s="372"/>
      <c r="K385" s="340"/>
      <c r="L385" s="343"/>
      <c r="M385" s="346"/>
      <c r="N385" s="337"/>
      <c r="O385" s="334"/>
    </row>
    <row r="386" spans="1:16" ht="15.75" thickBot="1" x14ac:dyDescent="0.3">
      <c r="A386" s="387"/>
      <c r="B386" s="338"/>
      <c r="C386" s="20" t="s">
        <v>24</v>
      </c>
      <c r="D386" s="21">
        <v>10</v>
      </c>
      <c r="E386" s="21">
        <v>10</v>
      </c>
      <c r="F386" s="21"/>
      <c r="G386" s="21">
        <v>10</v>
      </c>
      <c r="H386" s="21">
        <v>10</v>
      </c>
      <c r="I386" s="79">
        <f t="shared" si="20"/>
        <v>0</v>
      </c>
      <c r="J386" s="361"/>
      <c r="K386" s="341"/>
      <c r="L386" s="344"/>
      <c r="M386" s="347"/>
      <c r="N386" s="338"/>
      <c r="O386" s="335"/>
    </row>
    <row r="387" spans="1:16" ht="38.25" x14ac:dyDescent="0.25">
      <c r="A387" s="385" t="s">
        <v>660</v>
      </c>
      <c r="B387" s="336" t="s">
        <v>661</v>
      </c>
      <c r="C387" s="14"/>
      <c r="D387" s="15">
        <f>SUM(D388:D391)</f>
        <v>2567.9</v>
      </c>
      <c r="E387" s="15">
        <f>SUM(E388:E391)</f>
        <v>2567.9</v>
      </c>
      <c r="F387" s="15">
        <f>SUM(F388:F391)</f>
        <v>2528.4</v>
      </c>
      <c r="G387" s="15">
        <f>SUM(G388:G391)</f>
        <v>39.5</v>
      </c>
      <c r="H387" s="15">
        <f>SUM(H388:H391)</f>
        <v>39.5</v>
      </c>
      <c r="I387" s="148">
        <f t="shared" si="20"/>
        <v>0.98461778106624087</v>
      </c>
      <c r="J387" s="41" t="s">
        <v>662</v>
      </c>
      <c r="K387" s="16" t="s">
        <v>35</v>
      </c>
      <c r="L387" s="17">
        <v>13</v>
      </c>
      <c r="M387" s="176">
        <v>17</v>
      </c>
      <c r="N387" s="41" t="s">
        <v>1798</v>
      </c>
      <c r="O387" s="42"/>
      <c r="P387" s="284"/>
    </row>
    <row r="388" spans="1:16" x14ac:dyDescent="0.25">
      <c r="A388" s="386"/>
      <c r="B388" s="337"/>
      <c r="C388" s="20" t="s">
        <v>24</v>
      </c>
      <c r="D388" s="21">
        <v>20</v>
      </c>
      <c r="E388" s="21">
        <v>20</v>
      </c>
      <c r="F388" s="21">
        <v>20</v>
      </c>
      <c r="G388" s="21"/>
      <c r="H388" s="67"/>
      <c r="I388" s="149">
        <f t="shared" si="20"/>
        <v>1</v>
      </c>
      <c r="J388" s="68" t="s">
        <v>663</v>
      </c>
      <c r="K388" s="22" t="s">
        <v>456</v>
      </c>
      <c r="L388" s="23">
        <v>4</v>
      </c>
      <c r="M388" s="134">
        <v>4.74</v>
      </c>
      <c r="N388" s="43" t="s">
        <v>1799</v>
      </c>
      <c r="O388" s="44"/>
    </row>
    <row r="389" spans="1:16" ht="15.75" customHeight="1" x14ac:dyDescent="0.25">
      <c r="A389" s="386"/>
      <c r="B389" s="337"/>
      <c r="C389" s="20" t="s">
        <v>43</v>
      </c>
      <c r="D389" s="21">
        <v>641.4</v>
      </c>
      <c r="E389" s="21">
        <v>641.4</v>
      </c>
      <c r="F389" s="21">
        <v>601.9</v>
      </c>
      <c r="G389" s="21">
        <v>39.5</v>
      </c>
      <c r="H389" s="67">
        <v>39.5</v>
      </c>
      <c r="I389" s="149">
        <f t="shared" si="20"/>
        <v>0.93841596507639535</v>
      </c>
      <c r="J389" s="360" t="s">
        <v>664</v>
      </c>
      <c r="K389" s="362" t="s">
        <v>23</v>
      </c>
      <c r="L389" s="363">
        <v>10</v>
      </c>
      <c r="M389" s="418">
        <v>10</v>
      </c>
      <c r="N389" s="365" t="s">
        <v>1800</v>
      </c>
      <c r="O389" s="355"/>
    </row>
    <row r="390" spans="1:16" x14ac:dyDescent="0.25">
      <c r="A390" s="386"/>
      <c r="B390" s="337"/>
      <c r="C390" s="20" t="s">
        <v>612</v>
      </c>
      <c r="D390" s="21">
        <v>1382.9</v>
      </c>
      <c r="E390" s="21">
        <v>1382.9</v>
      </c>
      <c r="F390" s="21">
        <v>1382.9</v>
      </c>
      <c r="G390" s="21"/>
      <c r="H390" s="21"/>
      <c r="I390" s="79">
        <f t="shared" si="20"/>
        <v>1</v>
      </c>
      <c r="J390" s="372"/>
      <c r="K390" s="340"/>
      <c r="L390" s="343"/>
      <c r="M390" s="346"/>
      <c r="N390" s="337"/>
      <c r="O390" s="334"/>
    </row>
    <row r="391" spans="1:16" ht="14.25" customHeight="1" thickBot="1" x14ac:dyDescent="0.3">
      <c r="A391" s="387"/>
      <c r="B391" s="338"/>
      <c r="C391" s="20" t="s">
        <v>624</v>
      </c>
      <c r="D391" s="21">
        <v>523.6</v>
      </c>
      <c r="E391" s="21">
        <v>523.6</v>
      </c>
      <c r="F391" s="21">
        <v>523.6</v>
      </c>
      <c r="G391" s="21"/>
      <c r="H391" s="21"/>
      <c r="I391" s="80">
        <f t="shared" si="20"/>
        <v>1</v>
      </c>
      <c r="J391" s="361"/>
      <c r="K391" s="341"/>
      <c r="L391" s="344"/>
      <c r="M391" s="347"/>
      <c r="N391" s="338"/>
      <c r="O391" s="335"/>
    </row>
    <row r="392" spans="1:16" ht="26.25" hidden="1" thickBot="1" x14ac:dyDescent="0.3">
      <c r="A392" s="13" t="s">
        <v>665</v>
      </c>
      <c r="B392" s="37" t="s">
        <v>666</v>
      </c>
      <c r="C392" s="14"/>
      <c r="D392" s="24"/>
      <c r="E392" s="24"/>
      <c r="F392" s="24"/>
      <c r="G392" s="24"/>
      <c r="H392" s="24"/>
      <c r="I392" s="79" t="e">
        <f t="shared" si="20"/>
        <v>#DIV/0!</v>
      </c>
      <c r="J392" s="41"/>
      <c r="K392" s="16"/>
      <c r="L392" s="48"/>
      <c r="M392" s="17"/>
      <c r="N392" s="41"/>
      <c r="O392" s="42"/>
    </row>
    <row r="393" spans="1:16" ht="26.25" thickBot="1" x14ac:dyDescent="0.3">
      <c r="A393" s="93" t="s">
        <v>667</v>
      </c>
      <c r="B393" s="88" t="s">
        <v>668</v>
      </c>
      <c r="C393" s="94"/>
      <c r="D393" s="191">
        <f>D394+D396+D397+D402+D404</f>
        <v>2922.3</v>
      </c>
      <c r="E393" s="191">
        <f>E394+E396+E397+E402+E404</f>
        <v>2922.3</v>
      </c>
      <c r="F393" s="191">
        <f>F394+F396+F397+F402+F404</f>
        <v>2915.8</v>
      </c>
      <c r="G393" s="191">
        <f>G394+G396+G397+G402+G404</f>
        <v>6.4999999999999991</v>
      </c>
      <c r="H393" s="191">
        <f>H394+H396+H397+H402+H404</f>
        <v>6.4999999999999991</v>
      </c>
      <c r="I393" s="192">
        <f t="shared" si="20"/>
        <v>0.99777572460048591</v>
      </c>
      <c r="J393" s="70"/>
      <c r="K393" s="73"/>
      <c r="L393" s="193"/>
      <c r="M393" s="74"/>
      <c r="N393" s="70"/>
      <c r="O393" s="72"/>
      <c r="P393" s="284"/>
    </row>
    <row r="394" spans="1:16" ht="25.5" x14ac:dyDescent="0.25">
      <c r="A394" s="388" t="s">
        <v>669</v>
      </c>
      <c r="B394" s="390" t="s">
        <v>670</v>
      </c>
      <c r="C394" s="195" t="s">
        <v>43</v>
      </c>
      <c r="D394" s="196">
        <f>SUM(D395:D395)+1891</f>
        <v>1891</v>
      </c>
      <c r="E394" s="196">
        <f>SUM(E395:E395)+1891</f>
        <v>1891</v>
      </c>
      <c r="F394" s="196">
        <f>SUM(F395:F395)+1890.9</f>
        <v>1890.9</v>
      </c>
      <c r="G394" s="196">
        <f>SUM(G395:G395)+0.1</f>
        <v>0.1</v>
      </c>
      <c r="H394" s="196">
        <f>SUM(H395:H395)+0.1</f>
        <v>0.1</v>
      </c>
      <c r="I394" s="197">
        <f t="shared" si="20"/>
        <v>0.99994711792702273</v>
      </c>
      <c r="J394" s="198" t="s">
        <v>671</v>
      </c>
      <c r="K394" s="199" t="s">
        <v>35</v>
      </c>
      <c r="L394" s="200">
        <v>15770</v>
      </c>
      <c r="M394" s="201">
        <v>15902</v>
      </c>
      <c r="N394" s="198" t="s">
        <v>1801</v>
      </c>
      <c r="O394" s="202"/>
    </row>
    <row r="395" spans="1:16" ht="15.75" thickBot="1" x14ac:dyDescent="0.3">
      <c r="A395" s="389"/>
      <c r="B395" s="391"/>
      <c r="C395" s="58"/>
      <c r="D395" s="59"/>
      <c r="E395" s="59"/>
      <c r="F395" s="59"/>
      <c r="G395" s="59"/>
      <c r="H395" s="59"/>
      <c r="I395" s="80"/>
      <c r="J395" s="60" t="s">
        <v>672</v>
      </c>
      <c r="K395" s="61" t="s">
        <v>35</v>
      </c>
      <c r="L395" s="62">
        <v>50</v>
      </c>
      <c r="M395" s="207">
        <v>49</v>
      </c>
      <c r="N395" s="203"/>
      <c r="O395" s="204" t="s">
        <v>1802</v>
      </c>
    </row>
    <row r="396" spans="1:16" ht="26.25" thickBot="1" x14ac:dyDescent="0.3">
      <c r="A396" s="96" t="s">
        <v>673</v>
      </c>
      <c r="B396" s="97" t="s">
        <v>674</v>
      </c>
      <c r="C396" s="98" t="s">
        <v>43</v>
      </c>
      <c r="D396" s="194">
        <v>538.6</v>
      </c>
      <c r="E396" s="194">
        <v>538.6</v>
      </c>
      <c r="F396" s="194">
        <v>538.6</v>
      </c>
      <c r="G396" s="194"/>
      <c r="H396" s="194"/>
      <c r="I396" s="156">
        <f t="shared" si="20"/>
        <v>1</v>
      </c>
      <c r="J396" s="84" t="s">
        <v>675</v>
      </c>
      <c r="K396" s="100" t="s">
        <v>676</v>
      </c>
      <c r="L396" s="122">
        <v>2500000</v>
      </c>
      <c r="M396" s="205">
        <v>2773000</v>
      </c>
      <c r="N396" s="84" t="s">
        <v>1803</v>
      </c>
      <c r="O396" s="85"/>
    </row>
    <row r="397" spans="1:16" ht="38.25" customHeight="1" x14ac:dyDescent="0.25">
      <c r="A397" s="385" t="s">
        <v>677</v>
      </c>
      <c r="B397" s="336" t="s">
        <v>678</v>
      </c>
      <c r="C397" s="14"/>
      <c r="D397" s="15">
        <f>SUM(D398:D401)</f>
        <v>125.5</v>
      </c>
      <c r="E397" s="15">
        <f>SUM(E398:E401)</f>
        <v>125.5</v>
      </c>
      <c r="F397" s="15">
        <f>SUM(F398:F401)</f>
        <v>119.9</v>
      </c>
      <c r="G397" s="15">
        <f>SUM(G398:G401)</f>
        <v>5.6</v>
      </c>
      <c r="H397" s="15">
        <f>SUM(H398:H401)</f>
        <v>5.6</v>
      </c>
      <c r="I397" s="79">
        <f t="shared" si="20"/>
        <v>0.95537848605577691</v>
      </c>
      <c r="J397" s="41" t="s">
        <v>679</v>
      </c>
      <c r="K397" s="16" t="s">
        <v>35</v>
      </c>
      <c r="L397" s="17">
        <v>12</v>
      </c>
      <c r="M397" s="176">
        <v>29</v>
      </c>
      <c r="N397" s="41" t="s">
        <v>1804</v>
      </c>
      <c r="O397" s="42"/>
    </row>
    <row r="398" spans="1:16" ht="38.25" x14ac:dyDescent="0.25">
      <c r="A398" s="386"/>
      <c r="B398" s="337"/>
      <c r="C398" s="20" t="s">
        <v>612</v>
      </c>
      <c r="D398" s="21">
        <v>25.5</v>
      </c>
      <c r="E398" s="21">
        <v>25.5</v>
      </c>
      <c r="F398" s="21">
        <v>25.5</v>
      </c>
      <c r="G398" s="21"/>
      <c r="H398" s="21"/>
      <c r="I398" s="79">
        <f t="shared" si="20"/>
        <v>1</v>
      </c>
      <c r="J398" s="43" t="s">
        <v>680</v>
      </c>
      <c r="K398" s="22" t="s">
        <v>35</v>
      </c>
      <c r="L398" s="54">
        <v>1000</v>
      </c>
      <c r="M398" s="206">
        <v>805</v>
      </c>
      <c r="N398" s="43" t="s">
        <v>1805</v>
      </c>
      <c r="O398" s="44" t="s">
        <v>1806</v>
      </c>
    </row>
    <row r="399" spans="1:16" ht="38.25" x14ac:dyDescent="0.25">
      <c r="A399" s="386"/>
      <c r="B399" s="337"/>
      <c r="C399" s="20" t="s">
        <v>43</v>
      </c>
      <c r="D399" s="21">
        <v>100</v>
      </c>
      <c r="E399" s="21">
        <v>100</v>
      </c>
      <c r="F399" s="21">
        <v>94.4</v>
      </c>
      <c r="G399" s="21">
        <v>5.6</v>
      </c>
      <c r="H399" s="21">
        <v>5.6</v>
      </c>
      <c r="I399" s="79">
        <f t="shared" si="20"/>
        <v>0.94400000000000006</v>
      </c>
      <c r="J399" s="43" t="s">
        <v>681</v>
      </c>
      <c r="K399" s="22" t="s">
        <v>35</v>
      </c>
      <c r="L399" s="54">
        <v>7</v>
      </c>
      <c r="M399" s="188">
        <v>19</v>
      </c>
      <c r="N399" s="43" t="s">
        <v>1807</v>
      </c>
      <c r="O399" s="44"/>
    </row>
    <row r="400" spans="1:16" ht="38.25" x14ac:dyDescent="0.25">
      <c r="A400" s="386"/>
      <c r="B400" s="337"/>
      <c r="C400" s="20"/>
      <c r="D400" s="21"/>
      <c r="E400" s="21"/>
      <c r="F400" s="21"/>
      <c r="G400" s="21"/>
      <c r="H400" s="21"/>
      <c r="I400" s="79"/>
      <c r="J400" s="43" t="s">
        <v>682</v>
      </c>
      <c r="K400" s="22" t="s">
        <v>35</v>
      </c>
      <c r="L400" s="54">
        <v>2</v>
      </c>
      <c r="M400" s="188">
        <v>8</v>
      </c>
      <c r="N400" s="43" t="s">
        <v>1808</v>
      </c>
      <c r="O400" s="44"/>
    </row>
    <row r="401" spans="1:16" ht="15.75" thickBot="1" x14ac:dyDescent="0.3">
      <c r="A401" s="387"/>
      <c r="B401" s="338"/>
      <c r="C401" s="20"/>
      <c r="D401" s="21"/>
      <c r="E401" s="21"/>
      <c r="F401" s="21"/>
      <c r="G401" s="21"/>
      <c r="H401" s="21"/>
      <c r="I401" s="80"/>
      <c r="J401" s="43" t="s">
        <v>683</v>
      </c>
      <c r="K401" s="22" t="s">
        <v>35</v>
      </c>
      <c r="L401" s="54">
        <v>12350</v>
      </c>
      <c r="M401" s="188">
        <v>12709</v>
      </c>
      <c r="N401" s="43" t="s">
        <v>1809</v>
      </c>
      <c r="O401" s="44"/>
    </row>
    <row r="402" spans="1:16" ht="27.75" customHeight="1" x14ac:dyDescent="0.25">
      <c r="A402" s="385" t="s">
        <v>684</v>
      </c>
      <c r="B402" s="336" t="s">
        <v>685</v>
      </c>
      <c r="C402" s="14"/>
      <c r="D402" s="15">
        <f>SUM(D403:D403)</f>
        <v>50.9</v>
      </c>
      <c r="E402" s="15">
        <f>SUM(E403:E403)</f>
        <v>50.9</v>
      </c>
      <c r="F402" s="15">
        <f>SUM(F403:F403)</f>
        <v>50.8</v>
      </c>
      <c r="G402" s="15">
        <f>SUM(G403:G403)</f>
        <v>0.1</v>
      </c>
      <c r="H402" s="15">
        <f>SUM(H403:H403)</f>
        <v>0.1</v>
      </c>
      <c r="I402" s="79">
        <f t="shared" ref="I402:I406" si="21">SUM(F402/E402)</f>
        <v>0.99803536345776034</v>
      </c>
      <c r="J402" s="336" t="s">
        <v>686</v>
      </c>
      <c r="K402" s="339" t="s">
        <v>35</v>
      </c>
      <c r="L402" s="342">
        <v>24</v>
      </c>
      <c r="M402" s="348">
        <v>58</v>
      </c>
      <c r="N402" s="336" t="s">
        <v>1810</v>
      </c>
      <c r="O402" s="333"/>
    </row>
    <row r="403" spans="1:16" ht="15.75" thickBot="1" x14ac:dyDescent="0.3">
      <c r="A403" s="387"/>
      <c r="B403" s="338"/>
      <c r="C403" s="20" t="s">
        <v>43</v>
      </c>
      <c r="D403" s="21">
        <v>50.9</v>
      </c>
      <c r="E403" s="21">
        <v>50.9</v>
      </c>
      <c r="F403" s="21">
        <v>50.8</v>
      </c>
      <c r="G403" s="21">
        <v>0.1</v>
      </c>
      <c r="H403" s="21">
        <v>0.1</v>
      </c>
      <c r="I403" s="80">
        <f t="shared" si="21"/>
        <v>0.99803536345776034</v>
      </c>
      <c r="J403" s="338"/>
      <c r="K403" s="341"/>
      <c r="L403" s="344"/>
      <c r="M403" s="350"/>
      <c r="N403" s="338"/>
      <c r="O403" s="335"/>
    </row>
    <row r="404" spans="1:16" ht="25.5" x14ac:dyDescent="0.25">
      <c r="A404" s="385" t="s">
        <v>687</v>
      </c>
      <c r="B404" s="336" t="s">
        <v>688</v>
      </c>
      <c r="C404" s="14"/>
      <c r="D404" s="15">
        <f>SUM(D405:D406)</f>
        <v>316.3</v>
      </c>
      <c r="E404" s="15">
        <f>SUM(E405:E406)</f>
        <v>316.3</v>
      </c>
      <c r="F404" s="15">
        <f>SUM(F405:F406)</f>
        <v>315.60000000000002</v>
      </c>
      <c r="G404" s="15">
        <f>SUM(G405:G406)</f>
        <v>0.7</v>
      </c>
      <c r="H404" s="15">
        <f>SUM(H405:H406)</f>
        <v>0.7</v>
      </c>
      <c r="I404" s="79">
        <f t="shared" si="21"/>
        <v>0.99778691116029095</v>
      </c>
      <c r="J404" s="41" t="s">
        <v>689</v>
      </c>
      <c r="K404" s="16" t="s">
        <v>35</v>
      </c>
      <c r="L404" s="17">
        <v>121</v>
      </c>
      <c r="M404" s="176">
        <v>122</v>
      </c>
      <c r="N404" s="330"/>
      <c r="O404" s="333"/>
    </row>
    <row r="405" spans="1:16" ht="39" customHeight="1" x14ac:dyDescent="0.25">
      <c r="A405" s="386"/>
      <c r="B405" s="337"/>
      <c r="C405" s="20" t="s">
        <v>24</v>
      </c>
      <c r="D405" s="21">
        <v>16.3</v>
      </c>
      <c r="E405" s="21">
        <v>16.3</v>
      </c>
      <c r="F405" s="21">
        <v>16.3</v>
      </c>
      <c r="G405" s="21"/>
      <c r="H405" s="21"/>
      <c r="I405" s="79">
        <f t="shared" si="21"/>
        <v>1</v>
      </c>
      <c r="J405" s="365" t="s">
        <v>690</v>
      </c>
      <c r="K405" s="362" t="s">
        <v>35</v>
      </c>
      <c r="L405" s="363">
        <v>11</v>
      </c>
      <c r="M405" s="418">
        <v>11</v>
      </c>
      <c r="N405" s="331"/>
      <c r="O405" s="334"/>
    </row>
    <row r="406" spans="1:16" ht="15.75" thickBot="1" x14ac:dyDescent="0.3">
      <c r="A406" s="387"/>
      <c r="B406" s="338"/>
      <c r="C406" s="20" t="s">
        <v>43</v>
      </c>
      <c r="D406" s="21">
        <v>300</v>
      </c>
      <c r="E406" s="21">
        <v>300</v>
      </c>
      <c r="F406" s="21">
        <v>299.3</v>
      </c>
      <c r="G406" s="21">
        <v>0.7</v>
      </c>
      <c r="H406" s="21">
        <v>0.7</v>
      </c>
      <c r="I406" s="79">
        <f t="shared" si="21"/>
        <v>0.9976666666666667</v>
      </c>
      <c r="J406" s="338"/>
      <c r="K406" s="341"/>
      <c r="L406" s="344"/>
      <c r="M406" s="347"/>
      <c r="N406" s="332"/>
      <c r="O406" s="335"/>
    </row>
    <row r="407" spans="1:16" ht="27.75" customHeight="1" thickBot="1" x14ac:dyDescent="0.3">
      <c r="A407" s="93" t="s">
        <v>691</v>
      </c>
      <c r="B407" s="88" t="s">
        <v>692</v>
      </c>
      <c r="C407" s="94"/>
      <c r="D407" s="95"/>
      <c r="E407" s="95"/>
      <c r="F407" s="95"/>
      <c r="G407" s="95"/>
      <c r="H407" s="95"/>
      <c r="I407" s="165"/>
      <c r="J407" s="70" t="s">
        <v>693</v>
      </c>
      <c r="K407" s="73" t="s">
        <v>35</v>
      </c>
      <c r="L407" s="74">
        <v>11</v>
      </c>
      <c r="M407" s="182">
        <v>11</v>
      </c>
      <c r="N407" s="70"/>
      <c r="O407" s="72"/>
      <c r="P407" s="181"/>
    </row>
    <row r="408" spans="1:16" ht="25.5" x14ac:dyDescent="0.25">
      <c r="A408" s="431" t="s">
        <v>694</v>
      </c>
      <c r="B408" s="433" t="s">
        <v>695</v>
      </c>
      <c r="C408" s="435"/>
      <c r="D408" s="426">
        <f>D409+D410+D438+D442+D443+D446+D447+D448+D449+D453+D457+D460</f>
        <v>13527.899999999998</v>
      </c>
      <c r="E408" s="426">
        <f>E409+E410+E438+E442+E443+E446+E447+E448+E449+E453+E457+E460</f>
        <v>13527.899999999998</v>
      </c>
      <c r="F408" s="426">
        <f>F409+F410+F438+F442+F443+F446+F447+F448+F449+F453+F457+F460</f>
        <v>10244.200000000001</v>
      </c>
      <c r="G408" s="426">
        <f>G409+G410+G438+G442+G443+G446+G447+G448+G449+G453+G457+G460</f>
        <v>3283.7</v>
      </c>
      <c r="H408" s="426">
        <f>H409+H410+H438+H442+H443+H446+H447+H448+H449+H453+H457+H460</f>
        <v>3283.7</v>
      </c>
      <c r="I408" s="437">
        <f>SUM(F408/E408)</f>
        <v>0.75726461608971107</v>
      </c>
      <c r="J408" s="102" t="s">
        <v>696</v>
      </c>
      <c r="K408" s="103" t="s">
        <v>23</v>
      </c>
      <c r="L408" s="104">
        <v>7</v>
      </c>
      <c r="M408" s="105">
        <v>7</v>
      </c>
      <c r="N408" s="106"/>
      <c r="O408" s="107"/>
    </row>
    <row r="409" spans="1:16" ht="28.5" customHeight="1" thickBot="1" x14ac:dyDescent="0.3">
      <c r="A409" s="432"/>
      <c r="B409" s="434"/>
      <c r="C409" s="436"/>
      <c r="D409" s="427"/>
      <c r="E409" s="427"/>
      <c r="F409" s="427"/>
      <c r="G409" s="427"/>
      <c r="H409" s="427"/>
      <c r="I409" s="438"/>
      <c r="J409" s="108" t="s">
        <v>697</v>
      </c>
      <c r="K409" s="109" t="s">
        <v>442</v>
      </c>
      <c r="L409" s="110">
        <v>1.3</v>
      </c>
      <c r="M409" s="111">
        <v>1.3</v>
      </c>
      <c r="N409" s="87"/>
      <c r="O409" s="112"/>
    </row>
    <row r="410" spans="1:16" ht="64.5" thickBot="1" x14ac:dyDescent="0.3">
      <c r="A410" s="96" t="s">
        <v>698</v>
      </c>
      <c r="B410" s="97" t="s">
        <v>699</v>
      </c>
      <c r="C410" s="98"/>
      <c r="D410" s="99">
        <f>D411+D412+D413+D416+D418+D421+D424+D428+D429+D430+D432+D435</f>
        <v>3687</v>
      </c>
      <c r="E410" s="99">
        <f>E411+E412+E413+E416+E418+E421+E424+E428+E429+E430+E432+E435</f>
        <v>3687</v>
      </c>
      <c r="F410" s="99">
        <f>F411+F412+F413+F416+F418+F421+F424+F428+F429+F430+F432+F435+0.1</f>
        <v>3361.7000000000003</v>
      </c>
      <c r="G410" s="99">
        <f>G411+G412+G413+G416+G418+G421+G424+G428+G429+G430+G432+G435-0.1</f>
        <v>325.29999999999995</v>
      </c>
      <c r="H410" s="99">
        <f>H411+H412+H413+H416+H418+H421+H424+H428+H429+H430+H432+H435-0.1</f>
        <v>325.29999999999995</v>
      </c>
      <c r="I410" s="79">
        <f>SUM(F410/E410)</f>
        <v>0.91177108760509906</v>
      </c>
      <c r="J410" s="84" t="s">
        <v>700</v>
      </c>
      <c r="K410" s="100" t="s">
        <v>23</v>
      </c>
      <c r="L410" s="101">
        <v>100</v>
      </c>
      <c r="M410" s="213">
        <v>100</v>
      </c>
      <c r="N410" s="84"/>
      <c r="O410" s="85"/>
      <c r="P410" s="284"/>
    </row>
    <row r="411" spans="1:16" ht="39" thickBot="1" x14ac:dyDescent="0.3">
      <c r="A411" s="13" t="s">
        <v>701</v>
      </c>
      <c r="B411" s="37" t="s">
        <v>702</v>
      </c>
      <c r="C411" s="14" t="s">
        <v>43</v>
      </c>
      <c r="D411" s="24">
        <v>16</v>
      </c>
      <c r="E411" s="24">
        <v>16</v>
      </c>
      <c r="F411" s="24">
        <v>14.3</v>
      </c>
      <c r="G411" s="24">
        <v>1.7</v>
      </c>
      <c r="H411" s="24">
        <v>1.7</v>
      </c>
      <c r="I411" s="154">
        <f>SUM(F411/E411)</f>
        <v>0.89375000000000004</v>
      </c>
      <c r="J411" s="41" t="s">
        <v>703</v>
      </c>
      <c r="K411" s="16" t="s">
        <v>23</v>
      </c>
      <c r="L411" s="17">
        <v>100</v>
      </c>
      <c r="M411" s="136">
        <v>100</v>
      </c>
      <c r="N411" s="41"/>
      <c r="O411" s="42"/>
    </row>
    <row r="412" spans="1:16" ht="39" thickBot="1" x14ac:dyDescent="0.3">
      <c r="A412" s="93" t="s">
        <v>704</v>
      </c>
      <c r="B412" s="88" t="s">
        <v>705</v>
      </c>
      <c r="C412" s="94" t="s">
        <v>43</v>
      </c>
      <c r="D412" s="95">
        <v>19.600000000000001</v>
      </c>
      <c r="E412" s="95">
        <v>19.600000000000001</v>
      </c>
      <c r="F412" s="95">
        <v>19.100000000000001</v>
      </c>
      <c r="G412" s="95">
        <v>0.5</v>
      </c>
      <c r="H412" s="95">
        <v>0.5</v>
      </c>
      <c r="I412" s="148">
        <f t="shared" ref="I412:I452" si="22">SUM(F412/E412)</f>
        <v>0.97448979591836737</v>
      </c>
      <c r="J412" s="70" t="s">
        <v>703</v>
      </c>
      <c r="K412" s="73" t="s">
        <v>23</v>
      </c>
      <c r="L412" s="74">
        <v>100</v>
      </c>
      <c r="M412" s="182">
        <v>100</v>
      </c>
      <c r="N412" s="70"/>
      <c r="O412" s="72"/>
    </row>
    <row r="413" spans="1:16" x14ac:dyDescent="0.25">
      <c r="A413" s="388" t="s">
        <v>706</v>
      </c>
      <c r="B413" s="390" t="s">
        <v>707</v>
      </c>
      <c r="C413" s="195"/>
      <c r="D413" s="196">
        <f>SUM(D414:D415)</f>
        <v>750</v>
      </c>
      <c r="E413" s="196">
        <f>SUM(E414:E415)</f>
        <v>750</v>
      </c>
      <c r="F413" s="196">
        <f>SUM(F414:F415)</f>
        <v>737</v>
      </c>
      <c r="G413" s="196">
        <f>SUM(G414:G415)</f>
        <v>13</v>
      </c>
      <c r="H413" s="196">
        <f>SUM(H414:H415)</f>
        <v>13</v>
      </c>
      <c r="I413" s="159">
        <f t="shared" si="22"/>
        <v>0.98266666666666669</v>
      </c>
      <c r="J413" s="198" t="s">
        <v>708</v>
      </c>
      <c r="K413" s="199" t="s">
        <v>442</v>
      </c>
      <c r="L413" s="200">
        <v>1995500</v>
      </c>
      <c r="M413" s="201">
        <v>2043117</v>
      </c>
      <c r="N413" s="297"/>
      <c r="O413" s="298"/>
    </row>
    <row r="414" spans="1:16" ht="17.25" customHeight="1" x14ac:dyDescent="0.25">
      <c r="A414" s="439"/>
      <c r="B414" s="337"/>
      <c r="C414" s="20" t="s">
        <v>43</v>
      </c>
      <c r="D414" s="21">
        <v>550</v>
      </c>
      <c r="E414" s="21">
        <v>550</v>
      </c>
      <c r="F414" s="21">
        <v>537</v>
      </c>
      <c r="G414" s="21">
        <v>13</v>
      </c>
      <c r="H414" s="67">
        <v>13</v>
      </c>
      <c r="I414" s="149">
        <f t="shared" si="22"/>
        <v>0.97636363636363632</v>
      </c>
      <c r="J414" s="360" t="s">
        <v>709</v>
      </c>
      <c r="K414" s="362" t="s">
        <v>438</v>
      </c>
      <c r="L414" s="505">
        <v>293000</v>
      </c>
      <c r="M414" s="507">
        <v>241510</v>
      </c>
      <c r="N414" s="354"/>
      <c r="O414" s="510" t="s">
        <v>1838</v>
      </c>
    </row>
    <row r="415" spans="1:16" ht="15.75" thickBot="1" x14ac:dyDescent="0.3">
      <c r="A415" s="389"/>
      <c r="B415" s="391"/>
      <c r="C415" s="58" t="s">
        <v>24</v>
      </c>
      <c r="D415" s="59">
        <v>200</v>
      </c>
      <c r="E415" s="59">
        <v>200</v>
      </c>
      <c r="F415" s="59">
        <v>200</v>
      </c>
      <c r="G415" s="59"/>
      <c r="H415" s="59"/>
      <c r="I415" s="156">
        <f t="shared" si="22"/>
        <v>1</v>
      </c>
      <c r="J415" s="484"/>
      <c r="K415" s="485"/>
      <c r="L415" s="506"/>
      <c r="M415" s="508"/>
      <c r="N415" s="509"/>
      <c r="O415" s="511"/>
    </row>
    <row r="416" spans="1:16" ht="25.5" x14ac:dyDescent="0.25">
      <c r="A416" s="386" t="s">
        <v>710</v>
      </c>
      <c r="B416" s="337" t="s">
        <v>711</v>
      </c>
      <c r="C416" s="98"/>
      <c r="D416" s="99">
        <f>SUM(D417:D417)</f>
        <v>850</v>
      </c>
      <c r="E416" s="99">
        <f>SUM(E417:E417)</f>
        <v>850</v>
      </c>
      <c r="F416" s="99">
        <f>SUM(F417:F417)</f>
        <v>816.6</v>
      </c>
      <c r="G416" s="99">
        <f>SUM(G417:G417)</f>
        <v>33.4</v>
      </c>
      <c r="H416" s="99">
        <f>SUM(H417:H417)</f>
        <v>33.4</v>
      </c>
      <c r="I416" s="162">
        <f t="shared" si="22"/>
        <v>0.96070588235294119</v>
      </c>
      <c r="J416" s="84" t="s">
        <v>712</v>
      </c>
      <c r="K416" s="100" t="s">
        <v>442</v>
      </c>
      <c r="L416" s="122">
        <v>760000</v>
      </c>
      <c r="M416" s="205">
        <v>803882</v>
      </c>
      <c r="N416" s="84"/>
      <c r="O416" s="85"/>
    </row>
    <row r="417" spans="1:15" ht="15.75" thickBot="1" x14ac:dyDescent="0.3">
      <c r="A417" s="387"/>
      <c r="B417" s="338"/>
      <c r="C417" s="20" t="s">
        <v>43</v>
      </c>
      <c r="D417" s="21">
        <v>850</v>
      </c>
      <c r="E417" s="21">
        <v>850</v>
      </c>
      <c r="F417" s="21">
        <v>816.6</v>
      </c>
      <c r="G417" s="21">
        <v>33.4</v>
      </c>
      <c r="H417" s="21">
        <v>33.4</v>
      </c>
      <c r="I417" s="79">
        <f t="shared" si="22"/>
        <v>0.96070588235294119</v>
      </c>
      <c r="J417" s="43" t="s">
        <v>713</v>
      </c>
      <c r="K417" s="22" t="s">
        <v>35</v>
      </c>
      <c r="L417" s="54">
        <v>974</v>
      </c>
      <c r="M417" s="188">
        <v>1001</v>
      </c>
      <c r="N417" s="43"/>
      <c r="O417" s="44"/>
    </row>
    <row r="418" spans="1:15" x14ac:dyDescent="0.25">
      <c r="A418" s="385" t="s">
        <v>714</v>
      </c>
      <c r="B418" s="336" t="s">
        <v>715</v>
      </c>
      <c r="C418" s="14"/>
      <c r="D418" s="15">
        <f>SUM(D419:D420)</f>
        <v>450</v>
      </c>
      <c r="E418" s="15">
        <f>SUM(E419:E420)</f>
        <v>450</v>
      </c>
      <c r="F418" s="15">
        <f>SUM(F419:F420)</f>
        <v>409.9</v>
      </c>
      <c r="G418" s="15">
        <f>SUM(G419:G420)</f>
        <v>40.1</v>
      </c>
      <c r="H418" s="15">
        <f>SUM(H419:H420)</f>
        <v>40.1</v>
      </c>
      <c r="I418" s="148">
        <f t="shared" si="22"/>
        <v>0.91088888888888886</v>
      </c>
      <c r="J418" s="371" t="s">
        <v>716</v>
      </c>
      <c r="K418" s="339" t="s">
        <v>442</v>
      </c>
      <c r="L418" s="410">
        <v>2818000</v>
      </c>
      <c r="M418" s="492">
        <v>2923370</v>
      </c>
      <c r="N418" s="330"/>
      <c r="O418" s="333"/>
    </row>
    <row r="419" spans="1:15" x14ac:dyDescent="0.25">
      <c r="A419" s="386"/>
      <c r="B419" s="337"/>
      <c r="C419" s="20" t="s">
        <v>43</v>
      </c>
      <c r="D419" s="21">
        <v>290</v>
      </c>
      <c r="E419" s="21">
        <v>290</v>
      </c>
      <c r="F419" s="21">
        <v>249.9</v>
      </c>
      <c r="G419" s="21">
        <v>40.1</v>
      </c>
      <c r="H419" s="67">
        <v>40.1</v>
      </c>
      <c r="I419" s="149">
        <f t="shared" si="22"/>
        <v>0.86172413793103453</v>
      </c>
      <c r="J419" s="372"/>
      <c r="K419" s="340"/>
      <c r="L419" s="411"/>
      <c r="M419" s="493"/>
      <c r="N419" s="331"/>
      <c r="O419" s="334"/>
    </row>
    <row r="420" spans="1:15" ht="15.75" thickBot="1" x14ac:dyDescent="0.3">
      <c r="A420" s="387"/>
      <c r="B420" s="338"/>
      <c r="C420" s="20" t="s">
        <v>24</v>
      </c>
      <c r="D420" s="21">
        <v>160</v>
      </c>
      <c r="E420" s="21">
        <v>160</v>
      </c>
      <c r="F420" s="21">
        <v>160</v>
      </c>
      <c r="G420" s="21"/>
      <c r="H420" s="21"/>
      <c r="I420" s="79">
        <f t="shared" si="22"/>
        <v>1</v>
      </c>
      <c r="J420" s="361"/>
      <c r="K420" s="341"/>
      <c r="L420" s="412"/>
      <c r="M420" s="494"/>
      <c r="N420" s="332"/>
      <c r="O420" s="335"/>
    </row>
    <row r="421" spans="1:15" x14ac:dyDescent="0.25">
      <c r="A421" s="385" t="s">
        <v>717</v>
      </c>
      <c r="B421" s="336" t="s">
        <v>718</v>
      </c>
      <c r="C421" s="14"/>
      <c r="D421" s="15">
        <f>SUM(D422:D423)</f>
        <v>300</v>
      </c>
      <c r="E421" s="15">
        <f>SUM(E422:E423)</f>
        <v>300</v>
      </c>
      <c r="F421" s="15">
        <f>SUM(F422:F423)</f>
        <v>295.89999999999998</v>
      </c>
      <c r="G421" s="15">
        <f>SUM(G422:G423)</f>
        <v>4.0999999999999996</v>
      </c>
      <c r="H421" s="15">
        <f>SUM(H422:H423)</f>
        <v>4.0999999999999996</v>
      </c>
      <c r="I421" s="148">
        <f t="shared" si="22"/>
        <v>0.98633333333333328</v>
      </c>
      <c r="J421" s="41" t="s">
        <v>719</v>
      </c>
      <c r="K421" s="16" t="s">
        <v>442</v>
      </c>
      <c r="L421" s="53">
        <v>14300</v>
      </c>
      <c r="M421" s="183">
        <v>14328.2</v>
      </c>
      <c r="N421" s="41"/>
      <c r="O421" s="42"/>
    </row>
    <row r="422" spans="1:15" x14ac:dyDescent="0.25">
      <c r="A422" s="386"/>
      <c r="B422" s="337"/>
      <c r="C422" s="20" t="s">
        <v>24</v>
      </c>
      <c r="D422" s="21">
        <v>80</v>
      </c>
      <c r="E422" s="21">
        <v>80</v>
      </c>
      <c r="F422" s="21">
        <v>75.900000000000006</v>
      </c>
      <c r="G422" s="21">
        <v>4.0999999999999996</v>
      </c>
      <c r="H422" s="67">
        <v>4.0999999999999996</v>
      </c>
      <c r="I422" s="149">
        <f t="shared" si="22"/>
        <v>0.94875000000000009</v>
      </c>
      <c r="J422" s="68" t="s">
        <v>720</v>
      </c>
      <c r="K422" s="22" t="s">
        <v>35</v>
      </c>
      <c r="L422" s="54">
        <v>44000</v>
      </c>
      <c r="M422" s="188">
        <v>128919</v>
      </c>
      <c r="N422" s="43"/>
      <c r="O422" s="44"/>
    </row>
    <row r="423" spans="1:15" ht="39" thickBot="1" x14ac:dyDescent="0.3">
      <c r="A423" s="387"/>
      <c r="B423" s="338"/>
      <c r="C423" s="20" t="s">
        <v>43</v>
      </c>
      <c r="D423" s="21">
        <v>220</v>
      </c>
      <c r="E423" s="21">
        <v>220</v>
      </c>
      <c r="F423" s="21">
        <v>220</v>
      </c>
      <c r="G423" s="21"/>
      <c r="H423" s="21"/>
      <c r="I423" s="152">
        <f t="shared" si="22"/>
        <v>1</v>
      </c>
      <c r="J423" s="43" t="s">
        <v>721</v>
      </c>
      <c r="K423" s="22" t="s">
        <v>442</v>
      </c>
      <c r="L423" s="54">
        <v>1500</v>
      </c>
      <c r="M423" s="188">
        <v>2029</v>
      </c>
      <c r="N423" s="43" t="s">
        <v>1839</v>
      </c>
      <c r="O423" s="44"/>
    </row>
    <row r="424" spans="1:15" ht="25.5" x14ac:dyDescent="0.25">
      <c r="A424" s="385" t="s">
        <v>722</v>
      </c>
      <c r="B424" s="336" t="s">
        <v>723</v>
      </c>
      <c r="C424" s="14"/>
      <c r="D424" s="15">
        <f>SUM(D425:D427)</f>
        <v>501</v>
      </c>
      <c r="E424" s="15">
        <f>SUM(E425:E427)</f>
        <v>501</v>
      </c>
      <c r="F424" s="15">
        <f>SUM(F425:F427)-0.1</f>
        <v>385.9</v>
      </c>
      <c r="G424" s="15">
        <f>SUM(G425:G427)</f>
        <v>115.1</v>
      </c>
      <c r="H424" s="15">
        <f>SUM(H425:H427)</f>
        <v>115.1</v>
      </c>
      <c r="I424" s="148">
        <f t="shared" si="22"/>
        <v>0.77025948103792408</v>
      </c>
      <c r="J424" s="41" t="s">
        <v>724</v>
      </c>
      <c r="K424" s="16" t="s">
        <v>35</v>
      </c>
      <c r="L424" s="17">
        <v>100</v>
      </c>
      <c r="M424" s="210">
        <v>45</v>
      </c>
      <c r="N424" s="41" t="s">
        <v>1840</v>
      </c>
      <c r="O424" s="42" t="s">
        <v>1841</v>
      </c>
    </row>
    <row r="425" spans="1:15" ht="21.75" customHeight="1" x14ac:dyDescent="0.25">
      <c r="A425" s="386"/>
      <c r="B425" s="337"/>
      <c r="C425" s="20" t="s">
        <v>43</v>
      </c>
      <c r="D425" s="21">
        <v>45.4</v>
      </c>
      <c r="E425" s="21">
        <v>45.4</v>
      </c>
      <c r="F425" s="21">
        <v>13.4</v>
      </c>
      <c r="G425" s="21">
        <v>32</v>
      </c>
      <c r="H425" s="67">
        <v>32</v>
      </c>
      <c r="I425" s="149">
        <f t="shared" si="22"/>
        <v>0.29515418502202645</v>
      </c>
      <c r="J425" s="360" t="s">
        <v>725</v>
      </c>
      <c r="K425" s="362" t="s">
        <v>485</v>
      </c>
      <c r="L425" s="363">
        <v>900</v>
      </c>
      <c r="M425" s="501">
        <v>1311.33</v>
      </c>
      <c r="N425" s="365" t="s">
        <v>1842</v>
      </c>
      <c r="O425" s="355"/>
    </row>
    <row r="426" spans="1:15" x14ac:dyDescent="0.25">
      <c r="A426" s="386"/>
      <c r="B426" s="337"/>
      <c r="C426" s="20" t="s">
        <v>457</v>
      </c>
      <c r="D426" s="21">
        <v>366</v>
      </c>
      <c r="E426" s="21">
        <v>366</v>
      </c>
      <c r="F426" s="21">
        <v>361.3</v>
      </c>
      <c r="G426" s="21">
        <v>4.8</v>
      </c>
      <c r="H426" s="67">
        <v>4.8</v>
      </c>
      <c r="I426" s="149">
        <f t="shared" si="22"/>
        <v>0.98715846994535528</v>
      </c>
      <c r="J426" s="372"/>
      <c r="K426" s="340"/>
      <c r="L426" s="343"/>
      <c r="M426" s="417"/>
      <c r="N426" s="337"/>
      <c r="O426" s="334"/>
    </row>
    <row r="427" spans="1:15" ht="15.75" thickBot="1" x14ac:dyDescent="0.3">
      <c r="A427" s="387"/>
      <c r="B427" s="338"/>
      <c r="C427" s="20" t="s">
        <v>24</v>
      </c>
      <c r="D427" s="21">
        <v>89.6</v>
      </c>
      <c r="E427" s="21">
        <v>89.6</v>
      </c>
      <c r="F427" s="21">
        <v>11.3</v>
      </c>
      <c r="G427" s="21">
        <v>78.3</v>
      </c>
      <c r="H427" s="21">
        <v>78.3</v>
      </c>
      <c r="I427" s="152">
        <f t="shared" si="22"/>
        <v>0.12611607142857145</v>
      </c>
      <c r="J427" s="361"/>
      <c r="K427" s="341"/>
      <c r="L427" s="344"/>
      <c r="M427" s="502"/>
      <c r="N427" s="338"/>
      <c r="O427" s="335"/>
    </row>
    <row r="428" spans="1:15" ht="15.75" thickBot="1" x14ac:dyDescent="0.3">
      <c r="A428" s="13" t="s">
        <v>726</v>
      </c>
      <c r="B428" s="37" t="s">
        <v>727</v>
      </c>
      <c r="C428" s="14" t="s">
        <v>43</v>
      </c>
      <c r="D428" s="24">
        <v>71.5</v>
      </c>
      <c r="E428" s="24">
        <v>71.5</v>
      </c>
      <c r="F428" s="24">
        <v>70.8</v>
      </c>
      <c r="G428" s="24">
        <v>0.7</v>
      </c>
      <c r="H428" s="24">
        <v>0.7</v>
      </c>
      <c r="I428" s="148">
        <f t="shared" si="22"/>
        <v>0.99020979020979016</v>
      </c>
      <c r="J428" s="41" t="s">
        <v>728</v>
      </c>
      <c r="K428" s="16" t="s">
        <v>35</v>
      </c>
      <c r="L428" s="17">
        <v>200</v>
      </c>
      <c r="M428" s="143">
        <v>199</v>
      </c>
      <c r="N428" s="41"/>
      <c r="O428" s="42" t="s">
        <v>1843</v>
      </c>
    </row>
    <row r="429" spans="1:15" ht="26.25" thickBot="1" x14ac:dyDescent="0.3">
      <c r="A429" s="13" t="s">
        <v>729</v>
      </c>
      <c r="B429" s="37" t="s">
        <v>730</v>
      </c>
      <c r="C429" s="14" t="s">
        <v>43</v>
      </c>
      <c r="D429" s="24">
        <v>96.8</v>
      </c>
      <c r="E429" s="24">
        <v>96.8</v>
      </c>
      <c r="F429" s="24">
        <v>89.4</v>
      </c>
      <c r="G429" s="24">
        <v>7.4</v>
      </c>
      <c r="H429" s="24">
        <v>7.4</v>
      </c>
      <c r="I429" s="148">
        <f t="shared" si="22"/>
        <v>0.92355371900826455</v>
      </c>
      <c r="J429" s="41" t="s">
        <v>731</v>
      </c>
      <c r="K429" s="16" t="s">
        <v>35</v>
      </c>
      <c r="L429" s="17">
        <v>50</v>
      </c>
      <c r="M429" s="176">
        <v>60</v>
      </c>
      <c r="N429" s="41"/>
      <c r="O429" s="42"/>
    </row>
    <row r="430" spans="1:15" ht="25.5" customHeight="1" x14ac:dyDescent="0.25">
      <c r="A430" s="385" t="s">
        <v>732</v>
      </c>
      <c r="B430" s="336" t="s">
        <v>733</v>
      </c>
      <c r="C430" s="14"/>
      <c r="D430" s="15">
        <f>SUM(D431:D431)</f>
        <v>15</v>
      </c>
      <c r="E430" s="15">
        <f>SUM(E431:E431)</f>
        <v>15</v>
      </c>
      <c r="F430" s="15">
        <f>SUM(F431:F431)</f>
        <v>8.4</v>
      </c>
      <c r="G430" s="15">
        <f>SUM(G431:G431)</f>
        <v>6.6</v>
      </c>
      <c r="H430" s="15">
        <f>SUM(H431:H431)</f>
        <v>6.6</v>
      </c>
      <c r="I430" s="151">
        <f t="shared" si="22"/>
        <v>0.56000000000000005</v>
      </c>
      <c r="J430" s="336" t="s">
        <v>734</v>
      </c>
      <c r="K430" s="339" t="s">
        <v>23</v>
      </c>
      <c r="L430" s="342">
        <v>100</v>
      </c>
      <c r="M430" s="345">
        <v>100</v>
      </c>
      <c r="N430" s="330"/>
      <c r="O430" s="333"/>
    </row>
    <row r="431" spans="1:15" ht="15.75" thickBot="1" x14ac:dyDescent="0.3">
      <c r="A431" s="387"/>
      <c r="B431" s="338"/>
      <c r="C431" s="20" t="s">
        <v>24</v>
      </c>
      <c r="D431" s="21">
        <v>15</v>
      </c>
      <c r="E431" s="21">
        <v>15</v>
      </c>
      <c r="F431" s="21">
        <v>8.4</v>
      </c>
      <c r="G431" s="21">
        <v>6.6</v>
      </c>
      <c r="H431" s="21">
        <v>6.6</v>
      </c>
      <c r="I431" s="152">
        <f t="shared" si="22"/>
        <v>0.56000000000000005</v>
      </c>
      <c r="J431" s="338"/>
      <c r="K431" s="341"/>
      <c r="L431" s="344"/>
      <c r="M431" s="347"/>
      <c r="N431" s="332"/>
      <c r="O431" s="335"/>
    </row>
    <row r="432" spans="1:15" ht="25.5" x14ac:dyDescent="0.25">
      <c r="A432" s="385" t="s">
        <v>735</v>
      </c>
      <c r="B432" s="336" t="s">
        <v>736</v>
      </c>
      <c r="C432" s="14"/>
      <c r="D432" s="15">
        <f>SUM(D433:D434)</f>
        <v>170</v>
      </c>
      <c r="E432" s="15">
        <f>SUM(E433:E434)</f>
        <v>170</v>
      </c>
      <c r="F432" s="15">
        <f>SUM(F433:F434)</f>
        <v>149.19999999999999</v>
      </c>
      <c r="G432" s="15">
        <f>SUM(G433:G434)</f>
        <v>20.8</v>
      </c>
      <c r="H432" s="15">
        <f>SUM(H433:H434)</f>
        <v>20.8</v>
      </c>
      <c r="I432" s="148">
        <f t="shared" si="22"/>
        <v>0.87764705882352934</v>
      </c>
      <c r="J432" s="41" t="s">
        <v>737</v>
      </c>
      <c r="K432" s="16" t="s">
        <v>35</v>
      </c>
      <c r="L432" s="17">
        <v>46</v>
      </c>
      <c r="M432" s="176">
        <v>51</v>
      </c>
      <c r="N432" s="41"/>
      <c r="O432" s="42"/>
    </row>
    <row r="433" spans="1:16" ht="18.75" customHeight="1" x14ac:dyDescent="0.25">
      <c r="A433" s="386"/>
      <c r="B433" s="337"/>
      <c r="C433" s="20" t="s">
        <v>43</v>
      </c>
      <c r="D433" s="21">
        <v>95</v>
      </c>
      <c r="E433" s="21">
        <v>95</v>
      </c>
      <c r="F433" s="21">
        <v>76.8</v>
      </c>
      <c r="G433" s="21">
        <v>18.2</v>
      </c>
      <c r="H433" s="67">
        <v>18.2</v>
      </c>
      <c r="I433" s="149">
        <f t="shared" si="22"/>
        <v>0.80842105263157893</v>
      </c>
      <c r="J433" s="360" t="s">
        <v>738</v>
      </c>
      <c r="K433" s="362" t="s">
        <v>35</v>
      </c>
      <c r="L433" s="363">
        <v>2</v>
      </c>
      <c r="M433" s="364">
        <v>3</v>
      </c>
      <c r="N433" s="365" t="s">
        <v>1844</v>
      </c>
      <c r="O433" s="355"/>
    </row>
    <row r="434" spans="1:16" ht="15.75" thickBot="1" x14ac:dyDescent="0.3">
      <c r="A434" s="387"/>
      <c r="B434" s="338"/>
      <c r="C434" s="20" t="s">
        <v>24</v>
      </c>
      <c r="D434" s="21">
        <v>75</v>
      </c>
      <c r="E434" s="21">
        <v>75</v>
      </c>
      <c r="F434" s="21">
        <v>72.400000000000006</v>
      </c>
      <c r="G434" s="21">
        <v>2.6</v>
      </c>
      <c r="H434" s="21">
        <v>2.6</v>
      </c>
      <c r="I434" s="152">
        <f t="shared" si="22"/>
        <v>0.96533333333333338</v>
      </c>
      <c r="J434" s="361"/>
      <c r="K434" s="341"/>
      <c r="L434" s="344"/>
      <c r="M434" s="350"/>
      <c r="N434" s="338"/>
      <c r="O434" s="335"/>
    </row>
    <row r="435" spans="1:16" ht="38.25" customHeight="1" x14ac:dyDescent="0.25">
      <c r="A435" s="385" t="s">
        <v>739</v>
      </c>
      <c r="B435" s="336" t="s">
        <v>740</v>
      </c>
      <c r="C435" s="14"/>
      <c r="D435" s="15">
        <f>SUM(D436:D437)</f>
        <v>447.1</v>
      </c>
      <c r="E435" s="15">
        <f>SUM(E436:E437)</f>
        <v>447.1</v>
      </c>
      <c r="F435" s="15">
        <f>SUM(F436:F437)+0.1</f>
        <v>365.1</v>
      </c>
      <c r="G435" s="15">
        <f>SUM(G436:G437)-0.1</f>
        <v>82</v>
      </c>
      <c r="H435" s="15">
        <f>SUM(H436:H437)-0.1</f>
        <v>82</v>
      </c>
      <c r="I435" s="148">
        <f t="shared" si="22"/>
        <v>0.81659583985685535</v>
      </c>
      <c r="J435" s="371" t="s">
        <v>741</v>
      </c>
      <c r="K435" s="339" t="s">
        <v>23</v>
      </c>
      <c r="L435" s="342">
        <v>100</v>
      </c>
      <c r="M435" s="345">
        <v>100</v>
      </c>
      <c r="N435" s="330"/>
      <c r="O435" s="333"/>
    </row>
    <row r="436" spans="1:16" x14ac:dyDescent="0.25">
      <c r="A436" s="386"/>
      <c r="B436" s="337"/>
      <c r="C436" s="20" t="s">
        <v>43</v>
      </c>
      <c r="D436" s="21">
        <v>274.8</v>
      </c>
      <c r="E436" s="21">
        <v>274.8</v>
      </c>
      <c r="F436" s="21">
        <v>237.8</v>
      </c>
      <c r="G436" s="21">
        <v>37</v>
      </c>
      <c r="H436" s="67">
        <v>37</v>
      </c>
      <c r="I436" s="149">
        <f t="shared" si="22"/>
        <v>0.86535662299854443</v>
      </c>
      <c r="J436" s="372"/>
      <c r="K436" s="340"/>
      <c r="L436" s="343"/>
      <c r="M436" s="346"/>
      <c r="N436" s="331"/>
      <c r="O436" s="334"/>
    </row>
    <row r="437" spans="1:16" ht="15.75" thickBot="1" x14ac:dyDescent="0.3">
      <c r="A437" s="387"/>
      <c r="B437" s="338"/>
      <c r="C437" s="20" t="s">
        <v>24</v>
      </c>
      <c r="D437" s="21">
        <v>172.3</v>
      </c>
      <c r="E437" s="21">
        <v>172.3</v>
      </c>
      <c r="F437" s="21">
        <v>127.2</v>
      </c>
      <c r="G437" s="21">
        <v>45.1</v>
      </c>
      <c r="H437" s="21">
        <v>45.1</v>
      </c>
      <c r="I437" s="155">
        <f t="shared" si="22"/>
        <v>0.73824724318049906</v>
      </c>
      <c r="J437" s="361"/>
      <c r="K437" s="341"/>
      <c r="L437" s="344"/>
      <c r="M437" s="347"/>
      <c r="N437" s="332"/>
      <c r="O437" s="335"/>
    </row>
    <row r="438" spans="1:16" ht="38.25" x14ac:dyDescent="0.25">
      <c r="A438" s="385" t="s">
        <v>742</v>
      </c>
      <c r="B438" s="336" t="s">
        <v>743</v>
      </c>
      <c r="C438" s="14" t="s">
        <v>43</v>
      </c>
      <c r="D438" s="15">
        <f>SUM(D439:D441)+837</f>
        <v>837</v>
      </c>
      <c r="E438" s="15">
        <f>SUM(E439:E441)+837</f>
        <v>837</v>
      </c>
      <c r="F438" s="15">
        <f>SUM(F439:F441)+781.9</f>
        <v>781.9</v>
      </c>
      <c r="G438" s="15">
        <f>SUM(G439:G441)+55.1</f>
        <v>55.1</v>
      </c>
      <c r="H438" s="15">
        <f>SUM(H439:H441)+55.1</f>
        <v>55.1</v>
      </c>
      <c r="I438" s="152">
        <f t="shared" si="22"/>
        <v>0.93416965352449222</v>
      </c>
      <c r="J438" s="41" t="s">
        <v>744</v>
      </c>
      <c r="K438" s="16" t="s">
        <v>23</v>
      </c>
      <c r="L438" s="17">
        <v>100</v>
      </c>
      <c r="M438" s="136">
        <v>100</v>
      </c>
      <c r="N438" s="41"/>
      <c r="O438" s="42"/>
      <c r="P438" s="175"/>
    </row>
    <row r="439" spans="1:16" ht="54" customHeight="1" x14ac:dyDescent="0.25">
      <c r="A439" s="386"/>
      <c r="B439" s="337"/>
      <c r="C439" s="20"/>
      <c r="D439" s="21"/>
      <c r="E439" s="21"/>
      <c r="F439" s="21"/>
      <c r="G439" s="21"/>
      <c r="H439" s="67"/>
      <c r="I439" s="149"/>
      <c r="J439" s="68" t="s">
        <v>745</v>
      </c>
      <c r="K439" s="22" t="s">
        <v>438</v>
      </c>
      <c r="L439" s="23">
        <v>307</v>
      </c>
      <c r="M439" s="140">
        <v>299.54000000000002</v>
      </c>
      <c r="N439" s="43"/>
      <c r="O439" s="44" t="s">
        <v>1845</v>
      </c>
    </row>
    <row r="440" spans="1:16" x14ac:dyDescent="0.25">
      <c r="A440" s="386"/>
      <c r="B440" s="337"/>
      <c r="C440" s="20"/>
      <c r="D440" s="21"/>
      <c r="E440" s="21"/>
      <c r="F440" s="21"/>
      <c r="G440" s="21"/>
      <c r="H440" s="67"/>
      <c r="I440" s="166"/>
      <c r="J440" s="68" t="s">
        <v>746</v>
      </c>
      <c r="K440" s="22" t="s">
        <v>118</v>
      </c>
      <c r="L440" s="23">
        <v>15</v>
      </c>
      <c r="M440" s="135">
        <v>15</v>
      </c>
      <c r="N440" s="43"/>
      <c r="O440" s="44"/>
    </row>
    <row r="441" spans="1:16" ht="15.75" thickBot="1" x14ac:dyDescent="0.3">
      <c r="A441" s="387"/>
      <c r="B441" s="338"/>
      <c r="C441" s="20"/>
      <c r="D441" s="21"/>
      <c r="E441" s="21"/>
      <c r="F441" s="21"/>
      <c r="G441" s="21"/>
      <c r="H441" s="21"/>
      <c r="I441" s="155"/>
      <c r="J441" s="43" t="s">
        <v>747</v>
      </c>
      <c r="K441" s="22" t="s">
        <v>35</v>
      </c>
      <c r="L441" s="23">
        <v>220</v>
      </c>
      <c r="M441" s="140">
        <v>168</v>
      </c>
      <c r="N441" s="43"/>
      <c r="O441" s="44"/>
    </row>
    <row r="442" spans="1:16" ht="81.75" customHeight="1" thickBot="1" x14ac:dyDescent="0.3">
      <c r="A442" s="13" t="s">
        <v>748</v>
      </c>
      <c r="B442" s="37" t="s">
        <v>749</v>
      </c>
      <c r="C442" s="14" t="s">
        <v>24</v>
      </c>
      <c r="D442" s="24">
        <v>29.7</v>
      </c>
      <c r="E442" s="24">
        <v>29.7</v>
      </c>
      <c r="F442" s="24">
        <v>11.8</v>
      </c>
      <c r="G442" s="24">
        <v>17.899999999999999</v>
      </c>
      <c r="H442" s="24">
        <v>17.899999999999999</v>
      </c>
      <c r="I442" s="158">
        <f t="shared" si="22"/>
        <v>0.39730639730639733</v>
      </c>
      <c r="J442" s="41" t="s">
        <v>750</v>
      </c>
      <c r="K442" s="16" t="s">
        <v>23</v>
      </c>
      <c r="L442" s="17">
        <v>100</v>
      </c>
      <c r="M442" s="136">
        <v>100</v>
      </c>
      <c r="N442" s="41"/>
      <c r="O442" s="42" t="s">
        <v>1853</v>
      </c>
      <c r="P442" s="181"/>
    </row>
    <row r="443" spans="1:16" ht="25.5" customHeight="1" x14ac:dyDescent="0.25">
      <c r="A443" s="385" t="s">
        <v>751</v>
      </c>
      <c r="B443" s="336" t="s">
        <v>752</v>
      </c>
      <c r="C443" s="14"/>
      <c r="D443" s="15">
        <f>SUM(D444:D445)</f>
        <v>46.2</v>
      </c>
      <c r="E443" s="15">
        <f>SUM(E444:E445)</f>
        <v>46.2</v>
      </c>
      <c r="F443" s="15">
        <f>SUM(F444:F445)</f>
        <v>42.7</v>
      </c>
      <c r="G443" s="15">
        <f>SUM(G444:G445)</f>
        <v>3.5</v>
      </c>
      <c r="H443" s="15">
        <f>SUM(H444:H445)</f>
        <v>3.5</v>
      </c>
      <c r="I443" s="152">
        <f t="shared" si="22"/>
        <v>0.9242424242424242</v>
      </c>
      <c r="J443" s="371" t="s">
        <v>753</v>
      </c>
      <c r="K443" s="339" t="s">
        <v>35</v>
      </c>
      <c r="L443" s="342">
        <v>1</v>
      </c>
      <c r="M443" s="345">
        <v>1</v>
      </c>
      <c r="N443" s="336" t="s">
        <v>1854</v>
      </c>
      <c r="O443" s="333"/>
      <c r="P443" s="181"/>
    </row>
    <row r="444" spans="1:16" x14ac:dyDescent="0.25">
      <c r="A444" s="386"/>
      <c r="B444" s="337"/>
      <c r="C444" s="20" t="s">
        <v>24</v>
      </c>
      <c r="D444" s="21">
        <v>41.2</v>
      </c>
      <c r="E444" s="21">
        <v>41.2</v>
      </c>
      <c r="F444" s="21">
        <v>38.200000000000003</v>
      </c>
      <c r="G444" s="21">
        <v>3</v>
      </c>
      <c r="H444" s="67">
        <v>3</v>
      </c>
      <c r="I444" s="149">
        <f t="shared" si="22"/>
        <v>0.92718446601941751</v>
      </c>
      <c r="J444" s="372"/>
      <c r="K444" s="340"/>
      <c r="L444" s="343"/>
      <c r="M444" s="346"/>
      <c r="N444" s="337"/>
      <c r="O444" s="334"/>
    </row>
    <row r="445" spans="1:16" ht="15.75" thickBot="1" x14ac:dyDescent="0.3">
      <c r="A445" s="387"/>
      <c r="B445" s="338"/>
      <c r="C445" s="20" t="s">
        <v>27</v>
      </c>
      <c r="D445" s="21">
        <v>5</v>
      </c>
      <c r="E445" s="21">
        <v>5</v>
      </c>
      <c r="F445" s="21">
        <v>4.5</v>
      </c>
      <c r="G445" s="21">
        <v>0.5</v>
      </c>
      <c r="H445" s="21">
        <v>0.5</v>
      </c>
      <c r="I445" s="156">
        <f t="shared" si="22"/>
        <v>0.9</v>
      </c>
      <c r="J445" s="361"/>
      <c r="K445" s="341"/>
      <c r="L445" s="344"/>
      <c r="M445" s="347"/>
      <c r="N445" s="338"/>
      <c r="O445" s="335"/>
    </row>
    <row r="446" spans="1:16" ht="39" thickBot="1" x14ac:dyDescent="0.3">
      <c r="A446" s="13" t="s">
        <v>754</v>
      </c>
      <c r="B446" s="37" t="s">
        <v>755</v>
      </c>
      <c r="C446" s="14" t="s">
        <v>24</v>
      </c>
      <c r="D446" s="24">
        <v>692.3</v>
      </c>
      <c r="E446" s="24">
        <v>692.3</v>
      </c>
      <c r="F446" s="24">
        <v>692.3</v>
      </c>
      <c r="G446" s="24"/>
      <c r="H446" s="24"/>
      <c r="I446" s="158">
        <f t="shared" si="22"/>
        <v>1</v>
      </c>
      <c r="J446" s="41" t="s">
        <v>756</v>
      </c>
      <c r="K446" s="16" t="s">
        <v>35</v>
      </c>
      <c r="L446" s="17">
        <v>1</v>
      </c>
      <c r="M446" s="136">
        <v>1</v>
      </c>
      <c r="N446" s="41"/>
      <c r="O446" s="42"/>
      <c r="P446" s="181"/>
    </row>
    <row r="447" spans="1:16" ht="64.5" customHeight="1" thickBot="1" x14ac:dyDescent="0.3">
      <c r="A447" s="13" t="s">
        <v>757</v>
      </c>
      <c r="B447" s="37" t="s">
        <v>758</v>
      </c>
      <c r="C447" s="14" t="s">
        <v>24</v>
      </c>
      <c r="D447" s="24">
        <v>166.4</v>
      </c>
      <c r="E447" s="24">
        <v>166.4</v>
      </c>
      <c r="F447" s="24">
        <v>166.4</v>
      </c>
      <c r="G447" s="24"/>
      <c r="H447" s="24"/>
      <c r="I447" s="158">
        <f t="shared" si="22"/>
        <v>1</v>
      </c>
      <c r="J447" s="41" t="s">
        <v>756</v>
      </c>
      <c r="K447" s="16" t="s">
        <v>35</v>
      </c>
      <c r="L447" s="17">
        <v>1</v>
      </c>
      <c r="M447" s="136">
        <v>1</v>
      </c>
      <c r="N447" s="41"/>
      <c r="O447" s="42"/>
      <c r="P447" s="181"/>
    </row>
    <row r="448" spans="1:16" ht="39" thickBot="1" x14ac:dyDescent="0.3">
      <c r="A448" s="13" t="s">
        <v>759</v>
      </c>
      <c r="B448" s="37" t="s">
        <v>760</v>
      </c>
      <c r="C448" s="14" t="s">
        <v>24</v>
      </c>
      <c r="D448" s="24">
        <v>45.5</v>
      </c>
      <c r="E448" s="24">
        <v>45.5</v>
      </c>
      <c r="F448" s="24">
        <v>45.5</v>
      </c>
      <c r="G448" s="24"/>
      <c r="H448" s="24"/>
      <c r="I448" s="158">
        <f t="shared" si="22"/>
        <v>1</v>
      </c>
      <c r="J448" s="41" t="s">
        <v>756</v>
      </c>
      <c r="K448" s="16" t="s">
        <v>35</v>
      </c>
      <c r="L448" s="17">
        <v>1</v>
      </c>
      <c r="M448" s="136">
        <v>1</v>
      </c>
      <c r="N448" s="41"/>
      <c r="O448" s="42"/>
      <c r="P448" s="181"/>
    </row>
    <row r="449" spans="1:19" ht="72" customHeight="1" x14ac:dyDescent="0.25">
      <c r="A449" s="385" t="s">
        <v>761</v>
      </c>
      <c r="B449" s="336" t="s">
        <v>762</v>
      </c>
      <c r="C449" s="14"/>
      <c r="D449" s="15">
        <f>SUM(D450:D452)</f>
        <v>1020</v>
      </c>
      <c r="E449" s="15">
        <f>SUM(E450:E452)</f>
        <v>1020</v>
      </c>
      <c r="F449" s="15">
        <f>SUM(F450:F452)</f>
        <v>107.6</v>
      </c>
      <c r="G449" s="15">
        <f>SUM(G450:G452)</f>
        <v>912.4</v>
      </c>
      <c r="H449" s="15">
        <f>SUM(H450:H452)</f>
        <v>912.4</v>
      </c>
      <c r="I449" s="152">
        <f t="shared" si="22"/>
        <v>0.10549019607843137</v>
      </c>
      <c r="J449" s="371" t="s">
        <v>763</v>
      </c>
      <c r="K449" s="339" t="s">
        <v>23</v>
      </c>
      <c r="L449" s="342">
        <v>25</v>
      </c>
      <c r="M449" s="369">
        <v>0</v>
      </c>
      <c r="N449" s="336" t="s">
        <v>1856</v>
      </c>
      <c r="O449" s="351" t="s">
        <v>1855</v>
      </c>
      <c r="P449" s="139"/>
    </row>
    <row r="450" spans="1:19" x14ac:dyDescent="0.25">
      <c r="A450" s="386"/>
      <c r="B450" s="337"/>
      <c r="C450" s="20" t="s">
        <v>24</v>
      </c>
      <c r="D450" s="21">
        <v>15</v>
      </c>
      <c r="E450" s="21">
        <v>15</v>
      </c>
      <c r="F450" s="21">
        <v>15</v>
      </c>
      <c r="G450" s="21"/>
      <c r="H450" s="67"/>
      <c r="I450" s="149">
        <f>SUM(F450/E450)</f>
        <v>1</v>
      </c>
      <c r="J450" s="372"/>
      <c r="K450" s="340"/>
      <c r="L450" s="343"/>
      <c r="M450" s="373"/>
      <c r="N450" s="337"/>
      <c r="O450" s="352"/>
    </row>
    <row r="451" spans="1:19" x14ac:dyDescent="0.25">
      <c r="A451" s="386"/>
      <c r="B451" s="337"/>
      <c r="C451" s="20" t="s">
        <v>29</v>
      </c>
      <c r="D451" s="21">
        <v>779.9</v>
      </c>
      <c r="E451" s="21">
        <v>779.9</v>
      </c>
      <c r="F451" s="21">
        <v>0</v>
      </c>
      <c r="G451" s="21">
        <v>779.9</v>
      </c>
      <c r="H451" s="67">
        <v>779.9</v>
      </c>
      <c r="I451" s="149">
        <f t="shared" si="22"/>
        <v>0</v>
      </c>
      <c r="J451" s="372"/>
      <c r="K451" s="340"/>
      <c r="L451" s="343"/>
      <c r="M451" s="373"/>
      <c r="N451" s="337"/>
      <c r="O451" s="352"/>
    </row>
    <row r="452" spans="1:19" ht="15.75" thickBot="1" x14ac:dyDescent="0.3">
      <c r="A452" s="387"/>
      <c r="B452" s="338"/>
      <c r="C452" s="20" t="s">
        <v>43</v>
      </c>
      <c r="D452" s="21">
        <v>225.1</v>
      </c>
      <c r="E452" s="21">
        <v>225.1</v>
      </c>
      <c r="F452" s="21">
        <v>92.6</v>
      </c>
      <c r="G452" s="21">
        <v>132.5</v>
      </c>
      <c r="H452" s="21">
        <v>132.5</v>
      </c>
      <c r="I452" s="156">
        <f t="shared" si="22"/>
        <v>0.41137272323411816</v>
      </c>
      <c r="J452" s="361"/>
      <c r="K452" s="341"/>
      <c r="L452" s="344"/>
      <c r="M452" s="370"/>
      <c r="N452" s="338"/>
      <c r="O452" s="353"/>
    </row>
    <row r="453" spans="1:19" ht="20.25" customHeight="1" x14ac:dyDescent="0.25">
      <c r="A453" s="385" t="s">
        <v>764</v>
      </c>
      <c r="B453" s="336" t="s">
        <v>765</v>
      </c>
      <c r="C453" s="14"/>
      <c r="D453" s="15">
        <f>SUM(D454:D456)</f>
        <v>4514</v>
      </c>
      <c r="E453" s="15">
        <f>SUM(E454:E456)</f>
        <v>4514</v>
      </c>
      <c r="F453" s="15">
        <f>SUM(F454:F456)</f>
        <v>2914.5</v>
      </c>
      <c r="G453" s="15">
        <f>SUM(G454:G456)</f>
        <v>1599.5</v>
      </c>
      <c r="H453" s="15">
        <f>SUM(H454:H456)</f>
        <v>1599.5</v>
      </c>
      <c r="I453" s="152">
        <f>SUM(F453/E453)</f>
        <v>0.64565795303500217</v>
      </c>
      <c r="J453" s="371" t="s">
        <v>766</v>
      </c>
      <c r="K453" s="339" t="s">
        <v>23</v>
      </c>
      <c r="L453" s="342">
        <v>90</v>
      </c>
      <c r="M453" s="345">
        <v>90</v>
      </c>
      <c r="N453" s="336" t="s">
        <v>1857</v>
      </c>
      <c r="O453" s="351"/>
      <c r="P453" s="181"/>
    </row>
    <row r="454" spans="1:19" x14ac:dyDescent="0.25">
      <c r="A454" s="386"/>
      <c r="B454" s="337"/>
      <c r="C454" s="20" t="s">
        <v>24</v>
      </c>
      <c r="D454" s="21">
        <v>501.6</v>
      </c>
      <c r="E454" s="21">
        <v>501.6</v>
      </c>
      <c r="F454" s="21">
        <v>501.6</v>
      </c>
      <c r="G454" s="21"/>
      <c r="H454" s="67"/>
      <c r="I454" s="149">
        <f t="shared" ref="I454:I462" si="23">SUM(F454/E454)</f>
        <v>1</v>
      </c>
      <c r="J454" s="372"/>
      <c r="K454" s="340"/>
      <c r="L454" s="343"/>
      <c r="M454" s="346"/>
      <c r="N454" s="337"/>
      <c r="O454" s="352"/>
    </row>
    <row r="455" spans="1:19" x14ac:dyDescent="0.25">
      <c r="A455" s="386"/>
      <c r="B455" s="337"/>
      <c r="C455" s="20" t="s">
        <v>43</v>
      </c>
      <c r="D455" s="21">
        <v>1387.3</v>
      </c>
      <c r="E455" s="21">
        <v>1387.3</v>
      </c>
      <c r="F455" s="21">
        <v>171.2</v>
      </c>
      <c r="G455" s="21">
        <v>1216.0999999999999</v>
      </c>
      <c r="H455" s="67">
        <v>1216.0999999999999</v>
      </c>
      <c r="I455" s="149">
        <f t="shared" si="23"/>
        <v>0.12340517552079579</v>
      </c>
      <c r="J455" s="372"/>
      <c r="K455" s="340"/>
      <c r="L455" s="343"/>
      <c r="M455" s="346"/>
      <c r="N455" s="337"/>
      <c r="O455" s="352"/>
    </row>
    <row r="456" spans="1:19" ht="15.75" thickBot="1" x14ac:dyDescent="0.3">
      <c r="A456" s="387"/>
      <c r="B456" s="338"/>
      <c r="C456" s="20" t="s">
        <v>29</v>
      </c>
      <c r="D456" s="21">
        <v>2625.1</v>
      </c>
      <c r="E456" s="21">
        <v>2625.1</v>
      </c>
      <c r="F456" s="21">
        <v>2241.6999999999998</v>
      </c>
      <c r="G456" s="21">
        <v>383.4</v>
      </c>
      <c r="H456" s="21">
        <v>383.4</v>
      </c>
      <c r="I456" s="155">
        <f t="shared" si="23"/>
        <v>0.85394842101253277</v>
      </c>
      <c r="J456" s="361"/>
      <c r="K456" s="341"/>
      <c r="L456" s="344"/>
      <c r="M456" s="347"/>
      <c r="N456" s="338"/>
      <c r="O456" s="353"/>
    </row>
    <row r="457" spans="1:19" ht="48.75" customHeight="1" x14ac:dyDescent="0.25">
      <c r="A457" s="385" t="s">
        <v>767</v>
      </c>
      <c r="B457" s="336" t="s">
        <v>768</v>
      </c>
      <c r="C457" s="14"/>
      <c r="D457" s="15">
        <f>SUM(D458:D459)</f>
        <v>2120</v>
      </c>
      <c r="E457" s="15">
        <f>SUM(E458:E459)</f>
        <v>2120</v>
      </c>
      <c r="F457" s="15">
        <f>SUM(F458:F459)</f>
        <v>2119.8000000000002</v>
      </c>
      <c r="G457" s="15">
        <f>SUM(G458:G459)</f>
        <v>0.2</v>
      </c>
      <c r="H457" s="15">
        <f>SUM(H458:H459)</f>
        <v>0.2</v>
      </c>
      <c r="I457" s="152">
        <f t="shared" si="23"/>
        <v>0.99990566037735862</v>
      </c>
      <c r="J457" s="371" t="s">
        <v>769</v>
      </c>
      <c r="K457" s="339" t="s">
        <v>440</v>
      </c>
      <c r="L457" s="342">
        <v>5.2</v>
      </c>
      <c r="M457" s="440">
        <v>3.38</v>
      </c>
      <c r="N457" s="336" t="s">
        <v>1858</v>
      </c>
      <c r="O457" s="443" t="s">
        <v>1859</v>
      </c>
      <c r="P457" s="175"/>
    </row>
    <row r="458" spans="1:19" x14ac:dyDescent="0.25">
      <c r="A458" s="386"/>
      <c r="B458" s="337"/>
      <c r="C458" s="20" t="s">
        <v>24</v>
      </c>
      <c r="D458" s="21">
        <v>150</v>
      </c>
      <c r="E458" s="21">
        <v>150</v>
      </c>
      <c r="F458" s="21">
        <v>150</v>
      </c>
      <c r="G458" s="21"/>
      <c r="H458" s="67"/>
      <c r="I458" s="149">
        <f t="shared" si="23"/>
        <v>1</v>
      </c>
      <c r="J458" s="372"/>
      <c r="K458" s="340"/>
      <c r="L458" s="343"/>
      <c r="M458" s="358"/>
      <c r="N458" s="337"/>
      <c r="O458" s="383"/>
    </row>
    <row r="459" spans="1:19" ht="15.75" thickBot="1" x14ac:dyDescent="0.3">
      <c r="A459" s="387"/>
      <c r="B459" s="338"/>
      <c r="C459" s="20" t="s">
        <v>43</v>
      </c>
      <c r="D459" s="21">
        <v>1970</v>
      </c>
      <c r="E459" s="21">
        <v>1970</v>
      </c>
      <c r="F459" s="21">
        <v>1969.8</v>
      </c>
      <c r="G459" s="21">
        <v>0.2</v>
      </c>
      <c r="H459" s="21">
        <v>0.2</v>
      </c>
      <c r="I459" s="155">
        <f t="shared" si="23"/>
        <v>0.99989847715736035</v>
      </c>
      <c r="J459" s="361"/>
      <c r="K459" s="341"/>
      <c r="L459" s="344"/>
      <c r="M459" s="359"/>
      <c r="N459" s="338"/>
      <c r="O459" s="384"/>
    </row>
    <row r="460" spans="1:19" ht="39" customHeight="1" x14ac:dyDescent="0.25">
      <c r="A460" s="385" t="s">
        <v>770</v>
      </c>
      <c r="B460" s="336" t="s">
        <v>771</v>
      </c>
      <c r="C460" s="14"/>
      <c r="D460" s="15">
        <f>SUM(D461:D462)</f>
        <v>369.8</v>
      </c>
      <c r="E460" s="15">
        <f>SUM(E461:E462)</f>
        <v>369.8</v>
      </c>
      <c r="F460" s="15"/>
      <c r="G460" s="15">
        <f>SUM(G461:G462)</f>
        <v>369.8</v>
      </c>
      <c r="H460" s="15">
        <f>SUM(H461:H462)</f>
        <v>369.8</v>
      </c>
      <c r="I460" s="152">
        <f t="shared" si="23"/>
        <v>0</v>
      </c>
      <c r="J460" s="371" t="s">
        <v>772</v>
      </c>
      <c r="K460" s="339" t="s">
        <v>35</v>
      </c>
      <c r="L460" s="342">
        <v>30</v>
      </c>
      <c r="M460" s="348">
        <v>52</v>
      </c>
      <c r="N460" s="336" t="s">
        <v>1860</v>
      </c>
      <c r="O460" s="351"/>
      <c r="P460" s="284"/>
    </row>
    <row r="461" spans="1:19" x14ac:dyDescent="0.25">
      <c r="A461" s="386"/>
      <c r="B461" s="337"/>
      <c r="C461" s="20" t="s">
        <v>24</v>
      </c>
      <c r="D461" s="21">
        <v>149.80000000000001</v>
      </c>
      <c r="E461" s="21">
        <v>149.80000000000001</v>
      </c>
      <c r="F461" s="21"/>
      <c r="G461" s="21">
        <v>149.80000000000001</v>
      </c>
      <c r="H461" s="67">
        <v>149.80000000000001</v>
      </c>
      <c r="I461" s="149">
        <f t="shared" si="23"/>
        <v>0</v>
      </c>
      <c r="J461" s="372"/>
      <c r="K461" s="340"/>
      <c r="L461" s="343"/>
      <c r="M461" s="349"/>
      <c r="N461" s="337"/>
      <c r="O461" s="352"/>
    </row>
    <row r="462" spans="1:19" ht="15.75" thickBot="1" x14ac:dyDescent="0.3">
      <c r="A462" s="387"/>
      <c r="B462" s="338"/>
      <c r="C462" s="20" t="s">
        <v>43</v>
      </c>
      <c r="D462" s="21">
        <v>220</v>
      </c>
      <c r="E462" s="21">
        <v>220</v>
      </c>
      <c r="F462" s="21"/>
      <c r="G462" s="21">
        <v>220</v>
      </c>
      <c r="H462" s="21">
        <v>220</v>
      </c>
      <c r="I462" s="152">
        <f t="shared" si="23"/>
        <v>0</v>
      </c>
      <c r="J462" s="361"/>
      <c r="K462" s="341"/>
      <c r="L462" s="344"/>
      <c r="M462" s="350"/>
      <c r="N462" s="338"/>
      <c r="O462" s="353"/>
    </row>
    <row r="463" spans="1:19" ht="16.5" thickBot="1" x14ac:dyDescent="0.3">
      <c r="A463" s="6" t="s">
        <v>773</v>
      </c>
      <c r="B463" s="35" t="s">
        <v>774</v>
      </c>
      <c r="C463" s="7"/>
      <c r="D463" s="8">
        <f>D464+D508+D535</f>
        <v>2485.4</v>
      </c>
      <c r="E463" s="8">
        <f>E464+E508+E535</f>
        <v>2485.4</v>
      </c>
      <c r="F463" s="8">
        <f>F464+F508+F535</f>
        <v>1455.8</v>
      </c>
      <c r="G463" s="8">
        <f>G464+G508+G535</f>
        <v>1029.5</v>
      </c>
      <c r="H463" s="8">
        <f>H464+H508+H535</f>
        <v>1029.5</v>
      </c>
      <c r="I463" s="146">
        <f>SUM(F463/E463)</f>
        <v>0.58574072583889913</v>
      </c>
      <c r="J463" s="366"/>
      <c r="K463" s="367"/>
      <c r="L463" s="367"/>
      <c r="M463" s="367"/>
      <c r="N463" s="367"/>
      <c r="O463" s="368"/>
      <c r="Q463" s="312"/>
      <c r="R463" s="313" t="s">
        <v>1</v>
      </c>
      <c r="S463" s="314" t="s">
        <v>2105</v>
      </c>
    </row>
    <row r="464" spans="1:19" ht="25.5" x14ac:dyDescent="0.25">
      <c r="A464" s="401" t="s">
        <v>775</v>
      </c>
      <c r="B464" s="404" t="s">
        <v>776</v>
      </c>
      <c r="C464" s="407"/>
      <c r="D464" s="395">
        <f>D465+D466+D467+D470+D473+D475+D476+D477+D478+D490+D493+D503+D507</f>
        <v>1775.7</v>
      </c>
      <c r="E464" s="395">
        <f>E465+E466+E467+E470+E473+E475+E476+E477+E478+E490+E493+E503+E507</f>
        <v>1775.7</v>
      </c>
      <c r="F464" s="395">
        <f>F465+F466+F467+F470+F473+F475+F476+F477+F478+F490+F493+F503+F507-0.1</f>
        <v>770.4</v>
      </c>
      <c r="G464" s="395">
        <f>G465+G466+G467+G470+G473+G475+G476+G477+G478+G490+G493+G503+G507</f>
        <v>1005.1999999999999</v>
      </c>
      <c r="H464" s="395">
        <f>H465+H466+H467+H470+H473+H475+H476+H477+H478+H490+H493+H503+H507</f>
        <v>1005.1999999999999</v>
      </c>
      <c r="I464" s="398">
        <f>SUM(F464/E464)</f>
        <v>0.43385707045108968</v>
      </c>
      <c r="J464" s="45" t="s">
        <v>777</v>
      </c>
      <c r="K464" s="12" t="s">
        <v>1602</v>
      </c>
      <c r="L464" s="64">
        <v>3400</v>
      </c>
      <c r="M464" s="64">
        <v>3062</v>
      </c>
      <c r="N464" s="287"/>
      <c r="O464" s="52" t="s">
        <v>1631</v>
      </c>
      <c r="Q464" s="315"/>
      <c r="R464" s="316" t="s">
        <v>2096</v>
      </c>
      <c r="S464" s="317">
        <v>7</v>
      </c>
    </row>
    <row r="465" spans="1:19" ht="31.5" x14ac:dyDescent="0.25">
      <c r="A465" s="402"/>
      <c r="B465" s="405"/>
      <c r="C465" s="408"/>
      <c r="D465" s="396"/>
      <c r="E465" s="396"/>
      <c r="F465" s="396"/>
      <c r="G465" s="396"/>
      <c r="H465" s="396"/>
      <c r="I465" s="399"/>
      <c r="J465" s="55" t="s">
        <v>778</v>
      </c>
      <c r="K465" s="56" t="s">
        <v>23</v>
      </c>
      <c r="L465" s="57">
        <v>6.7</v>
      </c>
      <c r="M465" s="57">
        <v>6.7</v>
      </c>
      <c r="N465" s="288"/>
      <c r="O465" s="66"/>
      <c r="Q465" s="318"/>
      <c r="R465" s="316" t="s">
        <v>2097</v>
      </c>
      <c r="S465" s="317">
        <v>1</v>
      </c>
    </row>
    <row r="466" spans="1:19" ht="65.25" customHeight="1" thickBot="1" x14ac:dyDescent="0.3">
      <c r="A466" s="403"/>
      <c r="B466" s="406"/>
      <c r="C466" s="409"/>
      <c r="D466" s="397"/>
      <c r="E466" s="397"/>
      <c r="F466" s="397"/>
      <c r="G466" s="397"/>
      <c r="H466" s="397"/>
      <c r="I466" s="400"/>
      <c r="J466" s="55" t="s">
        <v>779</v>
      </c>
      <c r="K466" s="56" t="s">
        <v>35</v>
      </c>
      <c r="L466" s="126">
        <v>42</v>
      </c>
      <c r="M466" s="57">
        <v>42.76</v>
      </c>
      <c r="N466" s="289"/>
      <c r="O466" s="66" t="s">
        <v>1632</v>
      </c>
      <c r="P466" s="291"/>
      <c r="Q466" s="319"/>
      <c r="R466" s="316" t="s">
        <v>2098</v>
      </c>
      <c r="S466" s="320">
        <v>5</v>
      </c>
    </row>
    <row r="467" spans="1:19" ht="240" customHeight="1" x14ac:dyDescent="0.25">
      <c r="A467" s="385" t="s">
        <v>780</v>
      </c>
      <c r="B467" s="336" t="s">
        <v>781</v>
      </c>
      <c r="C467" s="14"/>
      <c r="D467" s="15">
        <f>SUM(D468:D469)</f>
        <v>130.69999999999999</v>
      </c>
      <c r="E467" s="15">
        <f>SUM(E468:E469)</f>
        <v>130.69999999999999</v>
      </c>
      <c r="F467" s="15">
        <f>SUM(F468:F469)</f>
        <v>130.4</v>
      </c>
      <c r="G467" s="15">
        <f>SUM(G468:G469)</f>
        <v>0.3</v>
      </c>
      <c r="H467" s="15">
        <f>SUM(H468:H469)</f>
        <v>0.3</v>
      </c>
      <c r="I467" s="148">
        <f>SUM(F467/E467)</f>
        <v>0.99770466717674078</v>
      </c>
      <c r="J467" s="371" t="s">
        <v>782</v>
      </c>
      <c r="K467" s="339" t="s">
        <v>35</v>
      </c>
      <c r="L467" s="342">
        <v>9</v>
      </c>
      <c r="M467" s="440">
        <v>7</v>
      </c>
      <c r="N467" s="374" t="s">
        <v>783</v>
      </c>
      <c r="O467" s="351" t="s">
        <v>2020</v>
      </c>
      <c r="P467" s="175"/>
      <c r="Q467" s="321"/>
      <c r="R467" s="316" t="s">
        <v>2099</v>
      </c>
      <c r="S467" s="320">
        <v>6</v>
      </c>
    </row>
    <row r="468" spans="1:19" ht="31.5" x14ac:dyDescent="0.25">
      <c r="A468" s="386"/>
      <c r="B468" s="337"/>
      <c r="C468" s="20" t="s">
        <v>43</v>
      </c>
      <c r="D468" s="21">
        <v>129.69999999999999</v>
      </c>
      <c r="E468" s="21">
        <v>129.69999999999999</v>
      </c>
      <c r="F468" s="21">
        <v>129.4</v>
      </c>
      <c r="G468" s="21">
        <v>0.3</v>
      </c>
      <c r="H468" s="67">
        <v>0.3</v>
      </c>
      <c r="I468" s="149">
        <f t="shared" ref="I468:I490" si="24">SUM(F468/E468)</f>
        <v>0.99768696993060924</v>
      </c>
      <c r="J468" s="372"/>
      <c r="K468" s="340"/>
      <c r="L468" s="343"/>
      <c r="M468" s="358"/>
      <c r="N468" s="375"/>
      <c r="O468" s="352"/>
      <c r="Q468" s="322"/>
      <c r="R468" s="316" t="s">
        <v>2100</v>
      </c>
      <c r="S468" s="320">
        <v>0</v>
      </c>
    </row>
    <row r="469" spans="1:19" ht="16.5" thickBot="1" x14ac:dyDescent="0.3">
      <c r="A469" s="387"/>
      <c r="B469" s="338"/>
      <c r="C469" s="20" t="s">
        <v>24</v>
      </c>
      <c r="D469" s="21">
        <v>1</v>
      </c>
      <c r="E469" s="21">
        <v>1</v>
      </c>
      <c r="F469" s="21">
        <v>1</v>
      </c>
      <c r="G469" s="21"/>
      <c r="H469" s="21"/>
      <c r="I469" s="79">
        <f t="shared" si="24"/>
        <v>1</v>
      </c>
      <c r="J469" s="361"/>
      <c r="K469" s="341"/>
      <c r="L469" s="344"/>
      <c r="M469" s="359"/>
      <c r="N469" s="376"/>
      <c r="O469" s="353"/>
      <c r="Q469" s="312"/>
      <c r="R469" s="323" t="s">
        <v>2101</v>
      </c>
      <c r="S469" s="320">
        <f>+SUM(S464:S468)</f>
        <v>19</v>
      </c>
    </row>
    <row r="470" spans="1:19" ht="103.5" customHeight="1" x14ac:dyDescent="0.25">
      <c r="A470" s="385" t="s">
        <v>784</v>
      </c>
      <c r="B470" s="336" t="s">
        <v>785</v>
      </c>
      <c r="C470" s="14" t="s">
        <v>43</v>
      </c>
      <c r="D470" s="15">
        <f>SUM(D471:D472)+23</f>
        <v>23</v>
      </c>
      <c r="E470" s="15">
        <f>SUM(E471:E472)+23</f>
        <v>23</v>
      </c>
      <c r="F470" s="15">
        <f>SUM(F471:F472)+23</f>
        <v>23</v>
      </c>
      <c r="G470" s="15"/>
      <c r="H470" s="15"/>
      <c r="I470" s="148">
        <f t="shared" si="24"/>
        <v>1</v>
      </c>
      <c r="J470" s="41" t="s">
        <v>786</v>
      </c>
      <c r="K470" s="16" t="s">
        <v>35</v>
      </c>
      <c r="L470" s="17">
        <v>5</v>
      </c>
      <c r="M470" s="176">
        <v>6</v>
      </c>
      <c r="N470" s="124" t="s">
        <v>2014</v>
      </c>
      <c r="O470" s="42"/>
      <c r="P470" s="284"/>
    </row>
    <row r="471" spans="1:19" ht="79.5" customHeight="1" x14ac:dyDescent="0.25">
      <c r="A471" s="386"/>
      <c r="B471" s="337"/>
      <c r="C471" s="20"/>
      <c r="D471" s="21"/>
      <c r="E471" s="21"/>
      <c r="F471" s="21"/>
      <c r="G471" s="21"/>
      <c r="H471" s="67"/>
      <c r="I471" s="149"/>
      <c r="J471" s="68" t="s">
        <v>787</v>
      </c>
      <c r="K471" s="22" t="s">
        <v>35</v>
      </c>
      <c r="L471" s="23">
        <v>6</v>
      </c>
      <c r="M471" s="135">
        <v>6</v>
      </c>
      <c r="N471" s="219" t="s">
        <v>2015</v>
      </c>
      <c r="O471" s="44"/>
    </row>
    <row r="472" spans="1:19" ht="169.5" customHeight="1" thickBot="1" x14ac:dyDescent="0.3">
      <c r="A472" s="387"/>
      <c r="B472" s="338"/>
      <c r="C472" s="20"/>
      <c r="D472" s="21"/>
      <c r="E472" s="21"/>
      <c r="F472" s="21"/>
      <c r="G472" s="21"/>
      <c r="H472" s="21"/>
      <c r="I472" s="79"/>
      <c r="J472" s="43" t="s">
        <v>788</v>
      </c>
      <c r="K472" s="22" t="s">
        <v>789</v>
      </c>
      <c r="L472" s="23">
        <v>280</v>
      </c>
      <c r="M472" s="134">
        <v>332</v>
      </c>
      <c r="N472" s="219" t="s">
        <v>2016</v>
      </c>
      <c r="O472" s="44"/>
    </row>
    <row r="473" spans="1:19" ht="77.25" customHeight="1" x14ac:dyDescent="0.25">
      <c r="A473" s="385" t="s">
        <v>790</v>
      </c>
      <c r="B473" s="336" t="s">
        <v>791</v>
      </c>
      <c r="C473" s="14" t="s">
        <v>43</v>
      </c>
      <c r="D473" s="15">
        <f>SUM(D474:D474)+46</f>
        <v>46</v>
      </c>
      <c r="E473" s="15">
        <f>SUM(E474:E474)+46</f>
        <v>46</v>
      </c>
      <c r="F473" s="15">
        <f>SUM(F474:F474)+46</f>
        <v>46</v>
      </c>
      <c r="G473" s="15"/>
      <c r="H473" s="15"/>
      <c r="I473" s="151">
        <f t="shared" si="24"/>
        <v>1</v>
      </c>
      <c r="J473" s="41" t="s">
        <v>792</v>
      </c>
      <c r="K473" s="16" t="s">
        <v>118</v>
      </c>
      <c r="L473" s="17">
        <v>35</v>
      </c>
      <c r="M473" s="136">
        <v>35</v>
      </c>
      <c r="N473" s="124" t="s">
        <v>2017</v>
      </c>
      <c r="O473" s="42"/>
      <c r="P473" s="284"/>
    </row>
    <row r="474" spans="1:19" ht="204.75" customHeight="1" thickBot="1" x14ac:dyDescent="0.3">
      <c r="A474" s="387"/>
      <c r="B474" s="338"/>
      <c r="C474" s="20"/>
      <c r="D474" s="21"/>
      <c r="E474" s="21"/>
      <c r="F474" s="21"/>
      <c r="G474" s="21"/>
      <c r="H474" s="21"/>
      <c r="I474" s="79"/>
      <c r="J474" s="43" t="s">
        <v>793</v>
      </c>
      <c r="K474" s="22" t="s">
        <v>35</v>
      </c>
      <c r="L474" s="23">
        <v>15</v>
      </c>
      <c r="M474" s="134">
        <v>23</v>
      </c>
      <c r="N474" s="219" t="s">
        <v>2018</v>
      </c>
      <c r="O474" s="44"/>
    </row>
    <row r="475" spans="1:19" ht="80.25" customHeight="1" thickBot="1" x14ac:dyDescent="0.3">
      <c r="A475" s="13" t="s">
        <v>794</v>
      </c>
      <c r="B475" s="37" t="s">
        <v>795</v>
      </c>
      <c r="C475" s="14" t="s">
        <v>43</v>
      </c>
      <c r="D475" s="24">
        <v>3.3</v>
      </c>
      <c r="E475" s="24">
        <v>3.3</v>
      </c>
      <c r="F475" s="24">
        <v>3.2</v>
      </c>
      <c r="G475" s="24">
        <v>0.1</v>
      </c>
      <c r="H475" s="24">
        <v>0.1</v>
      </c>
      <c r="I475" s="154">
        <f t="shared" si="24"/>
        <v>0.96969696969696983</v>
      </c>
      <c r="J475" s="41" t="s">
        <v>796</v>
      </c>
      <c r="K475" s="16" t="s">
        <v>35</v>
      </c>
      <c r="L475" s="17">
        <v>10</v>
      </c>
      <c r="M475" s="136">
        <v>10</v>
      </c>
      <c r="N475" s="124" t="s">
        <v>2019</v>
      </c>
      <c r="O475" s="42"/>
      <c r="P475" s="181"/>
    </row>
    <row r="476" spans="1:19" ht="51.75" thickBot="1" x14ac:dyDescent="0.3">
      <c r="A476" s="13" t="s">
        <v>797</v>
      </c>
      <c r="B476" s="37" t="s">
        <v>798</v>
      </c>
      <c r="C476" s="14" t="s">
        <v>43</v>
      </c>
      <c r="D476" s="24">
        <v>25</v>
      </c>
      <c r="E476" s="24">
        <v>25</v>
      </c>
      <c r="F476" s="24">
        <v>14.5</v>
      </c>
      <c r="G476" s="24">
        <v>10.5</v>
      </c>
      <c r="H476" s="24">
        <v>10.5</v>
      </c>
      <c r="I476" s="154">
        <f t="shared" si="24"/>
        <v>0.57999999999999996</v>
      </c>
      <c r="J476" s="41" t="s">
        <v>799</v>
      </c>
      <c r="K476" s="16" t="s">
        <v>23</v>
      </c>
      <c r="L476" s="17">
        <v>100</v>
      </c>
      <c r="M476" s="143">
        <v>50</v>
      </c>
      <c r="N476" s="41" t="s">
        <v>1861</v>
      </c>
      <c r="O476" s="42" t="s">
        <v>1862</v>
      </c>
      <c r="P476" s="175"/>
    </row>
    <row r="477" spans="1:19" ht="42" customHeight="1" thickBot="1" x14ac:dyDescent="0.3">
      <c r="A477" s="13" t="s">
        <v>800</v>
      </c>
      <c r="B477" s="37" t="s">
        <v>801</v>
      </c>
      <c r="C477" s="14" t="s">
        <v>43</v>
      </c>
      <c r="D477" s="24">
        <v>100</v>
      </c>
      <c r="E477" s="24">
        <v>100</v>
      </c>
      <c r="F477" s="24">
        <v>39.799999999999997</v>
      </c>
      <c r="G477" s="24">
        <v>60.2</v>
      </c>
      <c r="H477" s="24">
        <v>60.2</v>
      </c>
      <c r="I477" s="154">
        <f t="shared" si="24"/>
        <v>0.39799999999999996</v>
      </c>
      <c r="J477" s="41" t="s">
        <v>802</v>
      </c>
      <c r="K477" s="16" t="s">
        <v>35</v>
      </c>
      <c r="L477" s="17">
        <v>15</v>
      </c>
      <c r="M477" s="143">
        <v>13</v>
      </c>
      <c r="N477" s="41" t="s">
        <v>1863</v>
      </c>
      <c r="O477" s="42" t="s">
        <v>1864</v>
      </c>
      <c r="P477" s="175"/>
    </row>
    <row r="478" spans="1:19" ht="39" thickBot="1" x14ac:dyDescent="0.3">
      <c r="A478" s="13" t="s">
        <v>803</v>
      </c>
      <c r="B478" s="37" t="s">
        <v>804</v>
      </c>
      <c r="C478" s="14"/>
      <c r="D478" s="15">
        <f>D479+D480+D483+D485+D487</f>
        <v>1117.7</v>
      </c>
      <c r="E478" s="15">
        <f>E479+E480+E483+E485+E487</f>
        <v>1117.7</v>
      </c>
      <c r="F478" s="15">
        <f>F479+F480+F483+F485+F487</f>
        <v>208.89999999999998</v>
      </c>
      <c r="G478" s="15">
        <f>G479+G480+G483+G485+G487</f>
        <v>908.8</v>
      </c>
      <c r="H478" s="15">
        <f>H479+H480+H483+H485+H487</f>
        <v>908.8</v>
      </c>
      <c r="I478" s="154">
        <f t="shared" si="24"/>
        <v>0.18690167307864361</v>
      </c>
      <c r="J478" s="41"/>
      <c r="K478" s="16"/>
      <c r="L478" s="48"/>
      <c r="M478" s="17"/>
      <c r="N478" s="41"/>
      <c r="O478" s="42"/>
      <c r="P478" s="290"/>
    </row>
    <row r="479" spans="1:19" ht="26.25" thickBot="1" x14ac:dyDescent="0.3">
      <c r="A479" s="13" t="s">
        <v>805</v>
      </c>
      <c r="B479" s="37" t="s">
        <v>806</v>
      </c>
      <c r="C479" s="14" t="s">
        <v>43</v>
      </c>
      <c r="D479" s="24">
        <v>30</v>
      </c>
      <c r="E479" s="24">
        <v>30</v>
      </c>
      <c r="F479" s="24">
        <v>11.5</v>
      </c>
      <c r="G479" s="24">
        <v>18.5</v>
      </c>
      <c r="H479" s="24">
        <v>18.5</v>
      </c>
      <c r="I479" s="154">
        <f t="shared" si="24"/>
        <v>0.38333333333333336</v>
      </c>
      <c r="J479" s="41" t="s">
        <v>807</v>
      </c>
      <c r="K479" s="16" t="s">
        <v>35</v>
      </c>
      <c r="L479" s="17">
        <v>1</v>
      </c>
      <c r="M479" s="136">
        <v>1</v>
      </c>
      <c r="N479" s="41" t="s">
        <v>1865</v>
      </c>
      <c r="O479" s="42"/>
    </row>
    <row r="480" spans="1:19" ht="53.25" customHeight="1" x14ac:dyDescent="0.25">
      <c r="A480" s="385" t="s">
        <v>808</v>
      </c>
      <c r="B480" s="336" t="s">
        <v>809</v>
      </c>
      <c r="C480" s="14"/>
      <c r="D480" s="15">
        <f>SUM(D481:D482)</f>
        <v>607.5</v>
      </c>
      <c r="E480" s="15">
        <f>SUM(E481:E482)</f>
        <v>607.5</v>
      </c>
      <c r="F480" s="15"/>
      <c r="G480" s="15">
        <f>SUM(G481:G482)</f>
        <v>607.5</v>
      </c>
      <c r="H480" s="15">
        <f>SUM(H481:H482)</f>
        <v>607.5</v>
      </c>
      <c r="I480" s="148">
        <f t="shared" si="24"/>
        <v>0</v>
      </c>
      <c r="J480" s="371" t="s">
        <v>810</v>
      </c>
      <c r="K480" s="339" t="s">
        <v>35</v>
      </c>
      <c r="L480" s="342">
        <v>1</v>
      </c>
      <c r="M480" s="369">
        <v>0</v>
      </c>
      <c r="N480" s="336" t="s">
        <v>1867</v>
      </c>
      <c r="O480" s="351" t="s">
        <v>1866</v>
      </c>
    </row>
    <row r="481" spans="1:16" x14ac:dyDescent="0.25">
      <c r="A481" s="386"/>
      <c r="B481" s="337"/>
      <c r="C481" s="20" t="s">
        <v>24</v>
      </c>
      <c r="D481" s="21">
        <v>407.5</v>
      </c>
      <c r="E481" s="21">
        <v>407.5</v>
      </c>
      <c r="F481" s="21"/>
      <c r="G481" s="21">
        <v>407.5</v>
      </c>
      <c r="H481" s="67">
        <v>407.5</v>
      </c>
      <c r="I481" s="149">
        <f t="shared" si="24"/>
        <v>0</v>
      </c>
      <c r="J481" s="372"/>
      <c r="K481" s="340"/>
      <c r="L481" s="343"/>
      <c r="M481" s="373"/>
      <c r="N481" s="337"/>
      <c r="O481" s="352"/>
    </row>
    <row r="482" spans="1:16" ht="15.75" thickBot="1" x14ac:dyDescent="0.3">
      <c r="A482" s="387"/>
      <c r="B482" s="338"/>
      <c r="C482" s="20" t="s">
        <v>43</v>
      </c>
      <c r="D482" s="21">
        <v>200</v>
      </c>
      <c r="E482" s="21">
        <v>200</v>
      </c>
      <c r="F482" s="21"/>
      <c r="G482" s="21">
        <v>200</v>
      </c>
      <c r="H482" s="21">
        <v>200</v>
      </c>
      <c r="I482" s="79">
        <f t="shared" si="24"/>
        <v>0</v>
      </c>
      <c r="J482" s="361"/>
      <c r="K482" s="341"/>
      <c r="L482" s="344"/>
      <c r="M482" s="370"/>
      <c r="N482" s="338"/>
      <c r="O482" s="353"/>
    </row>
    <row r="483" spans="1:16" ht="100.5" customHeight="1" x14ac:dyDescent="0.25">
      <c r="A483" s="385" t="s">
        <v>811</v>
      </c>
      <c r="B483" s="336" t="s">
        <v>812</v>
      </c>
      <c r="C483" s="14"/>
      <c r="D483" s="15">
        <f>SUM(D484:D484)</f>
        <v>100</v>
      </c>
      <c r="E483" s="15">
        <f>SUM(E484:E484)</f>
        <v>100</v>
      </c>
      <c r="F483" s="15">
        <f>SUM(F484:F484)</f>
        <v>36.700000000000003</v>
      </c>
      <c r="G483" s="15">
        <f>SUM(G484:G484)</f>
        <v>63.3</v>
      </c>
      <c r="H483" s="15">
        <f>SUM(H484:H484)</f>
        <v>63.3</v>
      </c>
      <c r="I483" s="151">
        <f t="shared" si="24"/>
        <v>0.36700000000000005</v>
      </c>
      <c r="J483" s="336" t="s">
        <v>813</v>
      </c>
      <c r="K483" s="339" t="s">
        <v>35</v>
      </c>
      <c r="L483" s="342">
        <v>1</v>
      </c>
      <c r="M483" s="369">
        <v>0</v>
      </c>
      <c r="N483" s="336" t="s">
        <v>1868</v>
      </c>
      <c r="O483" s="351" t="s">
        <v>1869</v>
      </c>
    </row>
    <row r="484" spans="1:16" ht="15.75" thickBot="1" x14ac:dyDescent="0.3">
      <c r="A484" s="387"/>
      <c r="B484" s="338"/>
      <c r="C484" s="20" t="s">
        <v>24</v>
      </c>
      <c r="D484" s="21">
        <v>100</v>
      </c>
      <c r="E484" s="21">
        <v>100</v>
      </c>
      <c r="F484" s="21">
        <v>36.700000000000003</v>
      </c>
      <c r="G484" s="21">
        <v>63.3</v>
      </c>
      <c r="H484" s="21">
        <v>63.3</v>
      </c>
      <c r="I484" s="79">
        <f t="shared" si="24"/>
        <v>0.36700000000000005</v>
      </c>
      <c r="J484" s="338"/>
      <c r="K484" s="341"/>
      <c r="L484" s="344"/>
      <c r="M484" s="370"/>
      <c r="N484" s="338"/>
      <c r="O484" s="353"/>
    </row>
    <row r="485" spans="1:16" ht="25.5" customHeight="1" x14ac:dyDescent="0.25">
      <c r="A485" s="385" t="s">
        <v>814</v>
      </c>
      <c r="B485" s="336" t="s">
        <v>815</v>
      </c>
      <c r="C485" s="14"/>
      <c r="D485" s="15">
        <f>SUM(D486:D486)</f>
        <v>20</v>
      </c>
      <c r="E485" s="15">
        <f>SUM(E486:E486)</f>
        <v>20</v>
      </c>
      <c r="F485" s="15"/>
      <c r="G485" s="15">
        <f>SUM(G486:G486)</f>
        <v>20</v>
      </c>
      <c r="H485" s="15">
        <f>SUM(H486:H486)</f>
        <v>20</v>
      </c>
      <c r="I485" s="151">
        <f t="shared" si="24"/>
        <v>0</v>
      </c>
      <c r="J485" s="336" t="s">
        <v>816</v>
      </c>
      <c r="K485" s="339" t="s">
        <v>35</v>
      </c>
      <c r="L485" s="342">
        <v>1</v>
      </c>
      <c r="M485" s="369">
        <v>0</v>
      </c>
      <c r="N485" s="336"/>
      <c r="O485" s="351" t="s">
        <v>1870</v>
      </c>
    </row>
    <row r="486" spans="1:16" ht="15.75" thickBot="1" x14ac:dyDescent="0.3">
      <c r="A486" s="387"/>
      <c r="B486" s="338"/>
      <c r="C486" s="20" t="s">
        <v>27</v>
      </c>
      <c r="D486" s="21">
        <v>20</v>
      </c>
      <c r="E486" s="21">
        <v>20</v>
      </c>
      <c r="F486" s="21"/>
      <c r="G486" s="21">
        <v>20</v>
      </c>
      <c r="H486" s="21">
        <v>20</v>
      </c>
      <c r="I486" s="79">
        <f t="shared" si="24"/>
        <v>0</v>
      </c>
      <c r="J486" s="338"/>
      <c r="K486" s="341"/>
      <c r="L486" s="344"/>
      <c r="M486" s="370"/>
      <c r="N486" s="338"/>
      <c r="O486" s="353"/>
    </row>
    <row r="487" spans="1:16" ht="16.5" customHeight="1" x14ac:dyDescent="0.25">
      <c r="A487" s="385" t="s">
        <v>817</v>
      </c>
      <c r="B487" s="336" t="s">
        <v>818</v>
      </c>
      <c r="C487" s="14"/>
      <c r="D487" s="15">
        <f>SUM(D488:D489)</f>
        <v>360.2</v>
      </c>
      <c r="E487" s="15">
        <f>SUM(E488:E489)</f>
        <v>360.2</v>
      </c>
      <c r="F487" s="15">
        <f>SUM(F488:F489)</f>
        <v>160.69999999999999</v>
      </c>
      <c r="G487" s="15">
        <f>SUM(G488:G489)</f>
        <v>199.5</v>
      </c>
      <c r="H487" s="15">
        <f>SUM(H488:H489)</f>
        <v>199.5</v>
      </c>
      <c r="I487" s="148">
        <f t="shared" si="24"/>
        <v>0.446141032759578</v>
      </c>
      <c r="J487" s="371" t="s">
        <v>819</v>
      </c>
      <c r="K487" s="339" t="s">
        <v>418</v>
      </c>
      <c r="L487" s="342">
        <v>1</v>
      </c>
      <c r="M487" s="345">
        <v>1</v>
      </c>
      <c r="N487" s="336"/>
      <c r="O487" s="351"/>
    </row>
    <row r="488" spans="1:16" x14ac:dyDescent="0.25">
      <c r="A488" s="386"/>
      <c r="B488" s="337"/>
      <c r="C488" s="20" t="s">
        <v>24</v>
      </c>
      <c r="D488" s="21">
        <v>201</v>
      </c>
      <c r="E488" s="21">
        <v>201</v>
      </c>
      <c r="F488" s="21">
        <v>1.5</v>
      </c>
      <c r="G488" s="21">
        <v>199.5</v>
      </c>
      <c r="H488" s="67">
        <v>199.5</v>
      </c>
      <c r="I488" s="149">
        <f t="shared" si="24"/>
        <v>7.462686567164179E-3</v>
      </c>
      <c r="J488" s="372"/>
      <c r="K488" s="340"/>
      <c r="L488" s="343"/>
      <c r="M488" s="346"/>
      <c r="N488" s="337"/>
      <c r="O488" s="352"/>
    </row>
    <row r="489" spans="1:16" ht="15.75" thickBot="1" x14ac:dyDescent="0.3">
      <c r="A489" s="387"/>
      <c r="B489" s="338"/>
      <c r="C489" s="20" t="s">
        <v>27</v>
      </c>
      <c r="D489" s="21">
        <v>159.19999999999999</v>
      </c>
      <c r="E489" s="21">
        <v>159.19999999999999</v>
      </c>
      <c r="F489" s="21">
        <v>159.19999999999999</v>
      </c>
      <c r="G489" s="21"/>
      <c r="H489" s="21"/>
      <c r="I489" s="79">
        <f t="shared" si="24"/>
        <v>1</v>
      </c>
      <c r="J489" s="361"/>
      <c r="K489" s="341"/>
      <c r="L489" s="344"/>
      <c r="M489" s="347"/>
      <c r="N489" s="338"/>
      <c r="O489" s="353"/>
    </row>
    <row r="490" spans="1:16" ht="38.25" x14ac:dyDescent="0.25">
      <c r="A490" s="385" t="s">
        <v>820</v>
      </c>
      <c r="B490" s="336" t="s">
        <v>821</v>
      </c>
      <c r="C490" s="14" t="s">
        <v>43</v>
      </c>
      <c r="D490" s="15">
        <f>SUM(D491:D492)+220</f>
        <v>220</v>
      </c>
      <c r="E490" s="15">
        <f>SUM(E491:E492)+220</f>
        <v>220</v>
      </c>
      <c r="F490" s="15">
        <f>SUM(F491:F492)+220</f>
        <v>220</v>
      </c>
      <c r="G490" s="15"/>
      <c r="H490" s="15"/>
      <c r="I490" s="154">
        <f t="shared" si="24"/>
        <v>1</v>
      </c>
      <c r="J490" s="41" t="s">
        <v>822</v>
      </c>
      <c r="K490" s="16" t="s">
        <v>23</v>
      </c>
      <c r="L490" s="17">
        <v>100</v>
      </c>
      <c r="M490" s="136">
        <v>100</v>
      </c>
      <c r="N490" s="41" t="s">
        <v>1871</v>
      </c>
      <c r="O490" s="42"/>
      <c r="P490" s="181"/>
    </row>
    <row r="491" spans="1:16" ht="52.5" customHeight="1" x14ac:dyDescent="0.25">
      <c r="A491" s="386"/>
      <c r="B491" s="337"/>
      <c r="C491" s="20"/>
      <c r="D491" s="21"/>
      <c r="E491" s="21"/>
      <c r="F491" s="21"/>
      <c r="G491" s="21"/>
      <c r="H491" s="21"/>
      <c r="I491" s="150"/>
      <c r="J491" s="43" t="s">
        <v>823</v>
      </c>
      <c r="K491" s="22" t="s">
        <v>35</v>
      </c>
      <c r="L491" s="23">
        <v>1</v>
      </c>
      <c r="M491" s="135">
        <v>1</v>
      </c>
      <c r="N491" s="43" t="s">
        <v>824</v>
      </c>
      <c r="O491" s="44"/>
    </row>
    <row r="492" spans="1:16" ht="21" customHeight="1" thickBot="1" x14ac:dyDescent="0.3">
      <c r="A492" s="387"/>
      <c r="B492" s="338"/>
      <c r="C492" s="20"/>
      <c r="D492" s="21"/>
      <c r="E492" s="21"/>
      <c r="F492" s="21"/>
      <c r="G492" s="21"/>
      <c r="H492" s="21"/>
      <c r="I492" s="150"/>
      <c r="J492" s="43" t="s">
        <v>825</v>
      </c>
      <c r="K492" s="22" t="s">
        <v>23</v>
      </c>
      <c r="L492" s="23">
        <v>100</v>
      </c>
      <c r="M492" s="135">
        <v>100</v>
      </c>
      <c r="N492" s="43" t="s">
        <v>1872</v>
      </c>
      <c r="O492" s="44"/>
    </row>
    <row r="493" spans="1:16" ht="103.5" customHeight="1" x14ac:dyDescent="0.25">
      <c r="A493" s="385" t="s">
        <v>826</v>
      </c>
      <c r="B493" s="336" t="s">
        <v>827</v>
      </c>
      <c r="C493" s="14" t="s">
        <v>43</v>
      </c>
      <c r="D493" s="15">
        <f>SUM(D494:D502)+62.5</f>
        <v>62.5</v>
      </c>
      <c r="E493" s="15">
        <f>SUM(E494:E502)+62.5</f>
        <v>62.5</v>
      </c>
      <c r="F493" s="15">
        <f>SUM(F494:F502)+62.5</f>
        <v>62.5</v>
      </c>
      <c r="G493" s="15"/>
      <c r="H493" s="15"/>
      <c r="I493" s="154">
        <f>SUM(F493/E493)</f>
        <v>1</v>
      </c>
      <c r="J493" s="41" t="s">
        <v>828</v>
      </c>
      <c r="K493" s="16" t="s">
        <v>35</v>
      </c>
      <c r="L493" s="17">
        <v>4</v>
      </c>
      <c r="M493" s="176">
        <v>5</v>
      </c>
      <c r="N493" s="41" t="s">
        <v>1873</v>
      </c>
      <c r="O493" s="42"/>
      <c r="P493" s="284"/>
    </row>
    <row r="494" spans="1:16" ht="67.5" customHeight="1" x14ac:dyDescent="0.25">
      <c r="A494" s="386"/>
      <c r="B494" s="337"/>
      <c r="C494" s="20"/>
      <c r="D494" s="21"/>
      <c r="E494" s="21"/>
      <c r="F494" s="21"/>
      <c r="G494" s="21"/>
      <c r="H494" s="21"/>
      <c r="I494" s="150"/>
      <c r="J494" s="43" t="s">
        <v>829</v>
      </c>
      <c r="K494" s="22" t="s">
        <v>35</v>
      </c>
      <c r="L494" s="23">
        <v>6</v>
      </c>
      <c r="M494" s="134">
        <v>7</v>
      </c>
      <c r="N494" s="43" t="s">
        <v>1874</v>
      </c>
      <c r="O494" s="44"/>
    </row>
    <row r="495" spans="1:16" ht="63.75" x14ac:dyDescent="0.25">
      <c r="A495" s="386"/>
      <c r="B495" s="337"/>
      <c r="C495" s="20"/>
      <c r="D495" s="21"/>
      <c r="E495" s="21"/>
      <c r="F495" s="21"/>
      <c r="G495" s="21"/>
      <c r="H495" s="21"/>
      <c r="I495" s="150"/>
      <c r="J495" s="43" t="s">
        <v>830</v>
      </c>
      <c r="K495" s="22" t="s">
        <v>35</v>
      </c>
      <c r="L495" s="23">
        <v>1</v>
      </c>
      <c r="M495" s="134">
        <v>2</v>
      </c>
      <c r="N495" s="43" t="s">
        <v>831</v>
      </c>
      <c r="O495" s="44"/>
    </row>
    <row r="496" spans="1:16" ht="28.5" customHeight="1" x14ac:dyDescent="0.25">
      <c r="A496" s="386"/>
      <c r="B496" s="337"/>
      <c r="C496" s="20"/>
      <c r="D496" s="21"/>
      <c r="E496" s="21"/>
      <c r="F496" s="21"/>
      <c r="G496" s="21"/>
      <c r="H496" s="21"/>
      <c r="I496" s="150"/>
      <c r="J496" s="43" t="s">
        <v>832</v>
      </c>
      <c r="K496" s="22" t="s">
        <v>35</v>
      </c>
      <c r="L496" s="23">
        <v>1</v>
      </c>
      <c r="M496" s="135">
        <v>1</v>
      </c>
      <c r="N496" s="43" t="s">
        <v>1875</v>
      </c>
      <c r="O496" s="44"/>
    </row>
    <row r="497" spans="1:16" ht="51" x14ac:dyDescent="0.25">
      <c r="A497" s="386"/>
      <c r="B497" s="337"/>
      <c r="C497" s="20"/>
      <c r="D497" s="21"/>
      <c r="E497" s="21"/>
      <c r="F497" s="21"/>
      <c r="G497" s="21"/>
      <c r="H497" s="21"/>
      <c r="I497" s="150"/>
      <c r="J497" s="43" t="s">
        <v>833</v>
      </c>
      <c r="K497" s="22" t="s">
        <v>35</v>
      </c>
      <c r="L497" s="23">
        <v>1</v>
      </c>
      <c r="M497" s="134">
        <v>2</v>
      </c>
      <c r="N497" s="43" t="s">
        <v>1876</v>
      </c>
      <c r="O497" s="44"/>
    </row>
    <row r="498" spans="1:16" ht="25.5" x14ac:dyDescent="0.25">
      <c r="A498" s="386"/>
      <c r="B498" s="337"/>
      <c r="C498" s="20"/>
      <c r="D498" s="21"/>
      <c r="E498" s="21"/>
      <c r="F498" s="21"/>
      <c r="G498" s="21"/>
      <c r="H498" s="21"/>
      <c r="I498" s="150"/>
      <c r="J498" s="43" t="s">
        <v>834</v>
      </c>
      <c r="K498" s="22" t="s">
        <v>35</v>
      </c>
      <c r="L498" s="23">
        <v>1</v>
      </c>
      <c r="M498" s="135">
        <v>1</v>
      </c>
      <c r="N498" s="43"/>
      <c r="O498" s="44"/>
    </row>
    <row r="499" spans="1:16" ht="38.25" x14ac:dyDescent="0.25">
      <c r="A499" s="386"/>
      <c r="B499" s="337"/>
      <c r="C499" s="20"/>
      <c r="D499" s="21"/>
      <c r="E499" s="21"/>
      <c r="F499" s="21"/>
      <c r="G499" s="21"/>
      <c r="H499" s="21"/>
      <c r="I499" s="150"/>
      <c r="J499" s="43" t="s">
        <v>835</v>
      </c>
      <c r="K499" s="22" t="s">
        <v>35</v>
      </c>
      <c r="L499" s="23">
        <v>1</v>
      </c>
      <c r="M499" s="135">
        <v>1</v>
      </c>
      <c r="N499" s="43" t="s">
        <v>1877</v>
      </c>
      <c r="O499" s="44"/>
    </row>
    <row r="500" spans="1:16" ht="153" x14ac:dyDescent="0.25">
      <c r="A500" s="386"/>
      <c r="B500" s="337"/>
      <c r="C500" s="20"/>
      <c r="D500" s="21"/>
      <c r="E500" s="21"/>
      <c r="F500" s="21"/>
      <c r="G500" s="21"/>
      <c r="H500" s="21"/>
      <c r="I500" s="150"/>
      <c r="J500" s="43" t="s">
        <v>836</v>
      </c>
      <c r="K500" s="22" t="s">
        <v>35</v>
      </c>
      <c r="L500" s="23">
        <v>2</v>
      </c>
      <c r="M500" s="134">
        <v>9</v>
      </c>
      <c r="N500" s="43" t="s">
        <v>1878</v>
      </c>
      <c r="O500" s="44"/>
    </row>
    <row r="501" spans="1:16" ht="51" x14ac:dyDescent="0.25">
      <c r="A501" s="386"/>
      <c r="B501" s="337"/>
      <c r="C501" s="20"/>
      <c r="D501" s="21"/>
      <c r="E501" s="21"/>
      <c r="F501" s="21"/>
      <c r="G501" s="21"/>
      <c r="H501" s="21"/>
      <c r="I501" s="150"/>
      <c r="J501" s="43" t="s">
        <v>837</v>
      </c>
      <c r="K501" s="22" t="s">
        <v>35</v>
      </c>
      <c r="L501" s="23">
        <v>1</v>
      </c>
      <c r="M501" s="135">
        <v>1</v>
      </c>
      <c r="N501" s="43"/>
      <c r="O501" s="44"/>
    </row>
    <row r="502" spans="1:16" ht="64.5" thickBot="1" x14ac:dyDescent="0.3">
      <c r="A502" s="387"/>
      <c r="B502" s="338"/>
      <c r="C502" s="20"/>
      <c r="D502" s="21"/>
      <c r="E502" s="21"/>
      <c r="F502" s="21"/>
      <c r="G502" s="21"/>
      <c r="H502" s="21"/>
      <c r="I502" s="150"/>
      <c r="J502" s="43" t="s">
        <v>838</v>
      </c>
      <c r="K502" s="22" t="s">
        <v>35</v>
      </c>
      <c r="L502" s="23">
        <v>1</v>
      </c>
      <c r="M502" s="134">
        <v>2</v>
      </c>
      <c r="N502" s="43" t="s">
        <v>839</v>
      </c>
      <c r="O502" s="44"/>
    </row>
    <row r="503" spans="1:16" ht="52.5" customHeight="1" x14ac:dyDescent="0.25">
      <c r="A503" s="385" t="s">
        <v>840</v>
      </c>
      <c r="B503" s="336" t="s">
        <v>841</v>
      </c>
      <c r="C503" s="14" t="s">
        <v>43</v>
      </c>
      <c r="D503" s="15">
        <f>SUM(D504:D506)+33.5</f>
        <v>33.5</v>
      </c>
      <c r="E503" s="15">
        <f>SUM(E504:E506)+33.5</f>
        <v>33.5</v>
      </c>
      <c r="F503" s="15">
        <f>SUM(F504:F506)+15.2</f>
        <v>15.2</v>
      </c>
      <c r="G503" s="15">
        <f>SUM(G504:G506)+18.3</f>
        <v>18.3</v>
      </c>
      <c r="H503" s="15">
        <f>SUM(H504:H506)+18.3</f>
        <v>18.3</v>
      </c>
      <c r="I503" s="154">
        <f>SUM(F503/E503)</f>
        <v>0.45373134328358206</v>
      </c>
      <c r="J503" s="41" t="s">
        <v>842</v>
      </c>
      <c r="K503" s="16" t="s">
        <v>35</v>
      </c>
      <c r="L503" s="17">
        <v>12</v>
      </c>
      <c r="M503" s="216">
        <v>3</v>
      </c>
      <c r="N503" s="41" t="s">
        <v>1880</v>
      </c>
      <c r="O503" s="42" t="s">
        <v>1879</v>
      </c>
      <c r="P503" s="175"/>
    </row>
    <row r="504" spans="1:16" ht="51" x14ac:dyDescent="0.25">
      <c r="A504" s="386"/>
      <c r="B504" s="337"/>
      <c r="C504" s="20"/>
      <c r="D504" s="21"/>
      <c r="E504" s="21"/>
      <c r="F504" s="21"/>
      <c r="G504" s="21"/>
      <c r="H504" s="21"/>
      <c r="I504" s="150"/>
      <c r="J504" s="43" t="s">
        <v>843</v>
      </c>
      <c r="K504" s="22" t="s">
        <v>35</v>
      </c>
      <c r="L504" s="23">
        <v>9</v>
      </c>
      <c r="M504" s="221">
        <v>9</v>
      </c>
      <c r="N504" s="219" t="s">
        <v>1910</v>
      </c>
      <c r="O504" s="44"/>
    </row>
    <row r="505" spans="1:16" ht="41.25" customHeight="1" x14ac:dyDescent="0.25">
      <c r="A505" s="386"/>
      <c r="B505" s="337"/>
      <c r="C505" s="20"/>
      <c r="D505" s="21"/>
      <c r="E505" s="21"/>
      <c r="F505" s="21"/>
      <c r="G505" s="21"/>
      <c r="H505" s="21"/>
      <c r="I505" s="150"/>
      <c r="J505" s="43" t="s">
        <v>844</v>
      </c>
      <c r="K505" s="22" t="s">
        <v>35</v>
      </c>
      <c r="L505" s="23">
        <v>2</v>
      </c>
      <c r="M505" s="134">
        <v>3</v>
      </c>
      <c r="N505" s="43" t="s">
        <v>1881</v>
      </c>
      <c r="O505" s="44"/>
    </row>
    <row r="506" spans="1:16" ht="39" thickBot="1" x14ac:dyDescent="0.3">
      <c r="A506" s="387"/>
      <c r="B506" s="338"/>
      <c r="C506" s="20"/>
      <c r="D506" s="21"/>
      <c r="E506" s="21"/>
      <c r="F506" s="21"/>
      <c r="G506" s="21"/>
      <c r="H506" s="21"/>
      <c r="I506" s="150"/>
      <c r="J506" s="43" t="s">
        <v>845</v>
      </c>
      <c r="K506" s="22" t="s">
        <v>846</v>
      </c>
      <c r="L506" s="23">
        <v>16</v>
      </c>
      <c r="M506" s="134">
        <v>17.7</v>
      </c>
      <c r="N506" s="43" t="s">
        <v>1882</v>
      </c>
      <c r="O506" s="44"/>
    </row>
    <row r="507" spans="1:16" ht="51.75" thickBot="1" x14ac:dyDescent="0.3">
      <c r="A507" s="13" t="s">
        <v>847</v>
      </c>
      <c r="B507" s="37" t="s">
        <v>848</v>
      </c>
      <c r="C507" s="14" t="s">
        <v>43</v>
      </c>
      <c r="D507" s="24">
        <v>14</v>
      </c>
      <c r="E507" s="24">
        <v>14</v>
      </c>
      <c r="F507" s="24">
        <v>7</v>
      </c>
      <c r="G507" s="24">
        <v>7</v>
      </c>
      <c r="H507" s="24">
        <v>7</v>
      </c>
      <c r="I507" s="153">
        <f>SUM(F507/E507)</f>
        <v>0.5</v>
      </c>
      <c r="J507" s="41" t="s">
        <v>849</v>
      </c>
      <c r="K507" s="16" t="s">
        <v>108</v>
      </c>
      <c r="L507" s="17">
        <v>28</v>
      </c>
      <c r="M507" s="143">
        <v>14</v>
      </c>
      <c r="N507" s="41" t="s">
        <v>1883</v>
      </c>
      <c r="O507" s="42" t="s">
        <v>1884</v>
      </c>
      <c r="P507" s="175"/>
    </row>
    <row r="508" spans="1:16" ht="242.25" customHeight="1" x14ac:dyDescent="0.25">
      <c r="A508" s="401" t="s">
        <v>850</v>
      </c>
      <c r="B508" s="404" t="s">
        <v>851</v>
      </c>
      <c r="C508" s="407"/>
      <c r="D508" s="395">
        <f>D509+D510+D516+D519+D520+D529+D534</f>
        <v>656.7</v>
      </c>
      <c r="E508" s="395">
        <f>E509+E510+E516+E519+E520+E529+E534</f>
        <v>656.7</v>
      </c>
      <c r="F508" s="395">
        <f>F509+F510+F516+F519+F520+F529+F534+0.1</f>
        <v>643.19999999999993</v>
      </c>
      <c r="G508" s="395">
        <f>G509+G510+G516+G519+G520+G529+G534-0.1</f>
        <v>13.500000000000002</v>
      </c>
      <c r="H508" s="395">
        <f>H509+H510+H516+H519+H520+H529+H534-0.1</f>
        <v>13.500000000000002</v>
      </c>
      <c r="I508" s="398">
        <f>SUM(F508/E508)</f>
        <v>0.97944266788487877</v>
      </c>
      <c r="J508" s="45" t="s">
        <v>852</v>
      </c>
      <c r="K508" s="12" t="s">
        <v>118</v>
      </c>
      <c r="L508" s="64">
        <v>301000</v>
      </c>
      <c r="M508" s="64">
        <v>160207</v>
      </c>
      <c r="N508" s="45" t="s">
        <v>853</v>
      </c>
      <c r="O508" s="132" t="s">
        <v>1633</v>
      </c>
    </row>
    <row r="509" spans="1:16" ht="18" customHeight="1" thickBot="1" x14ac:dyDescent="0.3">
      <c r="A509" s="403"/>
      <c r="B509" s="406"/>
      <c r="C509" s="409"/>
      <c r="D509" s="397"/>
      <c r="E509" s="397"/>
      <c r="F509" s="397"/>
      <c r="G509" s="397"/>
      <c r="H509" s="397"/>
      <c r="I509" s="400"/>
      <c r="J509" s="55" t="s">
        <v>854</v>
      </c>
      <c r="K509" s="56" t="s">
        <v>35</v>
      </c>
      <c r="L509" s="65">
        <v>1400</v>
      </c>
      <c r="M509" s="220">
        <v>1877</v>
      </c>
      <c r="N509" s="524"/>
      <c r="O509" s="525"/>
    </row>
    <row r="510" spans="1:16" ht="143.25" customHeight="1" x14ac:dyDescent="0.25">
      <c r="A510" s="385" t="s">
        <v>855</v>
      </c>
      <c r="B510" s="336" t="s">
        <v>856</v>
      </c>
      <c r="C510" s="14"/>
      <c r="D510" s="15">
        <f>SUM(D511:D515)</f>
        <v>399.1</v>
      </c>
      <c r="E510" s="15">
        <f>SUM(E511:E515)</f>
        <v>399.1</v>
      </c>
      <c r="F510" s="15">
        <f>SUM(F511:F515)</f>
        <v>387.79999999999995</v>
      </c>
      <c r="G510" s="15">
        <f>SUM(G511:G515)</f>
        <v>11.3</v>
      </c>
      <c r="H510" s="15">
        <f>SUM(H511:H515)</f>
        <v>11.3</v>
      </c>
      <c r="I510" s="148">
        <f>SUM(F510/E510)</f>
        <v>0.97168629416186403</v>
      </c>
      <c r="J510" s="41" t="s">
        <v>857</v>
      </c>
      <c r="K510" s="16" t="s">
        <v>35</v>
      </c>
      <c r="L510" s="17">
        <v>3</v>
      </c>
      <c r="M510" s="176">
        <v>10</v>
      </c>
      <c r="N510" s="41" t="s">
        <v>858</v>
      </c>
      <c r="O510" s="42"/>
      <c r="P510" s="181"/>
    </row>
    <row r="511" spans="1:16" ht="42.75" customHeight="1" x14ac:dyDescent="0.25">
      <c r="A511" s="386"/>
      <c r="B511" s="337"/>
      <c r="C511" s="20" t="s">
        <v>185</v>
      </c>
      <c r="D511" s="21">
        <v>16.2</v>
      </c>
      <c r="E511" s="21">
        <v>16.2</v>
      </c>
      <c r="F511" s="21">
        <v>13.4</v>
      </c>
      <c r="G511" s="21">
        <v>2.8</v>
      </c>
      <c r="H511" s="67">
        <v>2.8</v>
      </c>
      <c r="I511" s="149">
        <f>SUM(F511/E511)</f>
        <v>0.8271604938271605</v>
      </c>
      <c r="J511" s="68" t="s">
        <v>859</v>
      </c>
      <c r="K511" s="22" t="s">
        <v>35</v>
      </c>
      <c r="L511" s="54">
        <v>34000</v>
      </c>
      <c r="M511" s="206">
        <v>33555</v>
      </c>
      <c r="N511" s="43" t="s">
        <v>1634</v>
      </c>
      <c r="O511" s="285" t="s">
        <v>2088</v>
      </c>
    </row>
    <row r="512" spans="1:16" ht="84.75" customHeight="1" x14ac:dyDescent="0.25">
      <c r="A512" s="386"/>
      <c r="B512" s="337"/>
      <c r="C512" s="20" t="s">
        <v>132</v>
      </c>
      <c r="D512" s="21">
        <v>60</v>
      </c>
      <c r="E512" s="21">
        <v>60</v>
      </c>
      <c r="F512" s="21">
        <v>58.3</v>
      </c>
      <c r="G512" s="21">
        <v>1.7</v>
      </c>
      <c r="H512" s="67">
        <v>1.7</v>
      </c>
      <c r="I512" s="149">
        <f t="shared" ref="I512:I520" si="25">SUM(F512/E512)</f>
        <v>0.97166666666666657</v>
      </c>
      <c r="J512" s="360" t="s">
        <v>860</v>
      </c>
      <c r="K512" s="362" t="s">
        <v>35</v>
      </c>
      <c r="L512" s="363">
        <v>1</v>
      </c>
      <c r="M512" s="418">
        <v>1</v>
      </c>
      <c r="N512" s="365" t="s">
        <v>861</v>
      </c>
      <c r="O512" s="355"/>
    </row>
    <row r="513" spans="1:16" x14ac:dyDescent="0.25">
      <c r="A513" s="386"/>
      <c r="B513" s="337"/>
      <c r="C513" s="20" t="s">
        <v>334</v>
      </c>
      <c r="D513" s="21">
        <v>5</v>
      </c>
      <c r="E513" s="21">
        <v>5</v>
      </c>
      <c r="F513" s="21"/>
      <c r="G513" s="21">
        <v>5</v>
      </c>
      <c r="H513" s="67">
        <v>5</v>
      </c>
      <c r="I513" s="149">
        <f t="shared" si="25"/>
        <v>0</v>
      </c>
      <c r="J513" s="372"/>
      <c r="K513" s="340"/>
      <c r="L513" s="343"/>
      <c r="M513" s="346"/>
      <c r="N513" s="337"/>
      <c r="O513" s="334"/>
    </row>
    <row r="514" spans="1:16" x14ac:dyDescent="0.25">
      <c r="A514" s="386"/>
      <c r="B514" s="337"/>
      <c r="C514" s="20" t="s">
        <v>24</v>
      </c>
      <c r="D514" s="21">
        <v>20.399999999999999</v>
      </c>
      <c r="E514" s="21">
        <v>20.399999999999999</v>
      </c>
      <c r="F514" s="21">
        <v>20.399999999999999</v>
      </c>
      <c r="G514" s="21"/>
      <c r="H514" s="67"/>
      <c r="I514" s="149">
        <f t="shared" si="25"/>
        <v>1</v>
      </c>
      <c r="J514" s="372"/>
      <c r="K514" s="340"/>
      <c r="L514" s="343"/>
      <c r="M514" s="346"/>
      <c r="N514" s="337"/>
      <c r="O514" s="334"/>
    </row>
    <row r="515" spans="1:16" ht="15.75" thickBot="1" x14ac:dyDescent="0.3">
      <c r="A515" s="387"/>
      <c r="B515" s="338"/>
      <c r="C515" s="20" t="s">
        <v>43</v>
      </c>
      <c r="D515" s="21">
        <v>297.5</v>
      </c>
      <c r="E515" s="21">
        <v>297.5</v>
      </c>
      <c r="F515" s="21">
        <v>295.7</v>
      </c>
      <c r="G515" s="21">
        <v>1.8</v>
      </c>
      <c r="H515" s="21">
        <v>1.8</v>
      </c>
      <c r="I515" s="79">
        <f t="shared" si="25"/>
        <v>0.99394957983193277</v>
      </c>
      <c r="J515" s="361"/>
      <c r="K515" s="341"/>
      <c r="L515" s="344"/>
      <c r="M515" s="347"/>
      <c r="N515" s="338"/>
      <c r="O515" s="335"/>
    </row>
    <row r="516" spans="1:16" ht="110.25" customHeight="1" x14ac:dyDescent="0.25">
      <c r="A516" s="385" t="s">
        <v>862</v>
      </c>
      <c r="B516" s="336" t="s">
        <v>863</v>
      </c>
      <c r="C516" s="14"/>
      <c r="D516" s="15">
        <f>SUM(D517:D518)</f>
        <v>39.5</v>
      </c>
      <c r="E516" s="15">
        <f>SUM(E517:E518)</f>
        <v>39.5</v>
      </c>
      <c r="F516" s="15">
        <f>SUM(F517:F518)</f>
        <v>39.5</v>
      </c>
      <c r="G516" s="15"/>
      <c r="H516" s="15"/>
      <c r="I516" s="148">
        <f t="shared" si="25"/>
        <v>1</v>
      </c>
      <c r="J516" s="371" t="s">
        <v>864</v>
      </c>
      <c r="K516" s="339" t="s">
        <v>23</v>
      </c>
      <c r="L516" s="342">
        <v>95</v>
      </c>
      <c r="M516" s="348">
        <v>98</v>
      </c>
      <c r="N516" s="336" t="s">
        <v>865</v>
      </c>
      <c r="O516" s="333"/>
      <c r="P516" s="284"/>
    </row>
    <row r="517" spans="1:16" x14ac:dyDescent="0.25">
      <c r="A517" s="386"/>
      <c r="B517" s="337"/>
      <c r="C517" s="20" t="s">
        <v>43</v>
      </c>
      <c r="D517" s="21">
        <v>35.9</v>
      </c>
      <c r="E517" s="21">
        <v>35.9</v>
      </c>
      <c r="F517" s="21">
        <v>35.9</v>
      </c>
      <c r="G517" s="21"/>
      <c r="H517" s="67"/>
      <c r="I517" s="149">
        <f t="shared" si="25"/>
        <v>1</v>
      </c>
      <c r="J517" s="372"/>
      <c r="K517" s="340"/>
      <c r="L517" s="343"/>
      <c r="M517" s="349"/>
      <c r="N517" s="337"/>
      <c r="O517" s="334"/>
    </row>
    <row r="518" spans="1:16" ht="15.75" thickBot="1" x14ac:dyDescent="0.3">
      <c r="A518" s="387"/>
      <c r="B518" s="338"/>
      <c r="C518" s="20" t="s">
        <v>24</v>
      </c>
      <c r="D518" s="21">
        <v>3.6</v>
      </c>
      <c r="E518" s="21">
        <v>3.6</v>
      </c>
      <c r="F518" s="21">
        <v>3.6</v>
      </c>
      <c r="G518" s="21"/>
      <c r="H518" s="21"/>
      <c r="I518" s="79">
        <f t="shared" si="25"/>
        <v>1</v>
      </c>
      <c r="J518" s="361"/>
      <c r="K518" s="341"/>
      <c r="L518" s="344"/>
      <c r="M518" s="350"/>
      <c r="N518" s="338"/>
      <c r="O518" s="335"/>
    </row>
    <row r="519" spans="1:16" ht="39" thickBot="1" x14ac:dyDescent="0.3">
      <c r="A519" s="13" t="s">
        <v>866</v>
      </c>
      <c r="B519" s="37" t="s">
        <v>867</v>
      </c>
      <c r="C519" s="14" t="s">
        <v>43</v>
      </c>
      <c r="D519" s="24">
        <v>3.9</v>
      </c>
      <c r="E519" s="24">
        <v>3.9</v>
      </c>
      <c r="F519" s="24">
        <v>3.9</v>
      </c>
      <c r="G519" s="24"/>
      <c r="H519" s="24"/>
      <c r="I519" s="154">
        <f t="shared" si="25"/>
        <v>1</v>
      </c>
      <c r="J519" s="41" t="s">
        <v>868</v>
      </c>
      <c r="K519" s="16" t="s">
        <v>35</v>
      </c>
      <c r="L519" s="17">
        <v>15</v>
      </c>
      <c r="M519" s="136">
        <v>15</v>
      </c>
      <c r="N519" s="41" t="s">
        <v>869</v>
      </c>
      <c r="O519" s="42"/>
      <c r="P519" s="181"/>
    </row>
    <row r="520" spans="1:16" ht="140.25" x14ac:dyDescent="0.25">
      <c r="A520" s="385" t="s">
        <v>870</v>
      </c>
      <c r="B520" s="336" t="s">
        <v>871</v>
      </c>
      <c r="C520" s="14" t="s">
        <v>43</v>
      </c>
      <c r="D520" s="15">
        <f>SUM(D521:D528)+105</f>
        <v>105</v>
      </c>
      <c r="E520" s="15">
        <f>SUM(E521:E528)+105</f>
        <v>105</v>
      </c>
      <c r="F520" s="15">
        <f>SUM(F521:F528)+105</f>
        <v>105</v>
      </c>
      <c r="G520" s="15"/>
      <c r="H520" s="15"/>
      <c r="I520" s="154">
        <f t="shared" si="25"/>
        <v>1</v>
      </c>
      <c r="J520" s="41" t="s">
        <v>872</v>
      </c>
      <c r="K520" s="16" t="s">
        <v>35</v>
      </c>
      <c r="L520" s="17">
        <v>8</v>
      </c>
      <c r="M520" s="136">
        <v>8</v>
      </c>
      <c r="N520" s="41" t="s">
        <v>873</v>
      </c>
      <c r="O520" s="42"/>
      <c r="P520" s="181"/>
    </row>
    <row r="521" spans="1:16" ht="63.75" x14ac:dyDescent="0.25">
      <c r="A521" s="386"/>
      <c r="B521" s="337"/>
      <c r="C521" s="20"/>
      <c r="D521" s="21"/>
      <c r="E521" s="21"/>
      <c r="F521" s="21"/>
      <c r="G521" s="21"/>
      <c r="H521" s="21"/>
      <c r="I521" s="150"/>
      <c r="J521" s="43" t="s">
        <v>874</v>
      </c>
      <c r="K521" s="22" t="s">
        <v>35</v>
      </c>
      <c r="L521" s="23">
        <v>10</v>
      </c>
      <c r="M521" s="134">
        <v>16</v>
      </c>
      <c r="N521" s="43" t="s">
        <v>875</v>
      </c>
      <c r="O521" s="44"/>
    </row>
    <row r="522" spans="1:16" ht="167.25" customHeight="1" x14ac:dyDescent="0.25">
      <c r="A522" s="386"/>
      <c r="B522" s="337"/>
      <c r="C522" s="20"/>
      <c r="D522" s="21"/>
      <c r="E522" s="21"/>
      <c r="F522" s="21"/>
      <c r="G522" s="21"/>
      <c r="H522" s="21"/>
      <c r="I522" s="150"/>
      <c r="J522" s="43" t="s">
        <v>836</v>
      </c>
      <c r="K522" s="22" t="s">
        <v>35</v>
      </c>
      <c r="L522" s="23">
        <v>30</v>
      </c>
      <c r="M522" s="134">
        <v>76</v>
      </c>
      <c r="N522" s="43" t="s">
        <v>876</v>
      </c>
      <c r="O522" s="44"/>
    </row>
    <row r="523" spans="1:16" ht="105.75" customHeight="1" x14ac:dyDescent="0.25">
      <c r="A523" s="386"/>
      <c r="B523" s="337"/>
      <c r="C523" s="20"/>
      <c r="D523" s="21"/>
      <c r="E523" s="21"/>
      <c r="F523" s="21"/>
      <c r="G523" s="21"/>
      <c r="H523" s="21"/>
      <c r="I523" s="150"/>
      <c r="J523" s="43" t="s">
        <v>877</v>
      </c>
      <c r="K523" s="22" t="s">
        <v>35</v>
      </c>
      <c r="L523" s="23">
        <v>7</v>
      </c>
      <c r="M523" s="134">
        <v>13</v>
      </c>
      <c r="N523" s="43" t="s">
        <v>878</v>
      </c>
      <c r="O523" s="44"/>
    </row>
    <row r="524" spans="1:16" ht="144.75" customHeight="1" x14ac:dyDescent="0.25">
      <c r="A524" s="386"/>
      <c r="B524" s="337"/>
      <c r="C524" s="20"/>
      <c r="D524" s="21"/>
      <c r="E524" s="21"/>
      <c r="F524" s="21"/>
      <c r="G524" s="21"/>
      <c r="H524" s="21"/>
      <c r="I524" s="150"/>
      <c r="J524" s="43" t="s">
        <v>879</v>
      </c>
      <c r="K524" s="22" t="s">
        <v>35</v>
      </c>
      <c r="L524" s="23">
        <v>6</v>
      </c>
      <c r="M524" s="135">
        <v>6</v>
      </c>
      <c r="N524" s="43" t="s">
        <v>1885</v>
      </c>
      <c r="O524" s="44"/>
    </row>
    <row r="525" spans="1:16" ht="63.75" x14ac:dyDescent="0.25">
      <c r="A525" s="386"/>
      <c r="B525" s="337"/>
      <c r="C525" s="20"/>
      <c r="D525" s="21"/>
      <c r="E525" s="21"/>
      <c r="F525" s="21"/>
      <c r="G525" s="21"/>
      <c r="H525" s="21"/>
      <c r="I525" s="150"/>
      <c r="J525" s="43" t="s">
        <v>880</v>
      </c>
      <c r="K525" s="22" t="s">
        <v>35</v>
      </c>
      <c r="L525" s="23">
        <v>1</v>
      </c>
      <c r="M525" s="135">
        <v>1</v>
      </c>
      <c r="N525" s="43" t="s">
        <v>881</v>
      </c>
      <c r="O525" s="44"/>
    </row>
    <row r="526" spans="1:16" ht="51" x14ac:dyDescent="0.25">
      <c r="A526" s="386"/>
      <c r="B526" s="337"/>
      <c r="C526" s="20"/>
      <c r="D526" s="21"/>
      <c r="E526" s="21"/>
      <c r="F526" s="21"/>
      <c r="G526" s="21"/>
      <c r="H526" s="21"/>
      <c r="I526" s="150"/>
      <c r="J526" s="43" t="s">
        <v>882</v>
      </c>
      <c r="K526" s="22" t="s">
        <v>35</v>
      </c>
      <c r="L526" s="23">
        <v>1</v>
      </c>
      <c r="M526" s="135">
        <v>1</v>
      </c>
      <c r="N526" s="43" t="s">
        <v>883</v>
      </c>
      <c r="O526" s="44"/>
    </row>
    <row r="527" spans="1:16" ht="39.75" customHeight="1" x14ac:dyDescent="0.25">
      <c r="A527" s="386"/>
      <c r="B527" s="337"/>
      <c r="C527" s="20"/>
      <c r="D527" s="21"/>
      <c r="E527" s="21"/>
      <c r="F527" s="21"/>
      <c r="G527" s="21"/>
      <c r="H527" s="21"/>
      <c r="I527" s="150"/>
      <c r="J527" s="43" t="s">
        <v>884</v>
      </c>
      <c r="K527" s="22" t="s">
        <v>35</v>
      </c>
      <c r="L527" s="23">
        <v>1</v>
      </c>
      <c r="M527" s="135">
        <v>1</v>
      </c>
      <c r="N527" s="43" t="s">
        <v>885</v>
      </c>
      <c r="O527" s="44"/>
    </row>
    <row r="528" spans="1:16" ht="64.5" thickBot="1" x14ac:dyDescent="0.3">
      <c r="A528" s="387"/>
      <c r="B528" s="338"/>
      <c r="C528" s="20"/>
      <c r="D528" s="21"/>
      <c r="E528" s="21"/>
      <c r="F528" s="21"/>
      <c r="G528" s="21"/>
      <c r="H528" s="21"/>
      <c r="I528" s="150"/>
      <c r="J528" s="43" t="s">
        <v>886</v>
      </c>
      <c r="K528" s="22" t="s">
        <v>35</v>
      </c>
      <c r="L528" s="23">
        <v>2</v>
      </c>
      <c r="M528" s="135">
        <v>2</v>
      </c>
      <c r="N528" s="43" t="s">
        <v>887</v>
      </c>
      <c r="O528" s="44"/>
    </row>
    <row r="529" spans="1:19" ht="63" customHeight="1" x14ac:dyDescent="0.25">
      <c r="A529" s="385" t="s">
        <v>888</v>
      </c>
      <c r="B529" s="336" t="s">
        <v>889</v>
      </c>
      <c r="C529" s="14"/>
      <c r="D529" s="15">
        <f>SUM(D530:D533)</f>
        <v>64.2</v>
      </c>
      <c r="E529" s="15">
        <f>SUM(E530:E533)</f>
        <v>64.2</v>
      </c>
      <c r="F529" s="15">
        <f>SUM(F530:F533)</f>
        <v>61.9</v>
      </c>
      <c r="G529" s="15">
        <f>SUM(G530:G533)</f>
        <v>2.2999999999999998</v>
      </c>
      <c r="H529" s="15">
        <f>SUM(H530:H533)</f>
        <v>2.2999999999999998</v>
      </c>
      <c r="I529" s="151">
        <f>SUM(F529/E529)</f>
        <v>0.96417445482866038</v>
      </c>
      <c r="J529" s="41" t="s">
        <v>890</v>
      </c>
      <c r="K529" s="16" t="s">
        <v>35</v>
      </c>
      <c r="L529" s="17">
        <v>1</v>
      </c>
      <c r="M529" s="215">
        <v>1</v>
      </c>
      <c r="N529" s="124" t="s">
        <v>1906</v>
      </c>
      <c r="O529" s="42"/>
      <c r="P529" s="181"/>
    </row>
    <row r="530" spans="1:19" ht="42" customHeight="1" thickBot="1" x14ac:dyDescent="0.3">
      <c r="A530" s="387"/>
      <c r="B530" s="338"/>
      <c r="C530" s="20"/>
      <c r="D530" s="21"/>
      <c r="E530" s="21"/>
      <c r="F530" s="21"/>
      <c r="G530" s="21"/>
      <c r="H530" s="21"/>
      <c r="I530" s="79"/>
      <c r="J530" s="43" t="s">
        <v>891</v>
      </c>
      <c r="K530" s="22" t="s">
        <v>35</v>
      </c>
      <c r="L530" s="23">
        <v>3</v>
      </c>
      <c r="M530" s="135">
        <v>3</v>
      </c>
      <c r="N530" s="43" t="s">
        <v>892</v>
      </c>
      <c r="O530" s="44"/>
    </row>
    <row r="531" spans="1:19" ht="192.75" customHeight="1" thickBot="1" x14ac:dyDescent="0.3">
      <c r="A531" s="13" t="s">
        <v>893</v>
      </c>
      <c r="B531" s="37" t="s">
        <v>894</v>
      </c>
      <c r="C531" s="14" t="s">
        <v>43</v>
      </c>
      <c r="D531" s="24">
        <v>39.200000000000003</v>
      </c>
      <c r="E531" s="24">
        <v>39.200000000000003</v>
      </c>
      <c r="F531" s="24">
        <v>36.9</v>
      </c>
      <c r="G531" s="24">
        <v>2.2999999999999998</v>
      </c>
      <c r="H531" s="24">
        <v>2.2999999999999998</v>
      </c>
      <c r="I531" s="154">
        <f t="shared" ref="I531:I534" si="26">SUM(F531/E531)</f>
        <v>0.94132653061224481</v>
      </c>
      <c r="J531" s="41" t="s">
        <v>895</v>
      </c>
      <c r="K531" s="16" t="s">
        <v>23</v>
      </c>
      <c r="L531" s="17">
        <v>40</v>
      </c>
      <c r="M531" s="136">
        <v>40</v>
      </c>
      <c r="N531" s="41" t="s">
        <v>896</v>
      </c>
      <c r="O531" s="42"/>
    </row>
    <row r="532" spans="1:19" ht="204.75" customHeight="1" thickBot="1" x14ac:dyDescent="0.3">
      <c r="A532" s="13" t="s">
        <v>897</v>
      </c>
      <c r="B532" s="37" t="s">
        <v>898</v>
      </c>
      <c r="C532" s="14" t="s">
        <v>43</v>
      </c>
      <c r="D532" s="24">
        <v>15</v>
      </c>
      <c r="E532" s="24">
        <v>15</v>
      </c>
      <c r="F532" s="24">
        <v>15</v>
      </c>
      <c r="G532" s="24"/>
      <c r="H532" s="24"/>
      <c r="I532" s="154">
        <f t="shared" si="26"/>
        <v>1</v>
      </c>
      <c r="J532" s="41" t="s">
        <v>899</v>
      </c>
      <c r="K532" s="16" t="s">
        <v>35</v>
      </c>
      <c r="L532" s="17">
        <v>1</v>
      </c>
      <c r="M532" s="136">
        <v>1</v>
      </c>
      <c r="N532" s="41" t="s">
        <v>900</v>
      </c>
      <c r="O532" s="42"/>
    </row>
    <row r="533" spans="1:19" ht="67.5" customHeight="1" thickBot="1" x14ac:dyDescent="0.3">
      <c r="A533" s="13" t="s">
        <v>901</v>
      </c>
      <c r="B533" s="37" t="s">
        <v>902</v>
      </c>
      <c r="C533" s="14" t="s">
        <v>43</v>
      </c>
      <c r="D533" s="24">
        <v>10</v>
      </c>
      <c r="E533" s="24">
        <v>10</v>
      </c>
      <c r="F533" s="24">
        <v>10</v>
      </c>
      <c r="G533" s="24"/>
      <c r="H533" s="24"/>
      <c r="I533" s="154">
        <f t="shared" si="26"/>
        <v>1</v>
      </c>
      <c r="J533" s="41" t="s">
        <v>903</v>
      </c>
      <c r="K533" s="16" t="s">
        <v>35</v>
      </c>
      <c r="L533" s="17">
        <v>1</v>
      </c>
      <c r="M533" s="136">
        <v>1</v>
      </c>
      <c r="N533" s="41" t="s">
        <v>904</v>
      </c>
      <c r="O533" s="42"/>
    </row>
    <row r="534" spans="1:19" ht="181.5" customHeight="1" thickBot="1" x14ac:dyDescent="0.3">
      <c r="A534" s="13" t="s">
        <v>905</v>
      </c>
      <c r="B534" s="37" t="s">
        <v>906</v>
      </c>
      <c r="C534" s="14" t="s">
        <v>43</v>
      </c>
      <c r="D534" s="24">
        <v>45</v>
      </c>
      <c r="E534" s="24">
        <v>45</v>
      </c>
      <c r="F534" s="24">
        <v>45</v>
      </c>
      <c r="G534" s="24"/>
      <c r="H534" s="24"/>
      <c r="I534" s="154">
        <f t="shared" si="26"/>
        <v>1</v>
      </c>
      <c r="J534" s="41" t="s">
        <v>907</v>
      </c>
      <c r="K534" s="16" t="s">
        <v>23</v>
      </c>
      <c r="L534" s="17">
        <v>100</v>
      </c>
      <c r="M534" s="136">
        <v>100</v>
      </c>
      <c r="N534" s="41" t="s">
        <v>908</v>
      </c>
      <c r="O534" s="42"/>
      <c r="P534" s="181"/>
    </row>
    <row r="535" spans="1:19" ht="63.75" x14ac:dyDescent="0.25">
      <c r="A535" s="401" t="s">
        <v>909</v>
      </c>
      <c r="B535" s="404" t="s">
        <v>910</v>
      </c>
      <c r="C535" s="407"/>
      <c r="D535" s="395">
        <f>SUM(D536:D540)</f>
        <v>53</v>
      </c>
      <c r="E535" s="395">
        <f>SUM(E536:E540)</f>
        <v>53</v>
      </c>
      <c r="F535" s="395">
        <f>SUM(F536:F540)</f>
        <v>42.2</v>
      </c>
      <c r="G535" s="395">
        <f>SUM(G536:G540)</f>
        <v>10.8</v>
      </c>
      <c r="H535" s="395">
        <f>SUM(H536:H540)</f>
        <v>10.8</v>
      </c>
      <c r="I535" s="398">
        <f>SUM(F535/E535)</f>
        <v>0.79622641509433967</v>
      </c>
      <c r="J535" s="45" t="s">
        <v>911</v>
      </c>
      <c r="K535" s="12" t="s">
        <v>35</v>
      </c>
      <c r="L535" s="64">
        <v>362000</v>
      </c>
      <c r="M535" s="64">
        <v>69000</v>
      </c>
      <c r="N535" s="45"/>
      <c r="O535" s="52" t="s">
        <v>1635</v>
      </c>
    </row>
    <row r="536" spans="1:19" ht="51" x14ac:dyDescent="0.25">
      <c r="A536" s="402"/>
      <c r="B536" s="405"/>
      <c r="C536" s="408"/>
      <c r="D536" s="396"/>
      <c r="E536" s="396"/>
      <c r="F536" s="396"/>
      <c r="G536" s="396"/>
      <c r="H536" s="396"/>
      <c r="I536" s="399"/>
      <c r="J536" s="55" t="s">
        <v>912</v>
      </c>
      <c r="K536" s="56" t="s">
        <v>35</v>
      </c>
      <c r="L536" s="65">
        <v>24200</v>
      </c>
      <c r="M536" s="65">
        <v>34905</v>
      </c>
      <c r="N536" s="55" t="s">
        <v>913</v>
      </c>
      <c r="O536" s="66"/>
    </row>
    <row r="537" spans="1:19" ht="38.25" x14ac:dyDescent="0.25">
      <c r="A537" s="402"/>
      <c r="B537" s="405"/>
      <c r="C537" s="408"/>
      <c r="D537" s="396"/>
      <c r="E537" s="396"/>
      <c r="F537" s="396"/>
      <c r="G537" s="396"/>
      <c r="H537" s="396"/>
      <c r="I537" s="399"/>
      <c r="J537" s="55" t="s">
        <v>914</v>
      </c>
      <c r="K537" s="56" t="s">
        <v>35</v>
      </c>
      <c r="L537" s="57">
        <v>622</v>
      </c>
      <c r="M537" s="57">
        <v>691</v>
      </c>
      <c r="N537" s="55"/>
      <c r="O537" s="66"/>
    </row>
    <row r="538" spans="1:19" ht="51.75" thickBot="1" x14ac:dyDescent="0.3">
      <c r="A538" s="403"/>
      <c r="B538" s="406"/>
      <c r="C538" s="409"/>
      <c r="D538" s="397"/>
      <c r="E538" s="397"/>
      <c r="F538" s="397"/>
      <c r="G538" s="397"/>
      <c r="H538" s="397"/>
      <c r="I538" s="400"/>
      <c r="J538" s="55" t="s">
        <v>915</v>
      </c>
      <c r="K538" s="56" t="s">
        <v>23</v>
      </c>
      <c r="L538" s="57">
        <v>45</v>
      </c>
      <c r="M538" s="57">
        <v>51.63</v>
      </c>
      <c r="N538" s="55"/>
      <c r="O538" s="66"/>
    </row>
    <row r="539" spans="1:19" ht="142.5" customHeight="1" thickBot="1" x14ac:dyDescent="0.3">
      <c r="A539" s="13" t="s">
        <v>916</v>
      </c>
      <c r="B539" s="37" t="s">
        <v>917</v>
      </c>
      <c r="C539" s="14" t="s">
        <v>43</v>
      </c>
      <c r="D539" s="24">
        <v>5</v>
      </c>
      <c r="E539" s="24">
        <v>5</v>
      </c>
      <c r="F539" s="24">
        <v>5</v>
      </c>
      <c r="G539" s="24"/>
      <c r="H539" s="24"/>
      <c r="I539" s="153">
        <f>SUM(F539/E539)</f>
        <v>1</v>
      </c>
      <c r="J539" s="124" t="s">
        <v>918</v>
      </c>
      <c r="K539" s="299" t="s">
        <v>35</v>
      </c>
      <c r="L539" s="300">
        <v>3</v>
      </c>
      <c r="M539" s="190">
        <v>4</v>
      </c>
      <c r="N539" s="124" t="s">
        <v>2093</v>
      </c>
      <c r="O539" s="42"/>
      <c r="P539" s="284"/>
    </row>
    <row r="540" spans="1:19" ht="102" x14ac:dyDescent="0.25">
      <c r="A540" s="385" t="s">
        <v>919</v>
      </c>
      <c r="B540" s="336" t="s">
        <v>920</v>
      </c>
      <c r="C540" s="14" t="s">
        <v>43</v>
      </c>
      <c r="D540" s="15">
        <f>SUM(D541:D543)+48</f>
        <v>48</v>
      </c>
      <c r="E540" s="15">
        <f>SUM(E541:E543)+48</f>
        <v>48</v>
      </c>
      <c r="F540" s="15">
        <f>SUM(F541:F543)+37.2</f>
        <v>37.200000000000003</v>
      </c>
      <c r="G540" s="15">
        <f>SUM(G541:G543)+10.8</f>
        <v>10.8</v>
      </c>
      <c r="H540" s="15">
        <f>SUM(H541:H543)+10.8</f>
        <v>10.8</v>
      </c>
      <c r="I540" s="153">
        <f>SUM(F540/E540)</f>
        <v>0.77500000000000002</v>
      </c>
      <c r="J540" s="41" t="s">
        <v>921</v>
      </c>
      <c r="K540" s="16" t="s">
        <v>35</v>
      </c>
      <c r="L540" s="17">
        <v>9</v>
      </c>
      <c r="M540" s="176">
        <v>12</v>
      </c>
      <c r="N540" s="41" t="s">
        <v>922</v>
      </c>
      <c r="O540" s="42"/>
      <c r="P540" s="284"/>
    </row>
    <row r="541" spans="1:19" ht="25.5" x14ac:dyDescent="0.25">
      <c r="A541" s="386"/>
      <c r="B541" s="337"/>
      <c r="C541" s="20"/>
      <c r="D541" s="21"/>
      <c r="E541" s="21"/>
      <c r="F541" s="21"/>
      <c r="G541" s="21"/>
      <c r="H541" s="21"/>
      <c r="I541" s="150"/>
      <c r="J541" s="43" t="s">
        <v>923</v>
      </c>
      <c r="K541" s="22" t="s">
        <v>23</v>
      </c>
      <c r="L541" s="23">
        <v>100</v>
      </c>
      <c r="M541" s="135">
        <v>100</v>
      </c>
      <c r="N541" s="43"/>
      <c r="O541" s="44"/>
    </row>
    <row r="542" spans="1:19" ht="51" x14ac:dyDescent="0.25">
      <c r="A542" s="386"/>
      <c r="B542" s="337"/>
      <c r="C542" s="20"/>
      <c r="D542" s="21"/>
      <c r="E542" s="21"/>
      <c r="F542" s="21"/>
      <c r="G542" s="21"/>
      <c r="H542" s="21"/>
      <c r="I542" s="150"/>
      <c r="J542" s="43" t="s">
        <v>924</v>
      </c>
      <c r="K542" s="22" t="s">
        <v>35</v>
      </c>
      <c r="L542" s="23">
        <v>70</v>
      </c>
      <c r="M542" s="140">
        <v>66</v>
      </c>
      <c r="N542" s="43" t="s">
        <v>1887</v>
      </c>
      <c r="O542" s="44" t="s">
        <v>1886</v>
      </c>
    </row>
    <row r="543" spans="1:19" ht="153.75" thickBot="1" x14ac:dyDescent="0.3">
      <c r="A543" s="387"/>
      <c r="B543" s="338"/>
      <c r="C543" s="20"/>
      <c r="D543" s="21"/>
      <c r="E543" s="21"/>
      <c r="F543" s="21"/>
      <c r="G543" s="21"/>
      <c r="H543" s="21"/>
      <c r="I543" s="150"/>
      <c r="J543" s="43" t="s">
        <v>925</v>
      </c>
      <c r="K543" s="22" t="s">
        <v>35</v>
      </c>
      <c r="L543" s="23">
        <v>2</v>
      </c>
      <c r="M543" s="134">
        <v>5</v>
      </c>
      <c r="N543" s="43" t="s">
        <v>1888</v>
      </c>
      <c r="O543" s="44"/>
    </row>
    <row r="544" spans="1:19" ht="16.5" thickBot="1" x14ac:dyDescent="0.3">
      <c r="A544" s="6" t="s">
        <v>926</v>
      </c>
      <c r="B544" s="35" t="s">
        <v>927</v>
      </c>
      <c r="C544" s="7"/>
      <c r="D544" s="8">
        <f>D545+D602+D616</f>
        <v>80600.800000000017</v>
      </c>
      <c r="E544" s="8">
        <f>E545+E602+E616</f>
        <v>80600.800000000017</v>
      </c>
      <c r="F544" s="8">
        <f>F545+F602+F616</f>
        <v>77382.2</v>
      </c>
      <c r="G544" s="8">
        <f>G545+G602+G616</f>
        <v>3218.6000000000004</v>
      </c>
      <c r="H544" s="8">
        <f>H545+H602+H616</f>
        <v>3218.6000000000004</v>
      </c>
      <c r="I544" s="146">
        <f t="shared" ref="I544:I549" si="27">SUM(F544/E544)</f>
        <v>0.96006739387202089</v>
      </c>
      <c r="J544" s="366"/>
      <c r="K544" s="367"/>
      <c r="L544" s="367"/>
      <c r="M544" s="367"/>
      <c r="N544" s="367"/>
      <c r="O544" s="368"/>
      <c r="Q544" s="312"/>
      <c r="R544" s="313" t="s">
        <v>1</v>
      </c>
      <c r="S544" s="314" t="s">
        <v>2106</v>
      </c>
    </row>
    <row r="545" spans="1:19" ht="51.75" thickBot="1" x14ac:dyDescent="0.3">
      <c r="A545" s="9" t="s">
        <v>928</v>
      </c>
      <c r="B545" s="36" t="s">
        <v>929</v>
      </c>
      <c r="C545" s="10"/>
      <c r="D545" s="11">
        <f>D546+D555+D559+D565+D569+D572+D584+D590+D592+D594+D595+D598+0.2</f>
        <v>22381.9</v>
      </c>
      <c r="E545" s="11">
        <f>E546+E555+E559+E565+E569+E572+E584+E590+E592+E594+E595+E598+0.2</f>
        <v>22381.9</v>
      </c>
      <c r="F545" s="11">
        <f>F546+F555+F559+F565+F569+F572+F584+F590+F592+F594+F595+F598+0.1</f>
        <v>21293.100000000002</v>
      </c>
      <c r="G545" s="11">
        <f>G546+G555+G559+G565+G569+G572+G584+G590+G592+G594+G595+G598</f>
        <v>1088.8</v>
      </c>
      <c r="H545" s="11">
        <f>H546+H555+H559+H565+H569+H572+H584+H590+H592+H594+H595+H598</f>
        <v>1088.8</v>
      </c>
      <c r="I545" s="163">
        <f t="shared" si="27"/>
        <v>0.95135354907313507</v>
      </c>
      <c r="J545" s="45" t="s">
        <v>930</v>
      </c>
      <c r="K545" s="12" t="s">
        <v>35</v>
      </c>
      <c r="L545" s="50">
        <v>28</v>
      </c>
      <c r="M545" s="50">
        <v>28</v>
      </c>
      <c r="N545" s="424"/>
      <c r="O545" s="425"/>
      <c r="Q545" s="315"/>
      <c r="R545" s="316" t="s">
        <v>2096</v>
      </c>
      <c r="S545" s="317">
        <v>7</v>
      </c>
    </row>
    <row r="546" spans="1:19" ht="31.5" x14ac:dyDescent="0.25">
      <c r="A546" s="385" t="s">
        <v>931</v>
      </c>
      <c r="B546" s="336" t="s">
        <v>932</v>
      </c>
      <c r="C546" s="14"/>
      <c r="D546" s="15">
        <f>SUM(D547:D554)</f>
        <v>10944</v>
      </c>
      <c r="E546" s="15">
        <f>SUM(E547:E554)</f>
        <v>10944</v>
      </c>
      <c r="F546" s="15">
        <f>SUM(F547:F554)</f>
        <v>10773.199999999999</v>
      </c>
      <c r="G546" s="15">
        <f>SUM(G547:G554)</f>
        <v>170.8</v>
      </c>
      <c r="H546" s="15">
        <f>SUM(H547:H554)</f>
        <v>170.8</v>
      </c>
      <c r="I546" s="148">
        <f t="shared" si="27"/>
        <v>0.98439327485380101</v>
      </c>
      <c r="J546" s="41" t="s">
        <v>933</v>
      </c>
      <c r="K546" s="16" t="s">
        <v>35</v>
      </c>
      <c r="L546" s="17">
        <v>25</v>
      </c>
      <c r="M546" s="136">
        <v>25</v>
      </c>
      <c r="N546" s="41"/>
      <c r="O546" s="42"/>
      <c r="P546" s="181"/>
      <c r="Q546" s="318"/>
      <c r="R546" s="316" t="s">
        <v>2097</v>
      </c>
      <c r="S546" s="317">
        <v>0</v>
      </c>
    </row>
    <row r="547" spans="1:19" ht="31.5" x14ac:dyDescent="0.25">
      <c r="A547" s="386"/>
      <c r="B547" s="337"/>
      <c r="C547" s="20" t="s">
        <v>185</v>
      </c>
      <c r="D547" s="21">
        <v>68</v>
      </c>
      <c r="E547" s="21">
        <v>68</v>
      </c>
      <c r="F547" s="21">
        <v>17.5</v>
      </c>
      <c r="G547" s="21">
        <v>50.5</v>
      </c>
      <c r="H547" s="67">
        <v>50.5</v>
      </c>
      <c r="I547" s="149">
        <f t="shared" si="27"/>
        <v>0.25735294117647056</v>
      </c>
      <c r="J547" s="68" t="s">
        <v>934</v>
      </c>
      <c r="K547" s="22" t="s">
        <v>118</v>
      </c>
      <c r="L547" s="54">
        <v>25000</v>
      </c>
      <c r="M547" s="188">
        <v>25700</v>
      </c>
      <c r="N547" s="43" t="s">
        <v>1889</v>
      </c>
      <c r="O547" s="44"/>
      <c r="Q547" s="319"/>
      <c r="R547" s="316" t="s">
        <v>2098</v>
      </c>
      <c r="S547" s="320">
        <v>9</v>
      </c>
    </row>
    <row r="548" spans="1:19" ht="333" customHeight="1" x14ac:dyDescent="0.25">
      <c r="A548" s="386"/>
      <c r="B548" s="337"/>
      <c r="C548" s="20" t="s">
        <v>935</v>
      </c>
      <c r="D548" s="21">
        <v>416.8</v>
      </c>
      <c r="E548" s="21">
        <v>416.8</v>
      </c>
      <c r="F548" s="21">
        <v>433.8</v>
      </c>
      <c r="G548" s="78">
        <v>-17</v>
      </c>
      <c r="H548" s="217">
        <v>-17</v>
      </c>
      <c r="I548" s="149">
        <f t="shared" si="27"/>
        <v>1.0407869481765835</v>
      </c>
      <c r="J548" s="68" t="s">
        <v>936</v>
      </c>
      <c r="K548" s="22" t="s">
        <v>35</v>
      </c>
      <c r="L548" s="23">
        <v>14</v>
      </c>
      <c r="M548" s="135">
        <v>14</v>
      </c>
      <c r="N548" s="43" t="s">
        <v>937</v>
      </c>
      <c r="O548" s="44"/>
      <c r="Q548" s="321"/>
      <c r="R548" s="316" t="s">
        <v>2099</v>
      </c>
      <c r="S548" s="320">
        <v>5</v>
      </c>
    </row>
    <row r="549" spans="1:19" ht="31.5" x14ac:dyDescent="0.25">
      <c r="A549" s="386"/>
      <c r="B549" s="337"/>
      <c r="C549" s="20" t="s">
        <v>334</v>
      </c>
      <c r="D549" s="21">
        <v>43.2</v>
      </c>
      <c r="E549" s="21">
        <v>43.2</v>
      </c>
      <c r="F549" s="21">
        <v>44.4</v>
      </c>
      <c r="G549" s="78">
        <v>-1.2</v>
      </c>
      <c r="H549" s="218">
        <v>-1.2</v>
      </c>
      <c r="I549" s="79">
        <f t="shared" si="27"/>
        <v>1.0277777777777777</v>
      </c>
      <c r="J549" s="43" t="s">
        <v>938</v>
      </c>
      <c r="K549" s="22" t="s">
        <v>118</v>
      </c>
      <c r="L549" s="23">
        <v>510</v>
      </c>
      <c r="M549" s="135">
        <v>510</v>
      </c>
      <c r="N549" s="43"/>
      <c r="O549" s="44"/>
      <c r="Q549" s="322"/>
      <c r="R549" s="316" t="s">
        <v>2100</v>
      </c>
      <c r="S549" s="320">
        <v>3</v>
      </c>
    </row>
    <row r="550" spans="1:19" ht="89.25" x14ac:dyDescent="0.25">
      <c r="A550" s="386"/>
      <c r="B550" s="337"/>
      <c r="C550" s="20" t="s">
        <v>27</v>
      </c>
      <c r="D550" s="21">
        <v>514.70000000000005</v>
      </c>
      <c r="E550" s="21">
        <v>514.70000000000005</v>
      </c>
      <c r="F550" s="21">
        <v>514.70000000000005</v>
      </c>
      <c r="G550" s="21"/>
      <c r="H550" s="21"/>
      <c r="I550" s="79">
        <f t="shared" ref="I550:I562" si="28">SUM(F550/E550)</f>
        <v>1</v>
      </c>
      <c r="J550" s="43" t="s">
        <v>939</v>
      </c>
      <c r="K550" s="22" t="s">
        <v>35</v>
      </c>
      <c r="L550" s="23">
        <v>6</v>
      </c>
      <c r="M550" s="135">
        <v>6</v>
      </c>
      <c r="N550" s="43" t="s">
        <v>940</v>
      </c>
      <c r="O550" s="44"/>
      <c r="Q550" s="312"/>
      <c r="R550" s="323" t="s">
        <v>2101</v>
      </c>
      <c r="S550" s="320">
        <f>+SUM(S545:S549)</f>
        <v>24</v>
      </c>
    </row>
    <row r="551" spans="1:19" ht="25.5" x14ac:dyDescent="0.25">
      <c r="A551" s="386"/>
      <c r="B551" s="337"/>
      <c r="C551" s="20" t="s">
        <v>43</v>
      </c>
      <c r="D551" s="21">
        <v>7198.9</v>
      </c>
      <c r="E551" s="21">
        <v>7198.9</v>
      </c>
      <c r="F551" s="21">
        <v>7060.4</v>
      </c>
      <c r="G551" s="21">
        <v>138.5</v>
      </c>
      <c r="H551" s="21">
        <v>138.5</v>
      </c>
      <c r="I551" s="79">
        <f t="shared" si="28"/>
        <v>0.98076094958952065</v>
      </c>
      <c r="J551" s="43" t="s">
        <v>941</v>
      </c>
      <c r="K551" s="22" t="s">
        <v>118</v>
      </c>
      <c r="L551" s="23">
        <v>115</v>
      </c>
      <c r="M551" s="140">
        <v>114</v>
      </c>
      <c r="N551" s="43" t="s">
        <v>1890</v>
      </c>
      <c r="O551" s="133" t="s">
        <v>1658</v>
      </c>
    </row>
    <row r="552" spans="1:19" ht="89.25" x14ac:dyDescent="0.25">
      <c r="A552" s="386"/>
      <c r="B552" s="337"/>
      <c r="C552" s="20" t="s">
        <v>200</v>
      </c>
      <c r="D552" s="21">
        <v>1218.5</v>
      </c>
      <c r="E552" s="21">
        <v>1218.5</v>
      </c>
      <c r="F552" s="21">
        <v>1218.5</v>
      </c>
      <c r="G552" s="21"/>
      <c r="H552" s="21"/>
      <c r="I552" s="79">
        <f t="shared" si="28"/>
        <v>1</v>
      </c>
      <c r="J552" s="43" t="s">
        <v>942</v>
      </c>
      <c r="K552" s="22" t="s">
        <v>35</v>
      </c>
      <c r="L552" s="23">
        <v>5</v>
      </c>
      <c r="M552" s="135">
        <v>5</v>
      </c>
      <c r="N552" s="43" t="s">
        <v>943</v>
      </c>
      <c r="O552" s="44"/>
    </row>
    <row r="553" spans="1:19" ht="38.25" x14ac:dyDescent="0.25">
      <c r="A553" s="386"/>
      <c r="B553" s="337"/>
      <c r="C553" s="20" t="s">
        <v>24</v>
      </c>
      <c r="D553" s="21">
        <v>152.4</v>
      </c>
      <c r="E553" s="21">
        <v>152.4</v>
      </c>
      <c r="F553" s="21">
        <v>152.4</v>
      </c>
      <c r="G553" s="21"/>
      <c r="H553" s="21"/>
      <c r="I553" s="79">
        <f t="shared" si="28"/>
        <v>1</v>
      </c>
      <c r="J553" s="43" t="s">
        <v>944</v>
      </c>
      <c r="K553" s="22" t="s">
        <v>118</v>
      </c>
      <c r="L553" s="23">
        <v>510</v>
      </c>
      <c r="M553" s="140">
        <v>491</v>
      </c>
      <c r="N553" s="43" t="s">
        <v>1891</v>
      </c>
      <c r="O553" s="44" t="s">
        <v>1892</v>
      </c>
    </row>
    <row r="554" spans="1:19" ht="29.25" customHeight="1" thickBot="1" x14ac:dyDescent="0.3">
      <c r="A554" s="387"/>
      <c r="B554" s="338"/>
      <c r="C554" s="20" t="s">
        <v>132</v>
      </c>
      <c r="D554" s="21">
        <v>1331.5</v>
      </c>
      <c r="E554" s="21">
        <v>1331.5</v>
      </c>
      <c r="F554" s="21">
        <v>1331.5</v>
      </c>
      <c r="G554" s="21"/>
      <c r="H554" s="21"/>
      <c r="I554" s="80">
        <f t="shared" si="28"/>
        <v>1</v>
      </c>
      <c r="J554" s="43" t="s">
        <v>945</v>
      </c>
      <c r="K554" s="22" t="s">
        <v>35</v>
      </c>
      <c r="L554" s="23">
        <v>8</v>
      </c>
      <c r="M554" s="134">
        <v>11</v>
      </c>
      <c r="N554" s="43" t="s">
        <v>1893</v>
      </c>
      <c r="O554" s="44"/>
    </row>
    <row r="555" spans="1:19" ht="20.25" customHeight="1" x14ac:dyDescent="0.25">
      <c r="A555" s="385" t="s">
        <v>946</v>
      </c>
      <c r="B555" s="336" t="s">
        <v>947</v>
      </c>
      <c r="C555" s="14"/>
      <c r="D555" s="15">
        <f>SUM(D556:D558)</f>
        <v>1007.1</v>
      </c>
      <c r="E555" s="15">
        <f>SUM(E556:E558)</f>
        <v>1007.1</v>
      </c>
      <c r="F555" s="15">
        <f>SUM(F556:F558)</f>
        <v>833.7</v>
      </c>
      <c r="G555" s="15">
        <f>SUM(G556:G558)</f>
        <v>173.4</v>
      </c>
      <c r="H555" s="15">
        <f>SUM(H556:H558)</f>
        <v>173.4</v>
      </c>
      <c r="I555" s="79">
        <f t="shared" si="28"/>
        <v>0.82782246053023534</v>
      </c>
      <c r="J555" s="41" t="s">
        <v>948</v>
      </c>
      <c r="K555" s="16" t="s">
        <v>118</v>
      </c>
      <c r="L555" s="17">
        <v>12</v>
      </c>
      <c r="M555" s="215">
        <v>12</v>
      </c>
      <c r="N555" s="187"/>
      <c r="O555" s="42"/>
      <c r="P555" s="284"/>
    </row>
    <row r="556" spans="1:19" ht="25.5" x14ac:dyDescent="0.25">
      <c r="A556" s="386"/>
      <c r="B556" s="337"/>
      <c r="C556" s="20" t="s">
        <v>935</v>
      </c>
      <c r="D556" s="21">
        <v>192.6</v>
      </c>
      <c r="E556" s="21">
        <v>192.6</v>
      </c>
      <c r="F556" s="21">
        <v>133.1</v>
      </c>
      <c r="G556" s="21">
        <v>59.5</v>
      </c>
      <c r="H556" s="21">
        <v>59.5</v>
      </c>
      <c r="I556" s="79">
        <f t="shared" si="28"/>
        <v>0.69106957424714432</v>
      </c>
      <c r="J556" s="43" t="s">
        <v>949</v>
      </c>
      <c r="K556" s="22" t="s">
        <v>35</v>
      </c>
      <c r="L556" s="23">
        <v>2</v>
      </c>
      <c r="M556" s="135">
        <v>2</v>
      </c>
      <c r="N556" s="43" t="s">
        <v>1894</v>
      </c>
      <c r="O556" s="44"/>
    </row>
    <row r="557" spans="1:19" ht="25.5" x14ac:dyDescent="0.25">
      <c r="A557" s="386"/>
      <c r="B557" s="337"/>
      <c r="C557" s="20" t="s">
        <v>43</v>
      </c>
      <c r="D557" s="21">
        <v>796.5</v>
      </c>
      <c r="E557" s="21">
        <v>796.5</v>
      </c>
      <c r="F557" s="21">
        <v>682.6</v>
      </c>
      <c r="G557" s="21">
        <v>113.9</v>
      </c>
      <c r="H557" s="21">
        <v>113.9</v>
      </c>
      <c r="I557" s="79">
        <f t="shared" si="28"/>
        <v>0.85699937225360956</v>
      </c>
      <c r="J557" s="43" t="s">
        <v>950</v>
      </c>
      <c r="K557" s="22" t="s">
        <v>118</v>
      </c>
      <c r="L557" s="23">
        <v>25</v>
      </c>
      <c r="M557" s="134">
        <v>37</v>
      </c>
      <c r="N557" s="43" t="s">
        <v>1895</v>
      </c>
      <c r="O557" s="44"/>
    </row>
    <row r="558" spans="1:19" ht="15.75" thickBot="1" x14ac:dyDescent="0.3">
      <c r="A558" s="387"/>
      <c r="B558" s="338"/>
      <c r="C558" s="20" t="s">
        <v>24</v>
      </c>
      <c r="D558" s="21">
        <v>18</v>
      </c>
      <c r="E558" s="21">
        <v>18</v>
      </c>
      <c r="F558" s="21">
        <v>18</v>
      </c>
      <c r="G558" s="21"/>
      <c r="H558" s="21"/>
      <c r="I558" s="80">
        <f t="shared" si="28"/>
        <v>1</v>
      </c>
      <c r="J558" s="43" t="s">
        <v>951</v>
      </c>
      <c r="K558" s="22" t="s">
        <v>118</v>
      </c>
      <c r="L558" s="23">
        <v>150</v>
      </c>
      <c r="M558" s="134">
        <v>176</v>
      </c>
      <c r="N558" s="43" t="s">
        <v>1896</v>
      </c>
      <c r="O558" s="44"/>
    </row>
    <row r="559" spans="1:19" ht="142.5" customHeight="1" x14ac:dyDescent="0.25">
      <c r="A559" s="385" t="s">
        <v>952</v>
      </c>
      <c r="B559" s="336" t="s">
        <v>953</v>
      </c>
      <c r="C559" s="14"/>
      <c r="D559" s="15">
        <f>SUM(D560:D564)</f>
        <v>5709.7</v>
      </c>
      <c r="E559" s="15">
        <f>SUM(E560:E564)</f>
        <v>5709.7</v>
      </c>
      <c r="F559" s="15">
        <f>SUM(F560:F564)</f>
        <v>5225.2999999999993</v>
      </c>
      <c r="G559" s="15">
        <f>SUM(G560:G564)</f>
        <v>484.4</v>
      </c>
      <c r="H559" s="15">
        <f>SUM(H560:H564)</f>
        <v>484.4</v>
      </c>
      <c r="I559" s="79">
        <f t="shared" si="28"/>
        <v>0.91516191743874453</v>
      </c>
      <c r="J559" s="41" t="s">
        <v>954</v>
      </c>
      <c r="K559" s="16" t="s">
        <v>35</v>
      </c>
      <c r="L559" s="17">
        <v>5</v>
      </c>
      <c r="M559" s="215">
        <v>5</v>
      </c>
      <c r="N559" s="124" t="s">
        <v>1911</v>
      </c>
      <c r="O559" s="42"/>
      <c r="P559" s="175"/>
    </row>
    <row r="560" spans="1:19" ht="30.75" customHeight="1" x14ac:dyDescent="0.25">
      <c r="A560" s="386"/>
      <c r="B560" s="337"/>
      <c r="C560" s="20" t="s">
        <v>27</v>
      </c>
      <c r="D560" s="21">
        <v>1064.5</v>
      </c>
      <c r="E560" s="21">
        <v>1064.5</v>
      </c>
      <c r="F560" s="21">
        <v>1034.7</v>
      </c>
      <c r="G560" s="21">
        <v>29.8</v>
      </c>
      <c r="H560" s="21">
        <v>29.8</v>
      </c>
      <c r="I560" s="79">
        <f t="shared" si="28"/>
        <v>0.97200563644903715</v>
      </c>
      <c r="J560" s="43" t="s">
        <v>955</v>
      </c>
      <c r="K560" s="22" t="s">
        <v>118</v>
      </c>
      <c r="L560" s="23">
        <v>67</v>
      </c>
      <c r="M560" s="140">
        <v>34</v>
      </c>
      <c r="N560" s="43" t="s">
        <v>1897</v>
      </c>
      <c r="O560" s="44" t="s">
        <v>1898</v>
      </c>
    </row>
    <row r="561" spans="1:16" ht="41.25" customHeight="1" x14ac:dyDescent="0.25">
      <c r="A561" s="386"/>
      <c r="B561" s="337"/>
      <c r="C561" s="20" t="s">
        <v>24</v>
      </c>
      <c r="D561" s="21">
        <v>987</v>
      </c>
      <c r="E561" s="21">
        <v>987</v>
      </c>
      <c r="F561" s="21">
        <v>747.9</v>
      </c>
      <c r="G561" s="21">
        <v>239.1</v>
      </c>
      <c r="H561" s="21">
        <v>239.1</v>
      </c>
      <c r="I561" s="79">
        <f t="shared" si="28"/>
        <v>0.75775075987841944</v>
      </c>
      <c r="J561" s="43" t="s">
        <v>956</v>
      </c>
      <c r="K561" s="22" t="s">
        <v>118</v>
      </c>
      <c r="L561" s="23">
        <v>115</v>
      </c>
      <c r="M561" s="140">
        <v>110</v>
      </c>
      <c r="N561" s="43" t="s">
        <v>1899</v>
      </c>
      <c r="O561" s="44" t="s">
        <v>1900</v>
      </c>
    </row>
    <row r="562" spans="1:16" ht="42.75" customHeight="1" x14ac:dyDescent="0.25">
      <c r="A562" s="386"/>
      <c r="B562" s="337"/>
      <c r="C562" s="20" t="s">
        <v>200</v>
      </c>
      <c r="D562" s="21">
        <v>3658.2</v>
      </c>
      <c r="E562" s="21">
        <v>3658.2</v>
      </c>
      <c r="F562" s="21">
        <v>3442.7</v>
      </c>
      <c r="G562" s="21">
        <v>215.5</v>
      </c>
      <c r="H562" s="21">
        <v>215.5</v>
      </c>
      <c r="I562" s="79">
        <f t="shared" si="28"/>
        <v>0.94109124706139635</v>
      </c>
      <c r="J562" s="43" t="s">
        <v>957</v>
      </c>
      <c r="K562" s="22" t="s">
        <v>118</v>
      </c>
      <c r="L562" s="23">
        <v>350</v>
      </c>
      <c r="M562" s="134">
        <v>355</v>
      </c>
      <c r="N562" s="43" t="s">
        <v>1901</v>
      </c>
      <c r="O562" s="44"/>
    </row>
    <row r="563" spans="1:16" ht="38.25" x14ac:dyDescent="0.25">
      <c r="A563" s="386"/>
      <c r="B563" s="337"/>
      <c r="C563" s="20"/>
      <c r="D563" s="21"/>
      <c r="E563" s="21"/>
      <c r="F563" s="21"/>
      <c r="G563" s="21"/>
      <c r="H563" s="21"/>
      <c r="I563" s="150"/>
      <c r="J563" s="43" t="s">
        <v>958</v>
      </c>
      <c r="K563" s="22" t="s">
        <v>118</v>
      </c>
      <c r="L563" s="23">
        <v>106</v>
      </c>
      <c r="M563" s="140">
        <v>95</v>
      </c>
      <c r="N563" s="43" t="s">
        <v>1902</v>
      </c>
      <c r="O563" s="44" t="s">
        <v>1903</v>
      </c>
    </row>
    <row r="564" spans="1:16" ht="79.5" customHeight="1" thickBot="1" x14ac:dyDescent="0.3">
      <c r="A564" s="387"/>
      <c r="B564" s="338"/>
      <c r="C564" s="20"/>
      <c r="D564" s="21"/>
      <c r="E564" s="21"/>
      <c r="F564" s="21"/>
      <c r="G564" s="21"/>
      <c r="H564" s="21"/>
      <c r="I564" s="150"/>
      <c r="J564" s="43" t="s">
        <v>959</v>
      </c>
      <c r="K564" s="22" t="s">
        <v>118</v>
      </c>
      <c r="L564" s="23">
        <v>500</v>
      </c>
      <c r="M564" s="140">
        <v>445</v>
      </c>
      <c r="N564" s="43" t="s">
        <v>1904</v>
      </c>
      <c r="O564" s="44" t="s">
        <v>1659</v>
      </c>
    </row>
    <row r="565" spans="1:16" ht="68.25" customHeight="1" x14ac:dyDescent="0.25">
      <c r="A565" s="385" t="s">
        <v>960</v>
      </c>
      <c r="B565" s="336" t="s">
        <v>961</v>
      </c>
      <c r="C565" s="14"/>
      <c r="D565" s="15">
        <f>SUM(D566:D568)</f>
        <v>316</v>
      </c>
      <c r="E565" s="15">
        <f>SUM(E566:E568)</f>
        <v>316</v>
      </c>
      <c r="F565" s="15">
        <f>SUM(F566:F568)</f>
        <v>288</v>
      </c>
      <c r="G565" s="15">
        <f>SUM(G566:G568)</f>
        <v>28</v>
      </c>
      <c r="H565" s="15">
        <f>SUM(H566:H568)</f>
        <v>28</v>
      </c>
      <c r="I565" s="151">
        <f>SUM(F565/E565)</f>
        <v>0.91139240506329111</v>
      </c>
      <c r="J565" s="41" t="s">
        <v>962</v>
      </c>
      <c r="K565" s="16" t="s">
        <v>23</v>
      </c>
      <c r="L565" s="17">
        <v>13</v>
      </c>
      <c r="M565" s="176">
        <v>13.6</v>
      </c>
      <c r="N565" s="41" t="s">
        <v>1905</v>
      </c>
      <c r="O565" s="42"/>
      <c r="P565" s="284"/>
    </row>
    <row r="566" spans="1:16" ht="127.5" x14ac:dyDescent="0.25">
      <c r="A566" s="386"/>
      <c r="B566" s="337"/>
      <c r="C566" s="20" t="s">
        <v>43</v>
      </c>
      <c r="D566" s="21">
        <v>33.5</v>
      </c>
      <c r="E566" s="21">
        <v>33.5</v>
      </c>
      <c r="F566" s="21">
        <v>5.5</v>
      </c>
      <c r="G566" s="21">
        <v>28</v>
      </c>
      <c r="H566" s="21">
        <v>28</v>
      </c>
      <c r="I566" s="79">
        <f>SUM(F566/E566)</f>
        <v>0.16417910447761194</v>
      </c>
      <c r="J566" s="43" t="s">
        <v>963</v>
      </c>
      <c r="K566" s="22" t="s">
        <v>35</v>
      </c>
      <c r="L566" s="54">
        <v>2452</v>
      </c>
      <c r="M566" s="212">
        <v>3489</v>
      </c>
      <c r="N566" s="219" t="s">
        <v>1912</v>
      </c>
      <c r="O566" s="44"/>
    </row>
    <row r="567" spans="1:16" ht="68.25" customHeight="1" x14ac:dyDescent="0.25">
      <c r="A567" s="386"/>
      <c r="B567" s="337"/>
      <c r="C567" s="20" t="s">
        <v>200</v>
      </c>
      <c r="D567" s="21">
        <v>282.5</v>
      </c>
      <c r="E567" s="21">
        <v>282.5</v>
      </c>
      <c r="F567" s="21">
        <v>282.5</v>
      </c>
      <c r="G567" s="21"/>
      <c r="H567" s="21"/>
      <c r="I567" s="79">
        <f>SUM(F567/E567)</f>
        <v>1</v>
      </c>
      <c r="J567" s="43" t="s">
        <v>964</v>
      </c>
      <c r="K567" s="22" t="s">
        <v>118</v>
      </c>
      <c r="L567" s="23">
        <v>15</v>
      </c>
      <c r="M567" s="134">
        <v>24</v>
      </c>
      <c r="N567" s="43" t="s">
        <v>1907</v>
      </c>
      <c r="O567" s="44"/>
    </row>
    <row r="568" spans="1:16" ht="165.75" customHeight="1" thickBot="1" x14ac:dyDescent="0.3">
      <c r="A568" s="387"/>
      <c r="B568" s="338"/>
      <c r="C568" s="20"/>
      <c r="D568" s="21"/>
      <c r="E568" s="21"/>
      <c r="F568" s="21"/>
      <c r="G568" s="21"/>
      <c r="H568" s="21"/>
      <c r="I568" s="150"/>
      <c r="J568" s="43" t="s">
        <v>965</v>
      </c>
      <c r="K568" s="22" t="s">
        <v>118</v>
      </c>
      <c r="L568" s="23">
        <v>30</v>
      </c>
      <c r="M568" s="212">
        <v>2242</v>
      </c>
      <c r="N568" s="219" t="s">
        <v>1913</v>
      </c>
      <c r="O568" s="44"/>
    </row>
    <row r="569" spans="1:16" ht="49.5" customHeight="1" x14ac:dyDescent="0.25">
      <c r="A569" s="385" t="s">
        <v>966</v>
      </c>
      <c r="B569" s="336" t="s">
        <v>967</v>
      </c>
      <c r="C569" s="14"/>
      <c r="D569" s="15">
        <f>SUM(D570:D571)</f>
        <v>701.6</v>
      </c>
      <c r="E569" s="15">
        <f>SUM(E570:E571)</f>
        <v>701.6</v>
      </c>
      <c r="F569" s="15">
        <f>SUM(F570:F571)</f>
        <v>677.9</v>
      </c>
      <c r="G569" s="15">
        <f>SUM(G570:G571)</f>
        <v>23.7</v>
      </c>
      <c r="H569" s="15">
        <f>SUM(H570:H571)</f>
        <v>23.7</v>
      </c>
      <c r="I569" s="148">
        <f>SUM(F569/E569)</f>
        <v>0.96622006841505126</v>
      </c>
      <c r="J569" s="371" t="s">
        <v>968</v>
      </c>
      <c r="K569" s="339" t="s">
        <v>23</v>
      </c>
      <c r="L569" s="342">
        <v>75</v>
      </c>
      <c r="M569" s="348">
        <v>77</v>
      </c>
      <c r="N569" s="336" t="s">
        <v>1908</v>
      </c>
      <c r="O569" s="351" t="s">
        <v>1636</v>
      </c>
      <c r="P569" s="284"/>
    </row>
    <row r="570" spans="1:16" x14ac:dyDescent="0.25">
      <c r="A570" s="386"/>
      <c r="B570" s="337"/>
      <c r="C570" s="20" t="s">
        <v>43</v>
      </c>
      <c r="D570" s="21">
        <v>274</v>
      </c>
      <c r="E570" s="21">
        <v>274</v>
      </c>
      <c r="F570" s="21">
        <v>273.5</v>
      </c>
      <c r="G570" s="21">
        <v>0.5</v>
      </c>
      <c r="H570" s="67">
        <v>0.5</v>
      </c>
      <c r="I570" s="149">
        <f t="shared" ref="I570:I574" si="29">SUM(F570/E570)</f>
        <v>0.99817518248175185</v>
      </c>
      <c r="J570" s="372"/>
      <c r="K570" s="340"/>
      <c r="L570" s="343"/>
      <c r="M570" s="349"/>
      <c r="N570" s="337"/>
      <c r="O570" s="352"/>
    </row>
    <row r="571" spans="1:16" ht="15.75" thickBot="1" x14ac:dyDescent="0.3">
      <c r="A571" s="387"/>
      <c r="B571" s="338"/>
      <c r="C571" s="20" t="s">
        <v>27</v>
      </c>
      <c r="D571" s="21">
        <v>427.6</v>
      </c>
      <c r="E571" s="21">
        <v>427.6</v>
      </c>
      <c r="F571" s="21">
        <v>404.4</v>
      </c>
      <c r="G571" s="21">
        <v>23.2</v>
      </c>
      <c r="H571" s="21">
        <v>23.2</v>
      </c>
      <c r="I571" s="79">
        <f t="shared" si="29"/>
        <v>0.9457436856875584</v>
      </c>
      <c r="J571" s="361"/>
      <c r="K571" s="341"/>
      <c r="L571" s="344"/>
      <c r="M571" s="350"/>
      <c r="N571" s="338"/>
      <c r="O571" s="353"/>
    </row>
    <row r="572" spans="1:16" ht="280.5" x14ac:dyDescent="0.25">
      <c r="A572" s="385" t="s">
        <v>969</v>
      </c>
      <c r="B572" s="336" t="s">
        <v>970</v>
      </c>
      <c r="C572" s="14"/>
      <c r="D572" s="15">
        <f>SUM(D573:D583)</f>
        <v>1890</v>
      </c>
      <c r="E572" s="15">
        <f>SUM(E573:E583)</f>
        <v>1890</v>
      </c>
      <c r="F572" s="15">
        <f>SUM(F573:F583)</f>
        <v>1830.1999999999998</v>
      </c>
      <c r="G572" s="15">
        <f>SUM(G573:G583)</f>
        <v>59.8</v>
      </c>
      <c r="H572" s="15">
        <f>SUM(H573:H583)</f>
        <v>59.8</v>
      </c>
      <c r="I572" s="151">
        <f t="shared" si="29"/>
        <v>0.96835978835978831</v>
      </c>
      <c r="J572" s="41" t="s">
        <v>954</v>
      </c>
      <c r="K572" s="16" t="s">
        <v>35</v>
      </c>
      <c r="L572" s="17">
        <v>11</v>
      </c>
      <c r="M572" s="136">
        <v>11</v>
      </c>
      <c r="N572" s="41" t="s">
        <v>971</v>
      </c>
      <c r="O572" s="42"/>
      <c r="P572" s="181"/>
    </row>
    <row r="573" spans="1:16" ht="78.75" customHeight="1" x14ac:dyDescent="0.25">
      <c r="A573" s="386"/>
      <c r="B573" s="337"/>
      <c r="C573" s="20" t="s">
        <v>200</v>
      </c>
      <c r="D573" s="21">
        <v>431.9</v>
      </c>
      <c r="E573" s="21">
        <v>431.9</v>
      </c>
      <c r="F573" s="21">
        <v>423.1</v>
      </c>
      <c r="G573" s="21">
        <v>8.8000000000000007</v>
      </c>
      <c r="H573" s="21">
        <v>8.8000000000000007</v>
      </c>
      <c r="I573" s="79">
        <f t="shared" si="29"/>
        <v>0.97962491317434597</v>
      </c>
      <c r="J573" s="43" t="s">
        <v>972</v>
      </c>
      <c r="K573" s="22" t="s">
        <v>23</v>
      </c>
      <c r="L573" s="23">
        <v>100</v>
      </c>
      <c r="M573" s="135">
        <v>100</v>
      </c>
      <c r="N573" s="43" t="s">
        <v>1914</v>
      </c>
      <c r="O573" s="44"/>
    </row>
    <row r="574" spans="1:16" ht="42.75" customHeight="1" x14ac:dyDescent="0.25">
      <c r="A574" s="386"/>
      <c r="B574" s="337"/>
      <c r="C574" s="20" t="s">
        <v>43</v>
      </c>
      <c r="D574" s="21">
        <v>781</v>
      </c>
      <c r="E574" s="21">
        <v>781</v>
      </c>
      <c r="F574" s="21">
        <v>743</v>
      </c>
      <c r="G574" s="21">
        <v>38</v>
      </c>
      <c r="H574" s="21">
        <v>38</v>
      </c>
      <c r="I574" s="79">
        <f t="shared" si="29"/>
        <v>0.95134443021766968</v>
      </c>
      <c r="J574" s="43" t="s">
        <v>973</v>
      </c>
      <c r="K574" s="22" t="s">
        <v>23</v>
      </c>
      <c r="L574" s="23">
        <v>100</v>
      </c>
      <c r="M574" s="135">
        <v>100</v>
      </c>
      <c r="N574" s="43" t="s">
        <v>2070</v>
      </c>
      <c r="O574" s="44"/>
    </row>
    <row r="575" spans="1:16" ht="204" customHeight="1" x14ac:dyDescent="0.25">
      <c r="A575" s="386"/>
      <c r="B575" s="337"/>
      <c r="C575" s="20" t="s">
        <v>24</v>
      </c>
      <c r="D575" s="21">
        <v>6.7</v>
      </c>
      <c r="E575" s="21">
        <v>6.7</v>
      </c>
      <c r="F575" s="21">
        <v>6.7</v>
      </c>
      <c r="G575" s="21"/>
      <c r="H575" s="21"/>
      <c r="I575" s="79">
        <f>SUM(F575/E575)</f>
        <v>1</v>
      </c>
      <c r="J575" s="43" t="s">
        <v>974</v>
      </c>
      <c r="K575" s="22" t="s">
        <v>23</v>
      </c>
      <c r="L575" s="23">
        <v>100</v>
      </c>
      <c r="M575" s="135">
        <v>100</v>
      </c>
      <c r="N575" s="43" t="s">
        <v>1915</v>
      </c>
      <c r="O575" s="44" t="s">
        <v>1916</v>
      </c>
    </row>
    <row r="576" spans="1:16" ht="78" customHeight="1" x14ac:dyDescent="0.25">
      <c r="A576" s="386"/>
      <c r="B576" s="337"/>
      <c r="C576" s="20" t="s">
        <v>27</v>
      </c>
      <c r="D576" s="21">
        <v>670.4</v>
      </c>
      <c r="E576" s="21">
        <v>670.4</v>
      </c>
      <c r="F576" s="21">
        <v>657.4</v>
      </c>
      <c r="G576" s="21">
        <v>13</v>
      </c>
      <c r="H576" s="21">
        <v>13</v>
      </c>
      <c r="I576" s="79">
        <f>SUM(F576/E576)</f>
        <v>0.98060859188544147</v>
      </c>
      <c r="J576" s="43" t="s">
        <v>975</v>
      </c>
      <c r="K576" s="22" t="s">
        <v>23</v>
      </c>
      <c r="L576" s="23">
        <v>75</v>
      </c>
      <c r="M576" s="134">
        <v>82</v>
      </c>
      <c r="N576" s="43" t="s">
        <v>2071</v>
      </c>
      <c r="O576" s="44"/>
    </row>
    <row r="577" spans="1:16" ht="153" x14ac:dyDescent="0.25">
      <c r="A577" s="386"/>
      <c r="B577" s="337"/>
      <c r="C577" s="20"/>
      <c r="D577" s="21"/>
      <c r="E577" s="21"/>
      <c r="F577" s="21"/>
      <c r="G577" s="21"/>
      <c r="H577" s="21"/>
      <c r="I577" s="150"/>
      <c r="J577" s="43" t="s">
        <v>976</v>
      </c>
      <c r="K577" s="22" t="s">
        <v>118</v>
      </c>
      <c r="L577" s="23">
        <v>47</v>
      </c>
      <c r="M577" s="140">
        <v>42</v>
      </c>
      <c r="N577" s="43" t="s">
        <v>977</v>
      </c>
      <c r="O577" s="44" t="s">
        <v>1660</v>
      </c>
    </row>
    <row r="578" spans="1:16" ht="63.75" x14ac:dyDescent="0.25">
      <c r="A578" s="386"/>
      <c r="B578" s="337"/>
      <c r="C578" s="20"/>
      <c r="D578" s="21"/>
      <c r="E578" s="21"/>
      <c r="F578" s="21"/>
      <c r="G578" s="21"/>
      <c r="H578" s="21"/>
      <c r="I578" s="150"/>
      <c r="J578" s="43" t="s">
        <v>978</v>
      </c>
      <c r="K578" s="22" t="s">
        <v>23</v>
      </c>
      <c r="L578" s="23">
        <v>100</v>
      </c>
      <c r="M578" s="135">
        <v>100</v>
      </c>
      <c r="N578" s="43" t="s">
        <v>1917</v>
      </c>
      <c r="O578" s="44"/>
    </row>
    <row r="579" spans="1:16" ht="66.75" customHeight="1" x14ac:dyDescent="0.25">
      <c r="A579" s="386"/>
      <c r="B579" s="337"/>
      <c r="C579" s="20"/>
      <c r="D579" s="21"/>
      <c r="E579" s="21"/>
      <c r="F579" s="21"/>
      <c r="G579" s="21"/>
      <c r="H579" s="21"/>
      <c r="I579" s="150"/>
      <c r="J579" s="43" t="s">
        <v>979</v>
      </c>
      <c r="K579" s="22" t="s">
        <v>23</v>
      </c>
      <c r="L579" s="23">
        <v>100</v>
      </c>
      <c r="M579" s="135">
        <v>100</v>
      </c>
      <c r="N579" s="43" t="s">
        <v>1918</v>
      </c>
      <c r="O579" s="44"/>
    </row>
    <row r="580" spans="1:16" ht="38.25" x14ac:dyDescent="0.25">
      <c r="A580" s="386"/>
      <c r="B580" s="337"/>
      <c r="C580" s="20"/>
      <c r="D580" s="21"/>
      <c r="E580" s="21"/>
      <c r="F580" s="21"/>
      <c r="G580" s="21"/>
      <c r="H580" s="21"/>
      <c r="I580" s="150"/>
      <c r="J580" s="43" t="s">
        <v>980</v>
      </c>
      <c r="K580" s="22" t="s">
        <v>118</v>
      </c>
      <c r="L580" s="23">
        <v>290</v>
      </c>
      <c r="M580" s="134">
        <v>316</v>
      </c>
      <c r="N580" s="43" t="s">
        <v>1919</v>
      </c>
      <c r="O580" s="44"/>
    </row>
    <row r="581" spans="1:16" ht="76.5" x14ac:dyDescent="0.25">
      <c r="A581" s="386"/>
      <c r="B581" s="337"/>
      <c r="C581" s="20"/>
      <c r="D581" s="21"/>
      <c r="E581" s="21"/>
      <c r="F581" s="21"/>
      <c r="G581" s="21"/>
      <c r="H581" s="21"/>
      <c r="I581" s="150"/>
      <c r="J581" s="43" t="s">
        <v>981</v>
      </c>
      <c r="K581" s="22" t="s">
        <v>23</v>
      </c>
      <c r="L581" s="23">
        <v>15</v>
      </c>
      <c r="M581" s="140">
        <v>14.07</v>
      </c>
      <c r="N581" s="43" t="s">
        <v>1920</v>
      </c>
      <c r="O581" s="44" t="s">
        <v>1661</v>
      </c>
    </row>
    <row r="582" spans="1:16" ht="38.25" x14ac:dyDescent="0.25">
      <c r="A582" s="386"/>
      <c r="B582" s="337"/>
      <c r="C582" s="20"/>
      <c r="D582" s="21"/>
      <c r="E582" s="21"/>
      <c r="F582" s="21"/>
      <c r="G582" s="21"/>
      <c r="H582" s="21"/>
      <c r="I582" s="150"/>
      <c r="J582" s="43" t="s">
        <v>982</v>
      </c>
      <c r="K582" s="22" t="s">
        <v>118</v>
      </c>
      <c r="L582" s="23">
        <v>22</v>
      </c>
      <c r="M582" s="134">
        <v>33</v>
      </c>
      <c r="N582" s="43" t="s">
        <v>1921</v>
      </c>
      <c r="O582" s="44"/>
    </row>
    <row r="583" spans="1:16" ht="54" customHeight="1" thickBot="1" x14ac:dyDescent="0.3">
      <c r="A583" s="387"/>
      <c r="B583" s="338"/>
      <c r="C583" s="20"/>
      <c r="D583" s="21"/>
      <c r="E583" s="21"/>
      <c r="F583" s="21"/>
      <c r="G583" s="21"/>
      <c r="H583" s="21"/>
      <c r="I583" s="150"/>
      <c r="J583" s="43" t="s">
        <v>983</v>
      </c>
      <c r="K583" s="22" t="s">
        <v>35</v>
      </c>
      <c r="L583" s="23">
        <v>11</v>
      </c>
      <c r="M583" s="134">
        <v>14</v>
      </c>
      <c r="N583" s="43" t="s">
        <v>1922</v>
      </c>
      <c r="O583" s="44"/>
    </row>
    <row r="584" spans="1:16" ht="51" x14ac:dyDescent="0.25">
      <c r="A584" s="385" t="s">
        <v>984</v>
      </c>
      <c r="B584" s="336" t="s">
        <v>985</v>
      </c>
      <c r="C584" s="14"/>
      <c r="D584" s="15">
        <f>SUM(D585:D589)</f>
        <v>1312.7</v>
      </c>
      <c r="E584" s="15">
        <f>SUM(E585:E589)</f>
        <v>1312.7</v>
      </c>
      <c r="F584" s="15">
        <f>SUM(F585:F589)</f>
        <v>1288.8</v>
      </c>
      <c r="G584" s="15">
        <f>SUM(G585:G589)</f>
        <v>23.9</v>
      </c>
      <c r="H584" s="15">
        <f>SUM(H585:H589)</f>
        <v>23.9</v>
      </c>
      <c r="I584" s="151">
        <f>SUM(F584/E584)</f>
        <v>0.98179325055229671</v>
      </c>
      <c r="J584" s="41" t="s">
        <v>986</v>
      </c>
      <c r="K584" s="16" t="s">
        <v>35</v>
      </c>
      <c r="L584" s="17">
        <v>165</v>
      </c>
      <c r="M584" s="176">
        <v>174</v>
      </c>
      <c r="N584" s="41" t="s">
        <v>1923</v>
      </c>
      <c r="O584" s="42"/>
      <c r="P584" s="181"/>
    </row>
    <row r="585" spans="1:16" ht="21.75" customHeight="1" x14ac:dyDescent="0.25">
      <c r="A585" s="386"/>
      <c r="B585" s="337"/>
      <c r="C585" s="20" t="s">
        <v>24</v>
      </c>
      <c r="D585" s="21">
        <v>1312.7</v>
      </c>
      <c r="E585" s="21">
        <v>1312.7</v>
      </c>
      <c r="F585" s="21">
        <v>1288.8</v>
      </c>
      <c r="G585" s="21">
        <v>23.9</v>
      </c>
      <c r="H585" s="21">
        <v>23.9</v>
      </c>
      <c r="I585" s="79">
        <f>SUM(F585/E585)</f>
        <v>0.98179325055229671</v>
      </c>
      <c r="J585" s="43" t="s">
        <v>987</v>
      </c>
      <c r="K585" s="22" t="s">
        <v>35</v>
      </c>
      <c r="L585" s="23">
        <v>220</v>
      </c>
      <c r="M585" s="140">
        <v>216</v>
      </c>
      <c r="N585" s="43" t="s">
        <v>1924</v>
      </c>
      <c r="O585" s="44" t="s">
        <v>1925</v>
      </c>
    </row>
    <row r="586" spans="1:16" ht="30" customHeight="1" x14ac:dyDescent="0.25">
      <c r="A586" s="386"/>
      <c r="B586" s="337"/>
      <c r="C586" s="20"/>
      <c r="D586" s="21"/>
      <c r="E586" s="21"/>
      <c r="F586" s="21"/>
      <c r="G586" s="21"/>
      <c r="H586" s="21"/>
      <c r="I586" s="150"/>
      <c r="J586" s="43" t="s">
        <v>988</v>
      </c>
      <c r="K586" s="22" t="s">
        <v>35</v>
      </c>
      <c r="L586" s="23">
        <v>5</v>
      </c>
      <c r="M586" s="135">
        <v>5</v>
      </c>
      <c r="N586" s="43" t="s">
        <v>2069</v>
      </c>
      <c r="O586" s="44"/>
    </row>
    <row r="587" spans="1:16" ht="129" customHeight="1" x14ac:dyDescent="0.25">
      <c r="A587" s="386"/>
      <c r="B587" s="337"/>
      <c r="C587" s="20"/>
      <c r="D587" s="21"/>
      <c r="E587" s="21"/>
      <c r="F587" s="21"/>
      <c r="G587" s="21"/>
      <c r="H587" s="21"/>
      <c r="I587" s="150"/>
      <c r="J587" s="43" t="s">
        <v>989</v>
      </c>
      <c r="K587" s="22" t="s">
        <v>35</v>
      </c>
      <c r="L587" s="23">
        <v>25</v>
      </c>
      <c r="M587" s="140">
        <v>23</v>
      </c>
      <c r="N587" s="43" t="s">
        <v>1927</v>
      </c>
      <c r="O587" s="44" t="s">
        <v>1926</v>
      </c>
    </row>
    <row r="588" spans="1:16" ht="29.25" customHeight="1" x14ac:dyDescent="0.25">
      <c r="A588" s="386"/>
      <c r="B588" s="337"/>
      <c r="C588" s="20"/>
      <c r="D588" s="21"/>
      <c r="E588" s="21"/>
      <c r="F588" s="21"/>
      <c r="G588" s="21"/>
      <c r="H588" s="21"/>
      <c r="I588" s="150"/>
      <c r="J588" s="43" t="s">
        <v>990</v>
      </c>
      <c r="K588" s="22" t="s">
        <v>118</v>
      </c>
      <c r="L588" s="23">
        <v>25</v>
      </c>
      <c r="M588" s="134">
        <v>57</v>
      </c>
      <c r="N588" s="43" t="s">
        <v>1928</v>
      </c>
      <c r="O588" s="44"/>
    </row>
    <row r="589" spans="1:16" ht="77.25" thickBot="1" x14ac:dyDescent="0.3">
      <c r="A589" s="387"/>
      <c r="B589" s="338"/>
      <c r="C589" s="20"/>
      <c r="D589" s="21"/>
      <c r="E589" s="21"/>
      <c r="F589" s="21"/>
      <c r="G589" s="21"/>
      <c r="H589" s="21"/>
      <c r="I589" s="150"/>
      <c r="J589" s="43" t="s">
        <v>991</v>
      </c>
      <c r="K589" s="22" t="s">
        <v>118</v>
      </c>
      <c r="L589" s="23">
        <v>4</v>
      </c>
      <c r="M589" s="138">
        <v>0</v>
      </c>
      <c r="N589" s="43"/>
      <c r="O589" s="44" t="s">
        <v>1637</v>
      </c>
    </row>
    <row r="590" spans="1:16" ht="63.75" x14ac:dyDescent="0.25">
      <c r="A590" s="385" t="s">
        <v>992</v>
      </c>
      <c r="B590" s="336" t="s">
        <v>993</v>
      </c>
      <c r="C590" s="14" t="s">
        <v>43</v>
      </c>
      <c r="D590" s="15">
        <f>SUM(D591:D591)+175</f>
        <v>175</v>
      </c>
      <c r="E590" s="15">
        <f>SUM(E591:E591)+175</f>
        <v>175</v>
      </c>
      <c r="F590" s="15">
        <f>SUM(F591:F591)+115.4</f>
        <v>115.4</v>
      </c>
      <c r="G590" s="15">
        <f>SUM(G591:G591)+59.6</f>
        <v>59.6</v>
      </c>
      <c r="H590" s="15">
        <f>SUM(H591:H591)+59.6</f>
        <v>59.6</v>
      </c>
      <c r="I590" s="154">
        <f>SUM(F590/E590)</f>
        <v>0.65942857142857148</v>
      </c>
      <c r="J590" s="41" t="s">
        <v>994</v>
      </c>
      <c r="K590" s="16" t="s">
        <v>35</v>
      </c>
      <c r="L590" s="17">
        <v>700</v>
      </c>
      <c r="M590" s="143">
        <v>500</v>
      </c>
      <c r="N590" s="41" t="s">
        <v>1929</v>
      </c>
      <c r="O590" s="42" t="s">
        <v>1930</v>
      </c>
      <c r="P590" s="175"/>
    </row>
    <row r="591" spans="1:16" ht="26.25" thickBot="1" x14ac:dyDescent="0.3">
      <c r="A591" s="387"/>
      <c r="B591" s="338"/>
      <c r="C591" s="20"/>
      <c r="D591" s="21"/>
      <c r="E591" s="21"/>
      <c r="F591" s="21"/>
      <c r="G591" s="21"/>
      <c r="H591" s="21"/>
      <c r="I591" s="150"/>
      <c r="J591" s="43" t="s">
        <v>995</v>
      </c>
      <c r="K591" s="22" t="s">
        <v>23</v>
      </c>
      <c r="L591" s="23">
        <v>100</v>
      </c>
      <c r="M591" s="135">
        <v>100</v>
      </c>
      <c r="N591" s="43"/>
      <c r="O591" s="44"/>
    </row>
    <row r="592" spans="1:16" ht="293.25" x14ac:dyDescent="0.25">
      <c r="A592" s="385" t="s">
        <v>996</v>
      </c>
      <c r="B592" s="336" t="s">
        <v>997</v>
      </c>
      <c r="C592" s="14" t="s">
        <v>27</v>
      </c>
      <c r="D592" s="15">
        <f>SUM(D593:D593)+55.4</f>
        <v>55.4</v>
      </c>
      <c r="E592" s="15">
        <f>SUM(E593:E593)+55.4</f>
        <v>55.4</v>
      </c>
      <c r="F592" s="15">
        <f>SUM(F593:F593)+55.4</f>
        <v>55.4</v>
      </c>
      <c r="G592" s="15"/>
      <c r="H592" s="15"/>
      <c r="I592" s="154">
        <f>SUM(F592/E592)</f>
        <v>1</v>
      </c>
      <c r="J592" s="41" t="s">
        <v>998</v>
      </c>
      <c r="K592" s="16" t="s">
        <v>118</v>
      </c>
      <c r="L592" s="53">
        <v>1000</v>
      </c>
      <c r="M592" s="143">
        <v>975</v>
      </c>
      <c r="N592" s="41" t="s">
        <v>1931</v>
      </c>
      <c r="O592" s="42" t="s">
        <v>1662</v>
      </c>
      <c r="P592" s="175"/>
    </row>
    <row r="593" spans="1:16" ht="52.5" customHeight="1" thickBot="1" x14ac:dyDescent="0.3">
      <c r="A593" s="387"/>
      <c r="B593" s="338"/>
      <c r="C593" s="20"/>
      <c r="D593" s="21"/>
      <c r="E593" s="21"/>
      <c r="F593" s="21"/>
      <c r="G593" s="21"/>
      <c r="H593" s="21"/>
      <c r="I593" s="150"/>
      <c r="J593" s="43" t="s">
        <v>999</v>
      </c>
      <c r="K593" s="22" t="s">
        <v>118</v>
      </c>
      <c r="L593" s="23">
        <v>2</v>
      </c>
      <c r="M593" s="135">
        <v>2</v>
      </c>
      <c r="N593" s="43" t="s">
        <v>1932</v>
      </c>
      <c r="O593" s="44"/>
    </row>
    <row r="594" spans="1:16" ht="66" customHeight="1" thickBot="1" x14ac:dyDescent="0.3">
      <c r="A594" s="13" t="s">
        <v>1000</v>
      </c>
      <c r="B594" s="37" t="s">
        <v>1001</v>
      </c>
      <c r="C594" s="14" t="s">
        <v>43</v>
      </c>
      <c r="D594" s="24">
        <v>82.9</v>
      </c>
      <c r="E594" s="24">
        <v>82.9</v>
      </c>
      <c r="F594" s="24">
        <v>50.2</v>
      </c>
      <c r="G594" s="24">
        <v>32.700000000000003</v>
      </c>
      <c r="H594" s="24">
        <v>32.700000000000003</v>
      </c>
      <c r="I594" s="153">
        <f>SUM(F594/E594)</f>
        <v>0.60554885404101322</v>
      </c>
      <c r="J594" s="41" t="s">
        <v>1002</v>
      </c>
      <c r="K594" s="16" t="s">
        <v>35</v>
      </c>
      <c r="L594" s="17">
        <v>1</v>
      </c>
      <c r="M594" s="136">
        <v>1</v>
      </c>
      <c r="N594" s="41" t="s">
        <v>1933</v>
      </c>
      <c r="O594" s="42"/>
      <c r="P594" s="181"/>
    </row>
    <row r="595" spans="1:16" ht="26.25" customHeight="1" x14ac:dyDescent="0.25">
      <c r="A595" s="385" t="s">
        <v>1003</v>
      </c>
      <c r="B595" s="336" t="s">
        <v>1004</v>
      </c>
      <c r="C595" s="14"/>
      <c r="D595" s="15">
        <f>SUM(D596:D597)</f>
        <v>56.300000000000004</v>
      </c>
      <c r="E595" s="15">
        <f>SUM(E596:E597)</f>
        <v>56.300000000000004</v>
      </c>
      <c r="F595" s="15">
        <f>SUM(F596:F597)-0.1</f>
        <v>42.499999999999993</v>
      </c>
      <c r="G595" s="15">
        <f>SUM(G596:G597)+0.1</f>
        <v>13.8</v>
      </c>
      <c r="H595" s="15">
        <f>SUM(H596:H597)+0.1</f>
        <v>13.8</v>
      </c>
      <c r="I595" s="165">
        <f t="shared" ref="I595:I601" si="30">SUM(F595/E595)</f>
        <v>0.75488454706927155</v>
      </c>
      <c r="J595" s="371" t="s">
        <v>1005</v>
      </c>
      <c r="K595" s="339" t="s">
        <v>35</v>
      </c>
      <c r="L595" s="410">
        <v>6200</v>
      </c>
      <c r="M595" s="492">
        <v>6744</v>
      </c>
      <c r="N595" s="336" t="s">
        <v>1934</v>
      </c>
      <c r="O595" s="333"/>
      <c r="P595" s="284"/>
    </row>
    <row r="596" spans="1:16" x14ac:dyDescent="0.25">
      <c r="A596" s="386"/>
      <c r="B596" s="337"/>
      <c r="C596" s="20" t="s">
        <v>29</v>
      </c>
      <c r="D596" s="21">
        <v>50.7</v>
      </c>
      <c r="E596" s="21">
        <v>50.7</v>
      </c>
      <c r="F596" s="21">
        <v>38.299999999999997</v>
      </c>
      <c r="G596" s="21">
        <v>12.4</v>
      </c>
      <c r="H596" s="67">
        <v>12.4</v>
      </c>
      <c r="I596" s="167">
        <f t="shared" si="30"/>
        <v>0.75542406311637067</v>
      </c>
      <c r="J596" s="372"/>
      <c r="K596" s="340"/>
      <c r="L596" s="411"/>
      <c r="M596" s="493"/>
      <c r="N596" s="337"/>
      <c r="O596" s="334"/>
    </row>
    <row r="597" spans="1:16" ht="15.75" thickBot="1" x14ac:dyDescent="0.3">
      <c r="A597" s="387"/>
      <c r="B597" s="338"/>
      <c r="C597" s="20" t="s">
        <v>27</v>
      </c>
      <c r="D597" s="21">
        <v>5.6</v>
      </c>
      <c r="E597" s="21">
        <v>5.6</v>
      </c>
      <c r="F597" s="21">
        <v>4.3</v>
      </c>
      <c r="G597" s="21">
        <v>1.3</v>
      </c>
      <c r="H597" s="21">
        <v>1.3</v>
      </c>
      <c r="I597" s="168">
        <f t="shared" si="30"/>
        <v>0.7678571428571429</v>
      </c>
      <c r="J597" s="361"/>
      <c r="K597" s="341"/>
      <c r="L597" s="412"/>
      <c r="M597" s="494"/>
      <c r="N597" s="338"/>
      <c r="O597" s="335"/>
    </row>
    <row r="598" spans="1:16" ht="117" customHeight="1" x14ac:dyDescent="0.25">
      <c r="A598" s="385" t="s">
        <v>1006</v>
      </c>
      <c r="B598" s="336" t="s">
        <v>1007</v>
      </c>
      <c r="C598" s="14"/>
      <c r="D598" s="15">
        <f>SUM(D599:D601)</f>
        <v>131</v>
      </c>
      <c r="E598" s="15">
        <f>SUM(E599:E601)</f>
        <v>131</v>
      </c>
      <c r="F598" s="15">
        <f>SUM(F599:F601)+0.1</f>
        <v>112.39999999999999</v>
      </c>
      <c r="G598" s="15">
        <f>SUM(G599:G601)</f>
        <v>18.7</v>
      </c>
      <c r="H598" s="15">
        <f>SUM(H599:H601)</f>
        <v>18.7</v>
      </c>
      <c r="I598" s="169">
        <f t="shared" si="30"/>
        <v>0.85801526717557242</v>
      </c>
      <c r="J598" s="41" t="s">
        <v>1008</v>
      </c>
      <c r="K598" s="16" t="s">
        <v>35</v>
      </c>
      <c r="L598" s="17">
        <v>40</v>
      </c>
      <c r="M598" s="143">
        <v>35</v>
      </c>
      <c r="N598" s="41" t="s">
        <v>1935</v>
      </c>
      <c r="O598" s="42" t="s">
        <v>1936</v>
      </c>
      <c r="P598" s="175"/>
    </row>
    <row r="599" spans="1:16" ht="63.75" x14ac:dyDescent="0.25">
      <c r="A599" s="386"/>
      <c r="B599" s="337"/>
      <c r="C599" s="20" t="s">
        <v>43</v>
      </c>
      <c r="D599" s="21">
        <v>40.799999999999997</v>
      </c>
      <c r="E599" s="21">
        <v>40.799999999999997</v>
      </c>
      <c r="F599" s="21">
        <v>40.799999999999997</v>
      </c>
      <c r="G599" s="21"/>
      <c r="H599" s="21"/>
      <c r="I599" s="169">
        <f t="shared" si="30"/>
        <v>1</v>
      </c>
      <c r="J599" s="43" t="s">
        <v>1009</v>
      </c>
      <c r="K599" s="22" t="s">
        <v>35</v>
      </c>
      <c r="L599" s="23">
        <v>120</v>
      </c>
      <c r="M599" s="185">
        <v>56</v>
      </c>
      <c r="N599" s="43" t="s">
        <v>1010</v>
      </c>
      <c r="O599" s="44" t="s">
        <v>1609</v>
      </c>
    </row>
    <row r="600" spans="1:16" ht="39.75" customHeight="1" x14ac:dyDescent="0.25">
      <c r="A600" s="386"/>
      <c r="B600" s="337"/>
      <c r="C600" s="20" t="s">
        <v>27</v>
      </c>
      <c r="D600" s="21">
        <v>13.6</v>
      </c>
      <c r="E600" s="21">
        <v>13.6</v>
      </c>
      <c r="F600" s="21">
        <v>10.7</v>
      </c>
      <c r="G600" s="21">
        <v>2.9</v>
      </c>
      <c r="H600" s="21">
        <v>2.9</v>
      </c>
      <c r="I600" s="169">
        <f t="shared" si="30"/>
        <v>0.78676470588235292</v>
      </c>
      <c r="J600" s="43" t="s">
        <v>1011</v>
      </c>
      <c r="K600" s="22" t="s">
        <v>35</v>
      </c>
      <c r="L600" s="23">
        <v>2</v>
      </c>
      <c r="M600" s="135">
        <v>2</v>
      </c>
      <c r="N600" s="43" t="s">
        <v>2068</v>
      </c>
      <c r="O600" s="44"/>
    </row>
    <row r="601" spans="1:16" ht="107.25" customHeight="1" thickBot="1" x14ac:dyDescent="0.3">
      <c r="A601" s="386"/>
      <c r="B601" s="337"/>
      <c r="C601" s="113" t="s">
        <v>29</v>
      </c>
      <c r="D601" s="114">
        <v>76.599999999999994</v>
      </c>
      <c r="E601" s="114">
        <v>76.599999999999994</v>
      </c>
      <c r="F601" s="114">
        <v>60.8</v>
      </c>
      <c r="G601" s="114">
        <v>15.8</v>
      </c>
      <c r="H601" s="114">
        <v>15.8</v>
      </c>
      <c r="I601" s="170">
        <f t="shared" si="30"/>
        <v>0.79373368146214096</v>
      </c>
      <c r="J601" s="71" t="s">
        <v>1012</v>
      </c>
      <c r="K601" s="75" t="s">
        <v>118</v>
      </c>
      <c r="L601" s="76">
        <v>12</v>
      </c>
      <c r="M601" s="214">
        <v>13</v>
      </c>
      <c r="N601" s="71" t="s">
        <v>1013</v>
      </c>
      <c r="O601" s="44"/>
    </row>
    <row r="602" spans="1:16" ht="21" customHeight="1" x14ac:dyDescent="0.25">
      <c r="A602" s="431" t="s">
        <v>1014</v>
      </c>
      <c r="B602" s="433" t="s">
        <v>1015</v>
      </c>
      <c r="C602" s="435"/>
      <c r="D602" s="426">
        <f>D603+D604+D605+D608+D610+D614+D615</f>
        <v>1467.7</v>
      </c>
      <c r="E602" s="426">
        <f>E603+E604+E605+E608+E610+E614+E615</f>
        <v>1467.7</v>
      </c>
      <c r="F602" s="426">
        <f>F603+F604+F605+F608+F610+F614+F615</f>
        <v>184</v>
      </c>
      <c r="G602" s="426">
        <f>G603+G604+G605+G608+G610+G614+G615</f>
        <v>1283.7</v>
      </c>
      <c r="H602" s="426">
        <f>H603+H604+H605+H608+H610+H614+H615</f>
        <v>1283.7</v>
      </c>
      <c r="I602" s="437">
        <f>SUM(F602/E602)</f>
        <v>0.12536621925461605</v>
      </c>
      <c r="J602" s="102" t="s">
        <v>1016</v>
      </c>
      <c r="K602" s="103" t="s">
        <v>35</v>
      </c>
      <c r="L602" s="104">
        <v>13</v>
      </c>
      <c r="M602" s="104">
        <v>13</v>
      </c>
      <c r="N602" s="526"/>
      <c r="O602" s="527"/>
    </row>
    <row r="603" spans="1:16" ht="25.5" customHeight="1" x14ac:dyDescent="0.25">
      <c r="A603" s="442"/>
      <c r="B603" s="405"/>
      <c r="C603" s="408"/>
      <c r="D603" s="396"/>
      <c r="E603" s="396"/>
      <c r="F603" s="396"/>
      <c r="G603" s="396"/>
      <c r="H603" s="396"/>
      <c r="I603" s="399"/>
      <c r="J603" s="55" t="s">
        <v>1017</v>
      </c>
      <c r="K603" s="56" t="s">
        <v>1018</v>
      </c>
      <c r="L603" s="57">
        <v>7</v>
      </c>
      <c r="M603" s="126">
        <v>7</v>
      </c>
      <c r="N603" s="518"/>
      <c r="O603" s="528"/>
    </row>
    <row r="604" spans="1:16" ht="26.25" thickBot="1" x14ac:dyDescent="0.3">
      <c r="A604" s="432"/>
      <c r="B604" s="434"/>
      <c r="C604" s="436"/>
      <c r="D604" s="427"/>
      <c r="E604" s="427"/>
      <c r="F604" s="427"/>
      <c r="G604" s="427"/>
      <c r="H604" s="427"/>
      <c r="I604" s="438"/>
      <c r="J604" s="108" t="s">
        <v>1019</v>
      </c>
      <c r="K604" s="109" t="s">
        <v>35</v>
      </c>
      <c r="L604" s="110">
        <v>11</v>
      </c>
      <c r="M604" s="110">
        <v>11</v>
      </c>
      <c r="N604" s="529"/>
      <c r="O604" s="530"/>
    </row>
    <row r="605" spans="1:16" ht="29.25" customHeight="1" x14ac:dyDescent="0.25">
      <c r="A605" s="386" t="s">
        <v>1020</v>
      </c>
      <c r="B605" s="337" t="s">
        <v>1021</v>
      </c>
      <c r="C605" s="98"/>
      <c r="D605" s="99">
        <f>SUM(D606:D607)</f>
        <v>653.6</v>
      </c>
      <c r="E605" s="99">
        <f>SUM(E606:E607)</f>
        <v>653.6</v>
      </c>
      <c r="F605" s="99">
        <f>SUM(F606:F607)</f>
        <v>107.7</v>
      </c>
      <c r="G605" s="99">
        <f>SUM(G606:G607)</f>
        <v>545.90000000000009</v>
      </c>
      <c r="H605" s="99">
        <f>SUM(H606:H607)</f>
        <v>545.90000000000009</v>
      </c>
      <c r="I605" s="152">
        <f>SUM(F605/E605)</f>
        <v>0.1647796817625459</v>
      </c>
      <c r="J605" s="486" t="s">
        <v>1022</v>
      </c>
      <c r="K605" s="487" t="s">
        <v>35</v>
      </c>
      <c r="L605" s="356">
        <v>3</v>
      </c>
      <c r="M605" s="357">
        <v>2</v>
      </c>
      <c r="N605" s="390" t="s">
        <v>2067</v>
      </c>
      <c r="O605" s="488" t="s">
        <v>1939</v>
      </c>
      <c r="P605" s="175"/>
    </row>
    <row r="606" spans="1:16" x14ac:dyDescent="0.25">
      <c r="A606" s="386"/>
      <c r="B606" s="337"/>
      <c r="C606" s="20" t="s">
        <v>29</v>
      </c>
      <c r="D606" s="21">
        <v>534.70000000000005</v>
      </c>
      <c r="E606" s="21">
        <v>534.70000000000005</v>
      </c>
      <c r="F606" s="21"/>
      <c r="G606" s="21">
        <v>534.70000000000005</v>
      </c>
      <c r="H606" s="67">
        <v>534.70000000000005</v>
      </c>
      <c r="I606" s="149">
        <f t="shared" ref="I606:I662" si="31">SUM(F606/E606)</f>
        <v>0</v>
      </c>
      <c r="J606" s="372"/>
      <c r="K606" s="340"/>
      <c r="L606" s="343"/>
      <c r="M606" s="358"/>
      <c r="N606" s="337"/>
      <c r="O606" s="352"/>
    </row>
    <row r="607" spans="1:16" ht="15.75" thickBot="1" x14ac:dyDescent="0.3">
      <c r="A607" s="387"/>
      <c r="B607" s="338"/>
      <c r="C607" s="20" t="s">
        <v>43</v>
      </c>
      <c r="D607" s="21">
        <v>118.9</v>
      </c>
      <c r="E607" s="21">
        <v>118.9</v>
      </c>
      <c r="F607" s="21">
        <v>107.7</v>
      </c>
      <c r="G607" s="21">
        <v>11.2</v>
      </c>
      <c r="H607" s="21">
        <v>11.2</v>
      </c>
      <c r="I607" s="79">
        <f t="shared" si="31"/>
        <v>0.90580319596299408</v>
      </c>
      <c r="J607" s="361"/>
      <c r="K607" s="341"/>
      <c r="L607" s="344"/>
      <c r="M607" s="359"/>
      <c r="N607" s="338"/>
      <c r="O607" s="353"/>
    </row>
    <row r="608" spans="1:16" ht="25.5" x14ac:dyDescent="0.25">
      <c r="A608" s="385" t="s">
        <v>1023</v>
      </c>
      <c r="B608" s="336" t="s">
        <v>1024</v>
      </c>
      <c r="C608" s="14" t="s">
        <v>24</v>
      </c>
      <c r="D608" s="15">
        <f>SUM(D609:D609)+265.9</f>
        <v>265.89999999999998</v>
      </c>
      <c r="E608" s="15">
        <f>SUM(E609:E609)+265.9</f>
        <v>265.89999999999998</v>
      </c>
      <c r="F608" s="15">
        <f>SUM(F609:F609)+44.9</f>
        <v>44.9</v>
      </c>
      <c r="G608" s="15">
        <f>SUM(G609:G609)+221</f>
        <v>221</v>
      </c>
      <c r="H608" s="15">
        <f>SUM(H609:H609)+221</f>
        <v>221</v>
      </c>
      <c r="I608" s="151">
        <f t="shared" si="31"/>
        <v>0.16886047386235428</v>
      </c>
      <c r="J608" s="41" t="s">
        <v>1025</v>
      </c>
      <c r="K608" s="16" t="s">
        <v>35</v>
      </c>
      <c r="L608" s="17">
        <v>3</v>
      </c>
      <c r="M608" s="210">
        <v>1</v>
      </c>
      <c r="N608" s="41" t="s">
        <v>1940</v>
      </c>
      <c r="O608" s="42" t="s">
        <v>1941</v>
      </c>
      <c r="P608" s="175"/>
    </row>
    <row r="609" spans="1:16" ht="26.25" thickBot="1" x14ac:dyDescent="0.3">
      <c r="A609" s="387"/>
      <c r="B609" s="338"/>
      <c r="C609" s="20"/>
      <c r="D609" s="21"/>
      <c r="E609" s="21"/>
      <c r="F609" s="21"/>
      <c r="G609" s="21"/>
      <c r="H609" s="21"/>
      <c r="I609" s="79"/>
      <c r="J609" s="43" t="s">
        <v>1026</v>
      </c>
      <c r="K609" s="22" t="s">
        <v>118</v>
      </c>
      <c r="L609" s="23">
        <v>440</v>
      </c>
      <c r="M609" s="134">
        <v>495</v>
      </c>
      <c r="N609" s="43"/>
      <c r="O609" s="44"/>
    </row>
    <row r="610" spans="1:16" ht="21.75" customHeight="1" x14ac:dyDescent="0.25">
      <c r="A610" s="385" t="s">
        <v>1027</v>
      </c>
      <c r="B610" s="336" t="s">
        <v>1028</v>
      </c>
      <c r="C610" s="14"/>
      <c r="D610" s="15">
        <f>SUM(D611:D613)</f>
        <v>540.90000000000009</v>
      </c>
      <c r="E610" s="15">
        <f>SUM(E611:E613)</f>
        <v>540.90000000000009</v>
      </c>
      <c r="F610" s="15">
        <f>SUM(F611:F613)</f>
        <v>31.4</v>
      </c>
      <c r="G610" s="15">
        <f>SUM(G611:G613)</f>
        <v>509.5</v>
      </c>
      <c r="H610" s="15">
        <f>SUM(H611:H613)</f>
        <v>509.5</v>
      </c>
      <c r="I610" s="148">
        <f t="shared" si="31"/>
        <v>5.8051395821778505E-2</v>
      </c>
      <c r="J610" s="371" t="s">
        <v>1029</v>
      </c>
      <c r="K610" s="339" t="s">
        <v>108</v>
      </c>
      <c r="L610" s="342">
        <v>6</v>
      </c>
      <c r="M610" s="369">
        <v>0</v>
      </c>
      <c r="N610" s="330"/>
      <c r="O610" s="351" t="s">
        <v>1942</v>
      </c>
      <c r="P610" s="139"/>
    </row>
    <row r="611" spans="1:16" x14ac:dyDescent="0.25">
      <c r="A611" s="386"/>
      <c r="B611" s="337"/>
      <c r="C611" s="20" t="s">
        <v>29</v>
      </c>
      <c r="D611" s="21">
        <v>303</v>
      </c>
      <c r="E611" s="21">
        <v>303</v>
      </c>
      <c r="F611" s="21"/>
      <c r="G611" s="21">
        <v>303</v>
      </c>
      <c r="H611" s="67">
        <v>303</v>
      </c>
      <c r="I611" s="149">
        <f t="shared" si="31"/>
        <v>0</v>
      </c>
      <c r="J611" s="372"/>
      <c r="K611" s="340"/>
      <c r="L611" s="343"/>
      <c r="M611" s="373"/>
      <c r="N611" s="331"/>
      <c r="O611" s="352"/>
    </row>
    <row r="612" spans="1:16" x14ac:dyDescent="0.25">
      <c r="A612" s="386"/>
      <c r="B612" s="337"/>
      <c r="C612" s="20" t="s">
        <v>43</v>
      </c>
      <c r="D612" s="21">
        <v>53.6</v>
      </c>
      <c r="E612" s="21">
        <v>53.6</v>
      </c>
      <c r="F612" s="21">
        <v>10.6</v>
      </c>
      <c r="G612" s="21">
        <v>43</v>
      </c>
      <c r="H612" s="67">
        <v>43</v>
      </c>
      <c r="I612" s="149">
        <f t="shared" si="31"/>
        <v>0.19776119402985073</v>
      </c>
      <c r="J612" s="372"/>
      <c r="K612" s="340"/>
      <c r="L612" s="343"/>
      <c r="M612" s="373"/>
      <c r="N612" s="331"/>
      <c r="O612" s="352"/>
    </row>
    <row r="613" spans="1:16" ht="15.75" thickBot="1" x14ac:dyDescent="0.3">
      <c r="A613" s="386"/>
      <c r="B613" s="337"/>
      <c r="C613" s="113" t="s">
        <v>24</v>
      </c>
      <c r="D613" s="114">
        <v>184.3</v>
      </c>
      <c r="E613" s="114">
        <v>184.3</v>
      </c>
      <c r="F613" s="114">
        <v>20.8</v>
      </c>
      <c r="G613" s="114">
        <v>163.5</v>
      </c>
      <c r="H613" s="114">
        <v>163.5</v>
      </c>
      <c r="I613" s="152">
        <f t="shared" si="31"/>
        <v>0.11285946825827455</v>
      </c>
      <c r="J613" s="372"/>
      <c r="K613" s="340"/>
      <c r="L613" s="343"/>
      <c r="M613" s="373"/>
      <c r="N613" s="331"/>
      <c r="O613" s="352"/>
    </row>
    <row r="614" spans="1:16" ht="51.75" thickBot="1" x14ac:dyDescent="0.3">
      <c r="A614" s="230" t="s">
        <v>1030</v>
      </c>
      <c r="B614" s="231" t="s">
        <v>1031</v>
      </c>
      <c r="C614" s="232" t="s">
        <v>24</v>
      </c>
      <c r="D614" s="233">
        <v>4.3</v>
      </c>
      <c r="E614" s="233">
        <v>4.3</v>
      </c>
      <c r="F614" s="233"/>
      <c r="G614" s="233">
        <v>4.3</v>
      </c>
      <c r="H614" s="233">
        <v>4.3</v>
      </c>
      <c r="I614" s="158">
        <f t="shared" si="31"/>
        <v>0</v>
      </c>
      <c r="J614" s="234" t="s">
        <v>756</v>
      </c>
      <c r="K614" s="235" t="s">
        <v>35</v>
      </c>
      <c r="L614" s="236">
        <v>1</v>
      </c>
      <c r="M614" s="237">
        <v>0</v>
      </c>
      <c r="N614" s="234"/>
      <c r="O614" s="238" t="s">
        <v>1943</v>
      </c>
      <c r="P614" s="139"/>
    </row>
    <row r="615" spans="1:16" ht="39" thickBot="1" x14ac:dyDescent="0.3">
      <c r="A615" s="230" t="s">
        <v>1032</v>
      </c>
      <c r="B615" s="231" t="s">
        <v>1033</v>
      </c>
      <c r="C615" s="232" t="s">
        <v>24</v>
      </c>
      <c r="D615" s="233">
        <v>3</v>
      </c>
      <c r="E615" s="233">
        <v>3</v>
      </c>
      <c r="F615" s="233"/>
      <c r="G615" s="233">
        <v>3</v>
      </c>
      <c r="H615" s="233">
        <v>3</v>
      </c>
      <c r="I615" s="158">
        <f t="shared" si="31"/>
        <v>0</v>
      </c>
      <c r="J615" s="234" t="s">
        <v>756</v>
      </c>
      <c r="K615" s="235" t="s">
        <v>35</v>
      </c>
      <c r="L615" s="236">
        <v>1</v>
      </c>
      <c r="M615" s="237">
        <v>0</v>
      </c>
      <c r="N615" s="249"/>
      <c r="O615" s="238" t="s">
        <v>1944</v>
      </c>
      <c r="P615" s="139"/>
    </row>
    <row r="616" spans="1:16" ht="39" thickBot="1" x14ac:dyDescent="0.3">
      <c r="A616" s="239" t="s">
        <v>1034</v>
      </c>
      <c r="B616" s="240" t="s">
        <v>1035</v>
      </c>
      <c r="C616" s="241"/>
      <c r="D616" s="242">
        <f>D617+D638+D652+D655+D656+D657+D662-0.1</f>
        <v>56751.200000000012</v>
      </c>
      <c r="E616" s="242">
        <f>E617+E638+E652+E655+E656+E657+E662-0.1</f>
        <v>56751.200000000012</v>
      </c>
      <c r="F616" s="242">
        <f>F617+F638+F652+F655+F656+F657+F662</f>
        <v>55905.1</v>
      </c>
      <c r="G616" s="242">
        <f>G617+G638+G652+G655+G656+G657+G662</f>
        <v>846.10000000000014</v>
      </c>
      <c r="H616" s="242">
        <f>H617+H638+H652+H655+H656+H657+H662</f>
        <v>846.10000000000014</v>
      </c>
      <c r="I616" s="243">
        <f t="shared" si="31"/>
        <v>0.98509106415370928</v>
      </c>
      <c r="J616" s="244" t="s">
        <v>1036</v>
      </c>
      <c r="K616" s="245" t="s">
        <v>23</v>
      </c>
      <c r="L616" s="246">
        <v>15.6</v>
      </c>
      <c r="M616" s="246">
        <v>12.1</v>
      </c>
      <c r="N616" s="247"/>
      <c r="O616" s="248" t="s">
        <v>2007</v>
      </c>
    </row>
    <row r="617" spans="1:16" ht="25.5" x14ac:dyDescent="0.25">
      <c r="A617" s="385" t="s">
        <v>1037</v>
      </c>
      <c r="B617" s="336" t="s">
        <v>1038</v>
      </c>
      <c r="C617" s="14"/>
      <c r="D617" s="15">
        <f>D618+D619+D622+D624+D626+D628+D630+D633+D635+D636+D637</f>
        <v>6175.8</v>
      </c>
      <c r="E617" s="15">
        <f>E618+E619+E622+E624+E626+E628+E630+E633+E635+E636+E637</f>
        <v>6175.8</v>
      </c>
      <c r="F617" s="15">
        <f>F618+F619+F622+F624+F626+F628+F630+F633+F635+F636+F637</f>
        <v>5960.8000000000011</v>
      </c>
      <c r="G617" s="15">
        <f>G618+G619+G622+G624+G626+G628+G630+G633+G635+G636+G637</f>
        <v>214.90000000000003</v>
      </c>
      <c r="H617" s="15">
        <f>H618+H619+H622+H624+H626+H628+H630+H633+H635+H636+H637</f>
        <v>214.90000000000003</v>
      </c>
      <c r="I617" s="151">
        <f t="shared" si="31"/>
        <v>0.9651866964603778</v>
      </c>
      <c r="J617" s="41" t="s">
        <v>1039</v>
      </c>
      <c r="K617" s="16" t="s">
        <v>118</v>
      </c>
      <c r="L617" s="53">
        <v>18500</v>
      </c>
      <c r="M617" s="250">
        <v>14398</v>
      </c>
      <c r="N617" s="41"/>
      <c r="O617" s="117"/>
      <c r="P617" s="175"/>
    </row>
    <row r="618" spans="1:16" ht="15.75" thickBot="1" x14ac:dyDescent="0.3">
      <c r="A618" s="387"/>
      <c r="B618" s="338"/>
      <c r="C618" s="20"/>
      <c r="D618" s="21"/>
      <c r="E618" s="21"/>
      <c r="F618" s="21"/>
      <c r="G618" s="21"/>
      <c r="H618" s="21"/>
      <c r="I618" s="79"/>
      <c r="J618" s="43" t="s">
        <v>1041</v>
      </c>
      <c r="K618" s="22" t="s">
        <v>118</v>
      </c>
      <c r="L618" s="54">
        <v>1350</v>
      </c>
      <c r="M618" s="206">
        <v>1243</v>
      </c>
      <c r="N618" s="43"/>
      <c r="O618" s="85"/>
    </row>
    <row r="619" spans="1:16" x14ac:dyDescent="0.25">
      <c r="A619" s="385" t="s">
        <v>1042</v>
      </c>
      <c r="B619" s="336" t="s">
        <v>1043</v>
      </c>
      <c r="C619" s="14"/>
      <c r="D619" s="15">
        <f>SUM(D620:D621)</f>
        <v>3406.9</v>
      </c>
      <c r="E619" s="15">
        <f>SUM(E620:E621)</f>
        <v>3406.9</v>
      </c>
      <c r="F619" s="15">
        <f>SUM(F620:F621)</f>
        <v>3346</v>
      </c>
      <c r="G619" s="15">
        <f>SUM(G620:G621)</f>
        <v>60.9</v>
      </c>
      <c r="H619" s="15">
        <f>SUM(H620:H621)</f>
        <v>60.9</v>
      </c>
      <c r="I619" s="148">
        <f t="shared" si="31"/>
        <v>0.98212451201972462</v>
      </c>
      <c r="J619" s="371" t="s">
        <v>1044</v>
      </c>
      <c r="K619" s="339" t="s">
        <v>108</v>
      </c>
      <c r="L619" s="410">
        <v>2750</v>
      </c>
      <c r="M619" s="492">
        <v>2778</v>
      </c>
      <c r="N619" s="336" t="s">
        <v>1040</v>
      </c>
      <c r="O619" s="333"/>
    </row>
    <row r="620" spans="1:16" x14ac:dyDescent="0.25">
      <c r="A620" s="386"/>
      <c r="B620" s="337"/>
      <c r="C620" s="20" t="s">
        <v>27</v>
      </c>
      <c r="D620" s="21">
        <v>250</v>
      </c>
      <c r="E620" s="21">
        <v>250</v>
      </c>
      <c r="F620" s="21">
        <v>189.1</v>
      </c>
      <c r="G620" s="21">
        <v>60.9</v>
      </c>
      <c r="H620" s="67">
        <v>60.9</v>
      </c>
      <c r="I620" s="149">
        <f t="shared" si="31"/>
        <v>0.75639999999999996</v>
      </c>
      <c r="J620" s="372"/>
      <c r="K620" s="340"/>
      <c r="L620" s="411"/>
      <c r="M620" s="493"/>
      <c r="N620" s="337"/>
      <c r="O620" s="334"/>
    </row>
    <row r="621" spans="1:16" ht="15.75" thickBot="1" x14ac:dyDescent="0.3">
      <c r="A621" s="387"/>
      <c r="B621" s="338"/>
      <c r="C621" s="20" t="s">
        <v>24</v>
      </c>
      <c r="D621" s="21">
        <v>3156.9</v>
      </c>
      <c r="E621" s="21">
        <v>3156.9</v>
      </c>
      <c r="F621" s="21">
        <v>3156.9</v>
      </c>
      <c r="G621" s="21"/>
      <c r="H621" s="21"/>
      <c r="I621" s="79">
        <f t="shared" si="31"/>
        <v>1</v>
      </c>
      <c r="J621" s="361"/>
      <c r="K621" s="341"/>
      <c r="L621" s="412"/>
      <c r="M621" s="494"/>
      <c r="N621" s="338"/>
      <c r="O621" s="335"/>
    </row>
    <row r="622" spans="1:16" x14ac:dyDescent="0.25">
      <c r="A622" s="385" t="s">
        <v>1045</v>
      </c>
      <c r="B622" s="336" t="s">
        <v>1046</v>
      </c>
      <c r="C622" s="14"/>
      <c r="D622" s="15">
        <f>SUM(D623:D623)</f>
        <v>1306.0999999999999</v>
      </c>
      <c r="E622" s="15">
        <f>SUM(E623:E623)</f>
        <v>1306.0999999999999</v>
      </c>
      <c r="F622" s="15">
        <f>SUM(F623:F623)</f>
        <v>1306</v>
      </c>
      <c r="G622" s="15">
        <f>SUM(G623:G623)</f>
        <v>0.1</v>
      </c>
      <c r="H622" s="15">
        <f>SUM(H623:H623)</f>
        <v>0.1</v>
      </c>
      <c r="I622" s="151">
        <f t="shared" si="31"/>
        <v>0.99992343618405943</v>
      </c>
      <c r="J622" s="336" t="s">
        <v>1044</v>
      </c>
      <c r="K622" s="339" t="s">
        <v>108</v>
      </c>
      <c r="L622" s="410">
        <v>9500</v>
      </c>
      <c r="M622" s="503">
        <v>7301</v>
      </c>
      <c r="N622" s="330"/>
      <c r="O622" s="351" t="s">
        <v>1040</v>
      </c>
    </row>
    <row r="623" spans="1:16" ht="15.75" thickBot="1" x14ac:dyDescent="0.3">
      <c r="A623" s="387"/>
      <c r="B623" s="338"/>
      <c r="C623" s="20" t="s">
        <v>24</v>
      </c>
      <c r="D623" s="21">
        <v>1306.0999999999999</v>
      </c>
      <c r="E623" s="21">
        <v>1306.0999999999999</v>
      </c>
      <c r="F623" s="21">
        <v>1306</v>
      </c>
      <c r="G623" s="21">
        <v>0.1</v>
      </c>
      <c r="H623" s="21">
        <v>0.1</v>
      </c>
      <c r="I623" s="79">
        <f t="shared" si="31"/>
        <v>0.99992343618405943</v>
      </c>
      <c r="J623" s="338"/>
      <c r="K623" s="341"/>
      <c r="L623" s="412"/>
      <c r="M623" s="504"/>
      <c r="N623" s="332"/>
      <c r="O623" s="353"/>
    </row>
    <row r="624" spans="1:16" ht="25.5" customHeight="1" x14ac:dyDescent="0.25">
      <c r="A624" s="385" t="s">
        <v>1047</v>
      </c>
      <c r="B624" s="336" t="s">
        <v>1048</v>
      </c>
      <c r="C624" s="14"/>
      <c r="D624" s="15">
        <f>SUM(D625:D625)</f>
        <v>30</v>
      </c>
      <c r="E624" s="15">
        <f>SUM(E625:E625)</f>
        <v>30</v>
      </c>
      <c r="F624" s="15">
        <f>SUM(F625:F625)</f>
        <v>24.6</v>
      </c>
      <c r="G624" s="15">
        <f>SUM(G625:G625)</f>
        <v>5.4</v>
      </c>
      <c r="H624" s="15">
        <f>SUM(H625:H625)</f>
        <v>5.4</v>
      </c>
      <c r="I624" s="151">
        <f t="shared" si="31"/>
        <v>0.82000000000000006</v>
      </c>
      <c r="J624" s="336" t="s">
        <v>1044</v>
      </c>
      <c r="K624" s="339" t="s">
        <v>108</v>
      </c>
      <c r="L624" s="410">
        <v>4000</v>
      </c>
      <c r="M624" s="498">
        <v>1981</v>
      </c>
      <c r="N624" s="330"/>
      <c r="O624" s="351" t="s">
        <v>1040</v>
      </c>
    </row>
    <row r="625" spans="1:16" ht="15.75" thickBot="1" x14ac:dyDescent="0.3">
      <c r="A625" s="387"/>
      <c r="B625" s="338"/>
      <c r="C625" s="20" t="s">
        <v>24</v>
      </c>
      <c r="D625" s="21">
        <v>30</v>
      </c>
      <c r="E625" s="21">
        <v>30</v>
      </c>
      <c r="F625" s="21">
        <v>24.6</v>
      </c>
      <c r="G625" s="21">
        <v>5.4</v>
      </c>
      <c r="H625" s="21">
        <v>5.4</v>
      </c>
      <c r="I625" s="79">
        <f t="shared" si="31"/>
        <v>0.82000000000000006</v>
      </c>
      <c r="J625" s="338"/>
      <c r="K625" s="341"/>
      <c r="L625" s="412"/>
      <c r="M625" s="500"/>
      <c r="N625" s="332"/>
      <c r="O625" s="353"/>
    </row>
    <row r="626" spans="1:16" x14ac:dyDescent="0.25">
      <c r="A626" s="385" t="s">
        <v>1049</v>
      </c>
      <c r="B626" s="336" t="s">
        <v>1050</v>
      </c>
      <c r="C626" s="14"/>
      <c r="D626" s="15">
        <f>SUM(D627:D627)</f>
        <v>10</v>
      </c>
      <c r="E626" s="15">
        <f>SUM(E627:E627)</f>
        <v>10</v>
      </c>
      <c r="F626" s="15">
        <f>SUM(F627:F627)</f>
        <v>9.3000000000000007</v>
      </c>
      <c r="G626" s="15">
        <f>SUM(G627:G627)</f>
        <v>0.7</v>
      </c>
      <c r="H626" s="15">
        <f>SUM(H627:H627)</f>
        <v>0.7</v>
      </c>
      <c r="I626" s="151">
        <f t="shared" si="31"/>
        <v>0.93</v>
      </c>
      <c r="J626" s="336" t="s">
        <v>1044</v>
      </c>
      <c r="K626" s="339" t="s">
        <v>108</v>
      </c>
      <c r="L626" s="342">
        <v>800</v>
      </c>
      <c r="M626" s="440">
        <v>597</v>
      </c>
      <c r="N626" s="330"/>
      <c r="O626" s="351" t="s">
        <v>1040</v>
      </c>
    </row>
    <row r="627" spans="1:16" ht="15.75" thickBot="1" x14ac:dyDescent="0.3">
      <c r="A627" s="387"/>
      <c r="B627" s="338"/>
      <c r="C627" s="20" t="s">
        <v>24</v>
      </c>
      <c r="D627" s="21">
        <v>10</v>
      </c>
      <c r="E627" s="21">
        <v>10</v>
      </c>
      <c r="F627" s="21">
        <v>9.3000000000000007</v>
      </c>
      <c r="G627" s="21">
        <v>0.7</v>
      </c>
      <c r="H627" s="21">
        <v>0.7</v>
      </c>
      <c r="I627" s="79">
        <f t="shared" si="31"/>
        <v>0.93</v>
      </c>
      <c r="J627" s="338"/>
      <c r="K627" s="341"/>
      <c r="L627" s="344"/>
      <c r="M627" s="359"/>
      <c r="N627" s="332"/>
      <c r="O627" s="353"/>
    </row>
    <row r="628" spans="1:16" ht="63.75" customHeight="1" x14ac:dyDescent="0.25">
      <c r="A628" s="385" t="s">
        <v>1051</v>
      </c>
      <c r="B628" s="336" t="s">
        <v>1052</v>
      </c>
      <c r="C628" s="14"/>
      <c r="D628" s="15">
        <f>SUM(D629:D629)</f>
        <v>120</v>
      </c>
      <c r="E628" s="15">
        <f>SUM(E629:E629)</f>
        <v>120</v>
      </c>
      <c r="F628" s="15">
        <f>SUM(F629:F629)</f>
        <v>120</v>
      </c>
      <c r="G628" s="15"/>
      <c r="H628" s="15"/>
      <c r="I628" s="151">
        <f t="shared" si="31"/>
        <v>1</v>
      </c>
      <c r="J628" s="336" t="s">
        <v>1044</v>
      </c>
      <c r="K628" s="339" t="s">
        <v>108</v>
      </c>
      <c r="L628" s="342">
        <v>400</v>
      </c>
      <c r="M628" s="440">
        <v>277</v>
      </c>
      <c r="N628" s="330"/>
      <c r="O628" s="351" t="s">
        <v>1040</v>
      </c>
    </row>
    <row r="629" spans="1:16" ht="15.75" thickBot="1" x14ac:dyDescent="0.3">
      <c r="A629" s="387"/>
      <c r="B629" s="338"/>
      <c r="C629" s="20" t="s">
        <v>24</v>
      </c>
      <c r="D629" s="21">
        <v>120</v>
      </c>
      <c r="E629" s="21">
        <v>120</v>
      </c>
      <c r="F629" s="21">
        <v>120</v>
      </c>
      <c r="G629" s="21"/>
      <c r="H629" s="21"/>
      <c r="I629" s="79">
        <f t="shared" si="31"/>
        <v>1</v>
      </c>
      <c r="J629" s="338"/>
      <c r="K629" s="341"/>
      <c r="L629" s="344"/>
      <c r="M629" s="359"/>
      <c r="N629" s="332"/>
      <c r="O629" s="353"/>
    </row>
    <row r="630" spans="1:16" x14ac:dyDescent="0.25">
      <c r="A630" s="385" t="s">
        <v>1053</v>
      </c>
      <c r="B630" s="336" t="s">
        <v>1054</v>
      </c>
      <c r="C630" s="14"/>
      <c r="D630" s="15">
        <f>SUM(D631:D632)</f>
        <v>743.80000000000007</v>
      </c>
      <c r="E630" s="15">
        <f>SUM(E631:E632)</f>
        <v>743.80000000000007</v>
      </c>
      <c r="F630" s="15">
        <f>SUM(F631:F632)-0.1</f>
        <v>693.4</v>
      </c>
      <c r="G630" s="15">
        <f>SUM(G631:G632)</f>
        <v>50.3</v>
      </c>
      <c r="H630" s="15">
        <f>SUM(H631:H632)</f>
        <v>50.3</v>
      </c>
      <c r="I630" s="151">
        <f t="shared" si="31"/>
        <v>0.93223984942188753</v>
      </c>
      <c r="J630" s="336" t="s">
        <v>1044</v>
      </c>
      <c r="K630" s="339" t="s">
        <v>108</v>
      </c>
      <c r="L630" s="410">
        <v>1350</v>
      </c>
      <c r="M630" s="503">
        <v>1243</v>
      </c>
      <c r="N630" s="330"/>
      <c r="O630" s="351" t="s">
        <v>1040</v>
      </c>
    </row>
    <row r="631" spans="1:16" x14ac:dyDescent="0.25">
      <c r="A631" s="386"/>
      <c r="B631" s="337"/>
      <c r="C631" s="20" t="s">
        <v>27</v>
      </c>
      <c r="D631" s="21">
        <v>1.2</v>
      </c>
      <c r="E631" s="21">
        <v>1.2</v>
      </c>
      <c r="F631" s="21">
        <v>1.2</v>
      </c>
      <c r="G631" s="21"/>
      <c r="H631" s="21"/>
      <c r="I631" s="171">
        <f t="shared" si="31"/>
        <v>1</v>
      </c>
      <c r="J631" s="337"/>
      <c r="K631" s="340"/>
      <c r="L631" s="411"/>
      <c r="M631" s="516"/>
      <c r="N631" s="331"/>
      <c r="O631" s="352"/>
    </row>
    <row r="632" spans="1:16" ht="15.75" thickBot="1" x14ac:dyDescent="0.3">
      <c r="A632" s="387"/>
      <c r="B632" s="338"/>
      <c r="C632" s="20" t="s">
        <v>200</v>
      </c>
      <c r="D632" s="21">
        <v>742.6</v>
      </c>
      <c r="E632" s="21">
        <v>742.6</v>
      </c>
      <c r="F632" s="21">
        <v>692.3</v>
      </c>
      <c r="G632" s="21">
        <v>50.3</v>
      </c>
      <c r="H632" s="21">
        <v>50.3</v>
      </c>
      <c r="I632" s="79">
        <f t="shared" si="31"/>
        <v>0.93226501481281976</v>
      </c>
      <c r="J632" s="338"/>
      <c r="K632" s="341"/>
      <c r="L632" s="412"/>
      <c r="M632" s="504"/>
      <c r="N632" s="332"/>
      <c r="O632" s="353"/>
    </row>
    <row r="633" spans="1:16" ht="25.5" customHeight="1" x14ac:dyDescent="0.25">
      <c r="A633" s="385" t="s">
        <v>1055</v>
      </c>
      <c r="B633" s="336" t="s">
        <v>1056</v>
      </c>
      <c r="C633" s="14"/>
      <c r="D633" s="15">
        <f>SUM(D634:D634)</f>
        <v>450</v>
      </c>
      <c r="E633" s="15">
        <f>SUM(E634:E634)</f>
        <v>450</v>
      </c>
      <c r="F633" s="15">
        <f>SUM(F634:F634)</f>
        <v>433.1</v>
      </c>
      <c r="G633" s="15">
        <f>SUM(G634:G634)</f>
        <v>16.899999999999999</v>
      </c>
      <c r="H633" s="15">
        <f>SUM(H634:H634)</f>
        <v>16.899999999999999</v>
      </c>
      <c r="I633" s="151">
        <f t="shared" si="31"/>
        <v>0.96244444444444455</v>
      </c>
      <c r="J633" s="336" t="s">
        <v>1044</v>
      </c>
      <c r="K633" s="339" t="s">
        <v>108</v>
      </c>
      <c r="L633" s="410">
        <v>1200</v>
      </c>
      <c r="M633" s="492">
        <v>1464</v>
      </c>
      <c r="N633" s="336" t="s">
        <v>1040</v>
      </c>
      <c r="O633" s="333"/>
    </row>
    <row r="634" spans="1:16" ht="15.75" thickBot="1" x14ac:dyDescent="0.3">
      <c r="A634" s="387"/>
      <c r="B634" s="338"/>
      <c r="C634" s="20" t="s">
        <v>24</v>
      </c>
      <c r="D634" s="21">
        <v>450</v>
      </c>
      <c r="E634" s="21">
        <v>450</v>
      </c>
      <c r="F634" s="21">
        <v>433.1</v>
      </c>
      <c r="G634" s="21">
        <v>16.899999999999999</v>
      </c>
      <c r="H634" s="21">
        <v>16.899999999999999</v>
      </c>
      <c r="I634" s="79">
        <f t="shared" si="31"/>
        <v>0.96244444444444455</v>
      </c>
      <c r="J634" s="338"/>
      <c r="K634" s="341"/>
      <c r="L634" s="412"/>
      <c r="M634" s="494"/>
      <c r="N634" s="338"/>
      <c r="O634" s="335"/>
    </row>
    <row r="635" spans="1:16" ht="15.75" thickBot="1" x14ac:dyDescent="0.3">
      <c r="A635" s="13" t="s">
        <v>1057</v>
      </c>
      <c r="B635" s="37" t="s">
        <v>1058</v>
      </c>
      <c r="C635" s="14" t="s">
        <v>200</v>
      </c>
      <c r="D635" s="24">
        <v>39</v>
      </c>
      <c r="E635" s="24">
        <v>39</v>
      </c>
      <c r="F635" s="24">
        <v>16.600000000000001</v>
      </c>
      <c r="G635" s="24">
        <v>22.4</v>
      </c>
      <c r="H635" s="24">
        <v>22.4</v>
      </c>
      <c r="I635" s="154">
        <f t="shared" si="31"/>
        <v>0.42564102564102568</v>
      </c>
      <c r="J635" s="41" t="s">
        <v>1044</v>
      </c>
      <c r="K635" s="16" t="s">
        <v>108</v>
      </c>
      <c r="L635" s="17">
        <v>7</v>
      </c>
      <c r="M635" s="143">
        <v>6</v>
      </c>
      <c r="N635" s="41"/>
      <c r="O635" s="42" t="s">
        <v>1040</v>
      </c>
    </row>
    <row r="636" spans="1:16" ht="39" thickBot="1" x14ac:dyDescent="0.3">
      <c r="A636" s="13" t="s">
        <v>1059</v>
      </c>
      <c r="B636" s="37" t="s">
        <v>1060</v>
      </c>
      <c r="C636" s="14"/>
      <c r="D636" s="24"/>
      <c r="E636" s="24"/>
      <c r="F636" s="24"/>
      <c r="G636" s="24"/>
      <c r="H636" s="24"/>
      <c r="I636" s="154"/>
      <c r="J636" s="41" t="s">
        <v>1044</v>
      </c>
      <c r="K636" s="16" t="s">
        <v>108</v>
      </c>
      <c r="L636" s="17">
        <v>1</v>
      </c>
      <c r="M636" s="137">
        <v>0</v>
      </c>
      <c r="N636" s="41"/>
      <c r="O636" s="42" t="s">
        <v>1040</v>
      </c>
    </row>
    <row r="637" spans="1:16" ht="102.75" thickBot="1" x14ac:dyDescent="0.3">
      <c r="A637" s="13" t="s">
        <v>1061</v>
      </c>
      <c r="B637" s="37" t="s">
        <v>1062</v>
      </c>
      <c r="C637" s="14" t="s">
        <v>27</v>
      </c>
      <c r="D637" s="24">
        <v>70</v>
      </c>
      <c r="E637" s="24">
        <v>70</v>
      </c>
      <c r="F637" s="24">
        <v>11.8</v>
      </c>
      <c r="G637" s="24">
        <v>58.2</v>
      </c>
      <c r="H637" s="24">
        <v>58.2</v>
      </c>
      <c r="I637" s="154">
        <f t="shared" si="31"/>
        <v>0.16857142857142859</v>
      </c>
      <c r="J637" s="41" t="s">
        <v>1044</v>
      </c>
      <c r="K637" s="16" t="s">
        <v>108</v>
      </c>
      <c r="L637" s="17">
        <v>50</v>
      </c>
      <c r="M637" s="143">
        <v>27</v>
      </c>
      <c r="N637" s="41"/>
      <c r="O637" s="42" t="s">
        <v>1040</v>
      </c>
    </row>
    <row r="638" spans="1:16" ht="15.75" thickBot="1" x14ac:dyDescent="0.3">
      <c r="A638" s="13" t="s">
        <v>1063</v>
      </c>
      <c r="B638" s="37" t="s">
        <v>1064</v>
      </c>
      <c r="C638" s="14"/>
      <c r="D638" s="15">
        <f>SUM(D639:D651)+0.1</f>
        <v>34479.000000000007</v>
      </c>
      <c r="E638" s="15">
        <f>SUM(E639:E651)+0.1</f>
        <v>34479.000000000007</v>
      </c>
      <c r="F638" s="15">
        <f>SUM(F639:F651)-0.1</f>
        <v>34193.699999999997</v>
      </c>
      <c r="G638" s="15">
        <f>SUM(G639:G651)+0.1</f>
        <v>285.30000000000007</v>
      </c>
      <c r="H638" s="15">
        <f>SUM(H639:H651)+0.1</f>
        <v>285.30000000000007</v>
      </c>
      <c r="I638" s="154">
        <f t="shared" si="31"/>
        <v>0.99172539806838911</v>
      </c>
      <c r="J638" s="41" t="s">
        <v>1044</v>
      </c>
      <c r="K638" s="16" t="s">
        <v>118</v>
      </c>
      <c r="L638" s="53">
        <v>21500</v>
      </c>
      <c r="M638" s="250">
        <v>21036</v>
      </c>
      <c r="N638" s="41"/>
      <c r="O638" s="42" t="s">
        <v>1040</v>
      </c>
      <c r="P638" s="175"/>
    </row>
    <row r="639" spans="1:16" ht="26.25" thickBot="1" x14ac:dyDescent="0.3">
      <c r="A639" s="13" t="s">
        <v>1065</v>
      </c>
      <c r="B639" s="37" t="s">
        <v>1066</v>
      </c>
      <c r="C639" s="14" t="s">
        <v>334</v>
      </c>
      <c r="D639" s="24">
        <v>438</v>
      </c>
      <c r="E639" s="24">
        <v>438</v>
      </c>
      <c r="F639" s="24">
        <v>430.4</v>
      </c>
      <c r="G639" s="24">
        <v>7.6</v>
      </c>
      <c r="H639" s="24">
        <v>7.6</v>
      </c>
      <c r="I639" s="154">
        <f t="shared" si="31"/>
        <v>0.98264840182648394</v>
      </c>
      <c r="J639" s="41" t="s">
        <v>1044</v>
      </c>
      <c r="K639" s="16" t="s">
        <v>108</v>
      </c>
      <c r="L639" s="53">
        <v>650</v>
      </c>
      <c r="M639" s="250">
        <v>571</v>
      </c>
      <c r="N639" s="41"/>
      <c r="O639" s="42" t="s">
        <v>1040</v>
      </c>
    </row>
    <row r="640" spans="1:16" ht="15.75" thickBot="1" x14ac:dyDescent="0.3">
      <c r="A640" s="13" t="s">
        <v>1067</v>
      </c>
      <c r="B640" s="37" t="s">
        <v>1068</v>
      </c>
      <c r="C640" s="14" t="s">
        <v>334</v>
      </c>
      <c r="D640" s="24">
        <v>30988.400000000001</v>
      </c>
      <c r="E640" s="24">
        <v>30988.400000000001</v>
      </c>
      <c r="F640" s="24">
        <v>30878.6</v>
      </c>
      <c r="G640" s="24">
        <v>109.8</v>
      </c>
      <c r="H640" s="24">
        <v>109.8</v>
      </c>
      <c r="I640" s="154">
        <f t="shared" si="31"/>
        <v>0.9964567386505917</v>
      </c>
      <c r="J640" s="41" t="s">
        <v>1044</v>
      </c>
      <c r="K640" s="16" t="s">
        <v>108</v>
      </c>
      <c r="L640" s="53">
        <v>19500</v>
      </c>
      <c r="M640" s="183">
        <v>19513</v>
      </c>
      <c r="N640" s="41" t="s">
        <v>1040</v>
      </c>
      <c r="O640" s="42"/>
    </row>
    <row r="641" spans="1:16" ht="26.25" thickBot="1" x14ac:dyDescent="0.3">
      <c r="A641" s="13" t="s">
        <v>1069</v>
      </c>
      <c r="B641" s="37" t="s">
        <v>1070</v>
      </c>
      <c r="C641" s="14" t="s">
        <v>334</v>
      </c>
      <c r="D641" s="24">
        <v>2.4</v>
      </c>
      <c r="E641" s="24">
        <v>2.4</v>
      </c>
      <c r="F641" s="24"/>
      <c r="G641" s="24">
        <v>2.4</v>
      </c>
      <c r="H641" s="24">
        <v>2.4</v>
      </c>
      <c r="I641" s="154">
        <f t="shared" si="31"/>
        <v>0</v>
      </c>
      <c r="J641" s="41" t="s">
        <v>1044</v>
      </c>
      <c r="K641" s="16" t="s">
        <v>108</v>
      </c>
      <c r="L641" s="17">
        <v>1</v>
      </c>
      <c r="M641" s="137">
        <v>0</v>
      </c>
      <c r="N641" s="41"/>
      <c r="O641" s="42" t="s">
        <v>1040</v>
      </c>
    </row>
    <row r="642" spans="1:16" ht="26.25" thickBot="1" x14ac:dyDescent="0.3">
      <c r="A642" s="13" t="s">
        <v>1071</v>
      </c>
      <c r="B642" s="37" t="s">
        <v>1072</v>
      </c>
      <c r="C642" s="14" t="s">
        <v>334</v>
      </c>
      <c r="D642" s="24">
        <v>46</v>
      </c>
      <c r="E642" s="24">
        <v>46</v>
      </c>
      <c r="F642" s="24">
        <v>34</v>
      </c>
      <c r="G642" s="24">
        <v>12</v>
      </c>
      <c r="H642" s="24">
        <v>12</v>
      </c>
      <c r="I642" s="154">
        <f t="shared" si="31"/>
        <v>0.73913043478260865</v>
      </c>
      <c r="J642" s="41" t="s">
        <v>1044</v>
      </c>
      <c r="K642" s="16" t="s">
        <v>108</v>
      </c>
      <c r="L642" s="17">
        <v>150</v>
      </c>
      <c r="M642" s="143">
        <v>78</v>
      </c>
      <c r="N642" s="41"/>
      <c r="O642" s="42" t="s">
        <v>1040</v>
      </c>
    </row>
    <row r="643" spans="1:16" ht="26.25" thickBot="1" x14ac:dyDescent="0.3">
      <c r="A643" s="13" t="s">
        <v>1073</v>
      </c>
      <c r="B643" s="37" t="s">
        <v>1074</v>
      </c>
      <c r="C643" s="14" t="s">
        <v>334</v>
      </c>
      <c r="D643" s="24">
        <v>1543</v>
      </c>
      <c r="E643" s="24">
        <v>1543</v>
      </c>
      <c r="F643" s="24">
        <v>1539.3</v>
      </c>
      <c r="G643" s="24">
        <v>3.7</v>
      </c>
      <c r="H643" s="24">
        <v>3.7</v>
      </c>
      <c r="I643" s="154">
        <f t="shared" si="31"/>
        <v>0.99760207388204791</v>
      </c>
      <c r="J643" s="41" t="s">
        <v>1044</v>
      </c>
      <c r="K643" s="16" t="s">
        <v>108</v>
      </c>
      <c r="L643" s="17">
        <v>500</v>
      </c>
      <c r="M643" s="143">
        <v>425</v>
      </c>
      <c r="N643" s="41"/>
      <c r="O643" s="42" t="s">
        <v>1040</v>
      </c>
    </row>
    <row r="644" spans="1:16" ht="26.25" thickBot="1" x14ac:dyDescent="0.3">
      <c r="A644" s="13" t="s">
        <v>1075</v>
      </c>
      <c r="B644" s="37" t="s">
        <v>1076</v>
      </c>
      <c r="C644" s="14" t="s">
        <v>334</v>
      </c>
      <c r="D644" s="24">
        <v>211</v>
      </c>
      <c r="E644" s="24">
        <v>211</v>
      </c>
      <c r="F644" s="24">
        <v>135.1</v>
      </c>
      <c r="G644" s="24">
        <v>75.900000000000006</v>
      </c>
      <c r="H644" s="24">
        <v>75.900000000000006</v>
      </c>
      <c r="I644" s="154">
        <f t="shared" si="31"/>
        <v>0.64028436018957346</v>
      </c>
      <c r="J644" s="41" t="s">
        <v>1044</v>
      </c>
      <c r="K644" s="16" t="s">
        <v>108</v>
      </c>
      <c r="L644" s="17">
        <v>95</v>
      </c>
      <c r="M644" s="143">
        <v>66</v>
      </c>
      <c r="N644" s="41"/>
      <c r="O644" s="42" t="s">
        <v>1040</v>
      </c>
    </row>
    <row r="645" spans="1:16" ht="26.25" thickBot="1" x14ac:dyDescent="0.3">
      <c r="A645" s="13" t="s">
        <v>1077</v>
      </c>
      <c r="B645" s="37" t="s">
        <v>1078</v>
      </c>
      <c r="C645" s="14" t="s">
        <v>334</v>
      </c>
      <c r="D645" s="24">
        <v>790</v>
      </c>
      <c r="E645" s="24">
        <v>790</v>
      </c>
      <c r="F645" s="24">
        <v>787.4</v>
      </c>
      <c r="G645" s="24">
        <v>2.6</v>
      </c>
      <c r="H645" s="24">
        <v>2.6</v>
      </c>
      <c r="I645" s="154">
        <f t="shared" si="31"/>
        <v>0.99670886075949361</v>
      </c>
      <c r="J645" s="41" t="s">
        <v>1044</v>
      </c>
      <c r="K645" s="16" t="s">
        <v>108</v>
      </c>
      <c r="L645" s="17">
        <v>425</v>
      </c>
      <c r="M645" s="143">
        <v>274</v>
      </c>
      <c r="N645" s="41"/>
      <c r="O645" s="42" t="s">
        <v>1040</v>
      </c>
    </row>
    <row r="646" spans="1:16" ht="39" thickBot="1" x14ac:dyDescent="0.3">
      <c r="A646" s="13" t="s">
        <v>1079</v>
      </c>
      <c r="B646" s="37" t="s">
        <v>1080</v>
      </c>
      <c r="C646" s="14" t="s">
        <v>334</v>
      </c>
      <c r="D646" s="24">
        <v>76.8</v>
      </c>
      <c r="E646" s="24">
        <v>76.8</v>
      </c>
      <c r="F646" s="24">
        <v>73.8</v>
      </c>
      <c r="G646" s="24">
        <v>3</v>
      </c>
      <c r="H646" s="24">
        <v>3</v>
      </c>
      <c r="I646" s="154">
        <f t="shared" si="31"/>
        <v>0.9609375</v>
      </c>
      <c r="J646" s="41" t="s">
        <v>1044</v>
      </c>
      <c r="K646" s="16" t="s">
        <v>108</v>
      </c>
      <c r="L646" s="17">
        <v>38</v>
      </c>
      <c r="M646" s="143">
        <v>21</v>
      </c>
      <c r="N646" s="41"/>
      <c r="O646" s="42" t="s">
        <v>1040</v>
      </c>
    </row>
    <row r="647" spans="1:16" ht="26.25" thickBot="1" x14ac:dyDescent="0.3">
      <c r="A647" s="13" t="s">
        <v>1081</v>
      </c>
      <c r="B647" s="37" t="s">
        <v>1082</v>
      </c>
      <c r="C647" s="14" t="s">
        <v>334</v>
      </c>
      <c r="D647" s="24">
        <v>55</v>
      </c>
      <c r="E647" s="24">
        <v>55</v>
      </c>
      <c r="F647" s="24">
        <v>30</v>
      </c>
      <c r="G647" s="24">
        <v>25</v>
      </c>
      <c r="H647" s="24">
        <v>25</v>
      </c>
      <c r="I647" s="154">
        <f t="shared" si="31"/>
        <v>0.54545454545454541</v>
      </c>
      <c r="J647" s="41" t="s">
        <v>1044</v>
      </c>
      <c r="K647" s="16" t="s">
        <v>108</v>
      </c>
      <c r="L647" s="17">
        <v>70</v>
      </c>
      <c r="M647" s="210">
        <v>33</v>
      </c>
      <c r="N647" s="41"/>
      <c r="O647" s="42" t="s">
        <v>1040</v>
      </c>
    </row>
    <row r="648" spans="1:16" ht="26.25" thickBot="1" x14ac:dyDescent="0.3">
      <c r="A648" s="13" t="s">
        <v>1083</v>
      </c>
      <c r="B648" s="37" t="s">
        <v>1084</v>
      </c>
      <c r="C648" s="14" t="s">
        <v>334</v>
      </c>
      <c r="D648" s="24">
        <v>11.9</v>
      </c>
      <c r="E648" s="24">
        <v>11.9</v>
      </c>
      <c r="F648" s="24">
        <v>4.5999999999999996</v>
      </c>
      <c r="G648" s="24">
        <v>7.3</v>
      </c>
      <c r="H648" s="24">
        <v>7.3</v>
      </c>
      <c r="I648" s="154">
        <f t="shared" si="31"/>
        <v>0.38655462184873945</v>
      </c>
      <c r="J648" s="41" t="s">
        <v>1044</v>
      </c>
      <c r="K648" s="16" t="s">
        <v>108</v>
      </c>
      <c r="L648" s="17">
        <v>1</v>
      </c>
      <c r="M648" s="176">
        <v>2</v>
      </c>
      <c r="N648" s="41" t="s">
        <v>1040</v>
      </c>
      <c r="O648" s="42"/>
    </row>
    <row r="649" spans="1:16" ht="26.25" thickBot="1" x14ac:dyDescent="0.3">
      <c r="A649" s="13" t="s">
        <v>1085</v>
      </c>
      <c r="B649" s="37" t="s">
        <v>1086</v>
      </c>
      <c r="C649" s="14" t="s">
        <v>334</v>
      </c>
      <c r="D649" s="24">
        <v>31</v>
      </c>
      <c r="E649" s="24">
        <v>31</v>
      </c>
      <c r="F649" s="24">
        <v>11.7</v>
      </c>
      <c r="G649" s="24">
        <v>19.3</v>
      </c>
      <c r="H649" s="24">
        <v>19.3</v>
      </c>
      <c r="I649" s="154">
        <f t="shared" si="31"/>
        <v>0.37741935483870964</v>
      </c>
      <c r="J649" s="41" t="s">
        <v>1044</v>
      </c>
      <c r="K649" s="16" t="s">
        <v>108</v>
      </c>
      <c r="L649" s="17">
        <v>50</v>
      </c>
      <c r="M649" s="143">
        <v>29</v>
      </c>
      <c r="N649" s="41"/>
      <c r="O649" s="42" t="s">
        <v>1040</v>
      </c>
    </row>
    <row r="650" spans="1:16" ht="15.75" thickBot="1" x14ac:dyDescent="0.3">
      <c r="A650" s="13" t="s">
        <v>1087</v>
      </c>
      <c r="B650" s="37" t="s">
        <v>1088</v>
      </c>
      <c r="C650" s="14" t="s">
        <v>334</v>
      </c>
      <c r="D650" s="24">
        <v>242.4</v>
      </c>
      <c r="E650" s="24">
        <v>242.4</v>
      </c>
      <c r="F650" s="24">
        <v>229.2</v>
      </c>
      <c r="G650" s="24">
        <v>13.3</v>
      </c>
      <c r="H650" s="24">
        <v>13.3</v>
      </c>
      <c r="I650" s="154">
        <f t="shared" si="31"/>
        <v>0.9455445544554455</v>
      </c>
      <c r="J650" s="41" t="s">
        <v>1089</v>
      </c>
      <c r="K650" s="16" t="s">
        <v>108</v>
      </c>
      <c r="L650" s="17">
        <v>38</v>
      </c>
      <c r="M650" s="136">
        <v>38</v>
      </c>
      <c r="N650" s="41"/>
      <c r="O650" s="42"/>
    </row>
    <row r="651" spans="1:16" ht="26.25" thickBot="1" x14ac:dyDescent="0.3">
      <c r="A651" s="13" t="s">
        <v>1090</v>
      </c>
      <c r="B651" s="37" t="s">
        <v>1091</v>
      </c>
      <c r="C651" s="14" t="s">
        <v>334</v>
      </c>
      <c r="D651" s="24">
        <v>43</v>
      </c>
      <c r="E651" s="24">
        <v>43</v>
      </c>
      <c r="F651" s="24">
        <v>39.700000000000003</v>
      </c>
      <c r="G651" s="24">
        <v>3.3</v>
      </c>
      <c r="H651" s="24">
        <v>3.3</v>
      </c>
      <c r="I651" s="154">
        <f t="shared" si="31"/>
        <v>0.92325581395348844</v>
      </c>
      <c r="J651" s="41" t="s">
        <v>1044</v>
      </c>
      <c r="K651" s="16" t="s">
        <v>108</v>
      </c>
      <c r="L651" s="17">
        <v>20</v>
      </c>
      <c r="M651" s="176">
        <v>24</v>
      </c>
      <c r="N651" s="41" t="s">
        <v>1040</v>
      </c>
      <c r="O651" s="42"/>
    </row>
    <row r="652" spans="1:16" ht="26.25" thickBot="1" x14ac:dyDescent="0.3">
      <c r="A652" s="13" t="s">
        <v>1092</v>
      </c>
      <c r="B652" s="37" t="s">
        <v>1093</v>
      </c>
      <c r="C652" s="14"/>
      <c r="D652" s="15">
        <f>SUM(D653:D654)</f>
        <v>13910.5</v>
      </c>
      <c r="E652" s="15">
        <f>SUM(E653:E654)</f>
        <v>13910.5</v>
      </c>
      <c r="F652" s="15">
        <f>SUM(F653:F654)</f>
        <v>13662.699999999999</v>
      </c>
      <c r="G652" s="15">
        <f>SUM(G653:G654)</f>
        <v>247.8</v>
      </c>
      <c r="H652" s="15">
        <f>SUM(H653:H654)</f>
        <v>247.8</v>
      </c>
      <c r="I652" s="154">
        <f t="shared" si="31"/>
        <v>0.98218611839976988</v>
      </c>
      <c r="J652" s="41" t="s">
        <v>1044</v>
      </c>
      <c r="K652" s="16" t="s">
        <v>118</v>
      </c>
      <c r="L652" s="53">
        <v>4400</v>
      </c>
      <c r="M652" s="183">
        <v>4533</v>
      </c>
      <c r="N652" s="41"/>
      <c r="O652" s="42"/>
      <c r="P652" s="284"/>
    </row>
    <row r="653" spans="1:16" ht="39" thickBot="1" x14ac:dyDescent="0.3">
      <c r="A653" s="13" t="s">
        <v>1094</v>
      </c>
      <c r="B653" s="37" t="s">
        <v>1095</v>
      </c>
      <c r="C653" s="14" t="s">
        <v>334</v>
      </c>
      <c r="D653" s="24">
        <v>13362.7</v>
      </c>
      <c r="E653" s="24">
        <v>13362.7</v>
      </c>
      <c r="F653" s="24">
        <v>13343.9</v>
      </c>
      <c r="G653" s="24">
        <v>18.8</v>
      </c>
      <c r="H653" s="24">
        <v>18.8</v>
      </c>
      <c r="I653" s="154">
        <f t="shared" si="31"/>
        <v>0.99859309870011292</v>
      </c>
      <c r="J653" s="41" t="s">
        <v>1044</v>
      </c>
      <c r="K653" s="16" t="s">
        <v>108</v>
      </c>
      <c r="L653" s="53">
        <v>4400</v>
      </c>
      <c r="M653" s="183">
        <v>4533</v>
      </c>
      <c r="N653" s="41" t="s">
        <v>1040</v>
      </c>
      <c r="O653" s="42"/>
    </row>
    <row r="654" spans="1:16" ht="15.75" thickBot="1" x14ac:dyDescent="0.3">
      <c r="A654" s="13" t="s">
        <v>1096</v>
      </c>
      <c r="B654" s="37" t="s">
        <v>1088</v>
      </c>
      <c r="C654" s="14" t="s">
        <v>334</v>
      </c>
      <c r="D654" s="24">
        <v>547.79999999999995</v>
      </c>
      <c r="E654" s="24">
        <v>547.79999999999995</v>
      </c>
      <c r="F654" s="24">
        <v>318.8</v>
      </c>
      <c r="G654" s="24">
        <v>229</v>
      </c>
      <c r="H654" s="24">
        <v>229</v>
      </c>
      <c r="I654" s="154">
        <f t="shared" si="31"/>
        <v>0.58196422051843744</v>
      </c>
      <c r="J654" s="41" t="s">
        <v>1089</v>
      </c>
      <c r="K654" s="16" t="s">
        <v>108</v>
      </c>
      <c r="L654" s="17">
        <v>38</v>
      </c>
      <c r="M654" s="136">
        <v>38</v>
      </c>
      <c r="N654" s="41"/>
      <c r="O654" s="42"/>
    </row>
    <row r="655" spans="1:16" ht="64.5" thickBot="1" x14ac:dyDescent="0.3">
      <c r="A655" s="13" t="s">
        <v>1097</v>
      </c>
      <c r="B655" s="37" t="s">
        <v>1098</v>
      </c>
      <c r="C655" s="14" t="s">
        <v>200</v>
      </c>
      <c r="D655" s="24">
        <v>0.8</v>
      </c>
      <c r="E655" s="24">
        <v>0.8</v>
      </c>
      <c r="F655" s="24">
        <v>0.7</v>
      </c>
      <c r="G655" s="24">
        <v>0.1</v>
      </c>
      <c r="H655" s="24">
        <v>0.1</v>
      </c>
      <c r="I655" s="154">
        <f t="shared" si="31"/>
        <v>0.87499999999999989</v>
      </c>
      <c r="J655" s="41" t="s">
        <v>1044</v>
      </c>
      <c r="K655" s="16" t="s">
        <v>118</v>
      </c>
      <c r="L655" s="17">
        <v>1</v>
      </c>
      <c r="M655" s="136">
        <v>1</v>
      </c>
      <c r="N655" s="41"/>
      <c r="O655" s="42"/>
      <c r="P655" s="181"/>
    </row>
    <row r="656" spans="1:16" ht="15.75" thickBot="1" x14ac:dyDescent="0.3">
      <c r="A656" s="93" t="s">
        <v>1099</v>
      </c>
      <c r="B656" s="88" t="s">
        <v>1100</v>
      </c>
      <c r="C656" s="94" t="s">
        <v>43</v>
      </c>
      <c r="D656" s="95">
        <v>5.2</v>
      </c>
      <c r="E656" s="95">
        <v>5.2</v>
      </c>
      <c r="F656" s="95">
        <v>3.4</v>
      </c>
      <c r="G656" s="95">
        <v>1.8</v>
      </c>
      <c r="H656" s="95">
        <v>1.8</v>
      </c>
      <c r="I656" s="148">
        <f t="shared" si="31"/>
        <v>0.65384615384615385</v>
      </c>
      <c r="J656" s="88" t="s">
        <v>1044</v>
      </c>
      <c r="K656" s="301" t="s">
        <v>118</v>
      </c>
      <c r="L656" s="301">
        <v>2</v>
      </c>
      <c r="M656" s="302">
        <v>1</v>
      </c>
      <c r="N656" s="88"/>
      <c r="O656" s="303" t="s">
        <v>1040</v>
      </c>
      <c r="P656" s="175"/>
    </row>
    <row r="657" spans="1:19" ht="15.75" thickBot="1" x14ac:dyDescent="0.3">
      <c r="A657" s="230" t="s">
        <v>1101</v>
      </c>
      <c r="B657" s="231" t="s">
        <v>1102</v>
      </c>
      <c r="C657" s="232"/>
      <c r="D657" s="304">
        <f>D658+D661</f>
        <v>1980</v>
      </c>
      <c r="E657" s="304">
        <f>E658+E661</f>
        <v>1980</v>
      </c>
      <c r="F657" s="304">
        <f>F658+F661</f>
        <v>1883.8</v>
      </c>
      <c r="G657" s="304">
        <f>G658+G661</f>
        <v>96.2</v>
      </c>
      <c r="H657" s="304">
        <f>H658+H661</f>
        <v>96.2</v>
      </c>
      <c r="I657" s="158">
        <f t="shared" si="31"/>
        <v>0.95141414141414138</v>
      </c>
      <c r="J657" s="231"/>
      <c r="K657" s="305"/>
      <c r="L657" s="305"/>
      <c r="M657" s="305"/>
      <c r="N657" s="231"/>
      <c r="O657" s="306"/>
      <c r="P657" s="181"/>
    </row>
    <row r="658" spans="1:19" ht="25.5" customHeight="1" x14ac:dyDescent="0.25">
      <c r="A658" s="386" t="s">
        <v>1103</v>
      </c>
      <c r="B658" s="337" t="s">
        <v>1104</v>
      </c>
      <c r="C658" s="98"/>
      <c r="D658" s="99">
        <f>SUM(D659:D660)</f>
        <v>1785</v>
      </c>
      <c r="E658" s="99">
        <f>SUM(E659:E660)</f>
        <v>1785</v>
      </c>
      <c r="F658" s="99">
        <f>SUM(F659:F660)-0.1</f>
        <v>1690.2</v>
      </c>
      <c r="G658" s="99">
        <f>SUM(G659:G660)+0.1</f>
        <v>94.8</v>
      </c>
      <c r="H658" s="99">
        <f>SUM(H659:H660)+0.1</f>
        <v>94.8</v>
      </c>
      <c r="I658" s="152">
        <f t="shared" si="31"/>
        <v>0.94689075630252106</v>
      </c>
      <c r="J658" s="372" t="s">
        <v>1044</v>
      </c>
      <c r="K658" s="340" t="s">
        <v>108</v>
      </c>
      <c r="L658" s="411">
        <v>4790</v>
      </c>
      <c r="M658" s="493">
        <v>5873</v>
      </c>
      <c r="N658" s="337" t="s">
        <v>1040</v>
      </c>
      <c r="O658" s="334"/>
    </row>
    <row r="659" spans="1:19" x14ac:dyDescent="0.25">
      <c r="A659" s="386"/>
      <c r="B659" s="337"/>
      <c r="C659" s="20" t="s">
        <v>27</v>
      </c>
      <c r="D659" s="21">
        <v>140</v>
      </c>
      <c r="E659" s="21">
        <v>140</v>
      </c>
      <c r="F659" s="21">
        <v>109</v>
      </c>
      <c r="G659" s="21">
        <v>31</v>
      </c>
      <c r="H659" s="67">
        <v>31</v>
      </c>
      <c r="I659" s="149">
        <f t="shared" si="31"/>
        <v>0.77857142857142858</v>
      </c>
      <c r="J659" s="372"/>
      <c r="K659" s="340"/>
      <c r="L659" s="411"/>
      <c r="M659" s="493"/>
      <c r="N659" s="337"/>
      <c r="O659" s="334"/>
    </row>
    <row r="660" spans="1:19" ht="15.75" thickBot="1" x14ac:dyDescent="0.3">
      <c r="A660" s="387"/>
      <c r="B660" s="338"/>
      <c r="C660" s="20" t="s">
        <v>200</v>
      </c>
      <c r="D660" s="21">
        <v>1645</v>
      </c>
      <c r="E660" s="21">
        <v>1645</v>
      </c>
      <c r="F660" s="21">
        <v>1581.3</v>
      </c>
      <c r="G660" s="21">
        <v>63.7</v>
      </c>
      <c r="H660" s="21">
        <v>63.7</v>
      </c>
      <c r="I660" s="79">
        <f t="shared" si="31"/>
        <v>0.96127659574468083</v>
      </c>
      <c r="J660" s="361"/>
      <c r="K660" s="341"/>
      <c r="L660" s="412"/>
      <c r="M660" s="494"/>
      <c r="N660" s="338"/>
      <c r="O660" s="335"/>
    </row>
    <row r="661" spans="1:19" ht="26.25" thickBot="1" x14ac:dyDescent="0.3">
      <c r="A661" s="13" t="s">
        <v>1105</v>
      </c>
      <c r="B661" s="37" t="s">
        <v>1106</v>
      </c>
      <c r="C661" s="14" t="s">
        <v>200</v>
      </c>
      <c r="D661" s="24">
        <v>195</v>
      </c>
      <c r="E661" s="24">
        <v>195</v>
      </c>
      <c r="F661" s="24">
        <v>193.6</v>
      </c>
      <c r="G661" s="24">
        <v>1.4</v>
      </c>
      <c r="H661" s="24">
        <v>1.4</v>
      </c>
      <c r="I661" s="154">
        <f t="shared" si="31"/>
        <v>0.99282051282051276</v>
      </c>
      <c r="J661" s="41" t="s">
        <v>1044</v>
      </c>
      <c r="K661" s="16" t="s">
        <v>108</v>
      </c>
      <c r="L661" s="53">
        <v>1500</v>
      </c>
      <c r="M661" s="250">
        <v>1382</v>
      </c>
      <c r="N661" s="41"/>
      <c r="O661" s="42" t="s">
        <v>1040</v>
      </c>
    </row>
    <row r="662" spans="1:19" ht="51.75" thickBot="1" x14ac:dyDescent="0.3">
      <c r="A662" s="13" t="s">
        <v>1107</v>
      </c>
      <c r="B662" s="37" t="s">
        <v>1108</v>
      </c>
      <c r="C662" s="14" t="s">
        <v>43</v>
      </c>
      <c r="D662" s="24">
        <v>200</v>
      </c>
      <c r="E662" s="24">
        <v>200</v>
      </c>
      <c r="F662" s="24">
        <v>200</v>
      </c>
      <c r="G662" s="24"/>
      <c r="H662" s="24"/>
      <c r="I662" s="154">
        <f t="shared" si="31"/>
        <v>1</v>
      </c>
      <c r="J662" s="41" t="s">
        <v>1109</v>
      </c>
      <c r="K662" s="16" t="s">
        <v>23</v>
      </c>
      <c r="L662" s="17">
        <v>100</v>
      </c>
      <c r="M662" s="136">
        <v>100</v>
      </c>
      <c r="N662" s="41" t="s">
        <v>1638</v>
      </c>
      <c r="O662" s="42"/>
      <c r="P662" s="181"/>
    </row>
    <row r="663" spans="1:19" ht="16.5" thickBot="1" x14ac:dyDescent="0.3">
      <c r="A663" s="118" t="s">
        <v>1110</v>
      </c>
      <c r="B663" s="119" t="s">
        <v>1111</v>
      </c>
      <c r="C663" s="120"/>
      <c r="D663" s="121">
        <f>D664+D708</f>
        <v>22518.1</v>
      </c>
      <c r="E663" s="121">
        <f>E664+E708</f>
        <v>22518.1</v>
      </c>
      <c r="F663" s="121">
        <f>F664+F708-0.1</f>
        <v>19650.2</v>
      </c>
      <c r="G663" s="121">
        <f>G664+G708</f>
        <v>2867.9</v>
      </c>
      <c r="H663" s="121">
        <f>H664+H708</f>
        <v>2867.9</v>
      </c>
      <c r="I663" s="172">
        <f>SUM(F663/E663)</f>
        <v>0.87264023163588411</v>
      </c>
      <c r="J663" s="428"/>
      <c r="K663" s="429"/>
      <c r="L663" s="429"/>
      <c r="M663" s="429"/>
      <c r="N663" s="429"/>
      <c r="O663" s="430"/>
      <c r="Q663" s="312"/>
      <c r="R663" s="313" t="s">
        <v>1</v>
      </c>
      <c r="S663" s="314" t="s">
        <v>2107</v>
      </c>
    </row>
    <row r="664" spans="1:19" ht="40.5" customHeight="1" x14ac:dyDescent="0.25">
      <c r="A664" s="431" t="s">
        <v>1112</v>
      </c>
      <c r="B664" s="433" t="s">
        <v>1113</v>
      </c>
      <c r="C664" s="435"/>
      <c r="D664" s="426">
        <f>D665+D666+D672+D679+D688+D694+D696+D699+D702+D705</f>
        <v>12468.300000000001</v>
      </c>
      <c r="E664" s="426">
        <f>E665+E666+E672+E679+E688+E694+E696+E699+E702+E705</f>
        <v>12468.300000000001</v>
      </c>
      <c r="F664" s="426">
        <f>F665+F666+F672+F679+F688+F694+F696+F699+F702+F705+0.1</f>
        <v>12100.5</v>
      </c>
      <c r="G664" s="426">
        <f>G665+G666+G672+G679+G688+G694+G696+G699+G702+G705</f>
        <v>367.90000000000003</v>
      </c>
      <c r="H664" s="426">
        <f>H665+H666+H672+H679+H688+H694+H696+H699+H702+H705</f>
        <v>367.90000000000003</v>
      </c>
      <c r="I664" s="437">
        <f>SUM(F664/E664)</f>
        <v>0.97050119102042776</v>
      </c>
      <c r="J664" s="102" t="s">
        <v>1114</v>
      </c>
      <c r="K664" s="103" t="s">
        <v>23</v>
      </c>
      <c r="L664" s="104">
        <v>9</v>
      </c>
      <c r="M664" s="104">
        <v>9.6999999999999993</v>
      </c>
      <c r="N664" s="102" t="s">
        <v>1945</v>
      </c>
      <c r="O664" s="115"/>
      <c r="Q664" s="315"/>
      <c r="R664" s="316" t="s">
        <v>2096</v>
      </c>
      <c r="S664" s="317">
        <v>2</v>
      </c>
    </row>
    <row r="665" spans="1:19" ht="39" thickBot="1" x14ac:dyDescent="0.3">
      <c r="A665" s="432"/>
      <c r="B665" s="434"/>
      <c r="C665" s="436"/>
      <c r="D665" s="427"/>
      <c r="E665" s="427"/>
      <c r="F665" s="427"/>
      <c r="G665" s="427"/>
      <c r="H665" s="427"/>
      <c r="I665" s="438"/>
      <c r="J665" s="108" t="s">
        <v>1115</v>
      </c>
      <c r="K665" s="109" t="s">
        <v>118</v>
      </c>
      <c r="L665" s="110">
        <v>13</v>
      </c>
      <c r="M665" s="110">
        <v>1</v>
      </c>
      <c r="N665" s="108"/>
      <c r="O665" s="123" t="s">
        <v>1116</v>
      </c>
      <c r="Q665" s="318"/>
      <c r="R665" s="316" t="s">
        <v>2097</v>
      </c>
      <c r="S665" s="317">
        <v>0</v>
      </c>
    </row>
    <row r="666" spans="1:19" ht="31.5" x14ac:dyDescent="0.25">
      <c r="A666" s="388" t="s">
        <v>1117</v>
      </c>
      <c r="B666" s="390" t="s">
        <v>1118</v>
      </c>
      <c r="C666" s="195"/>
      <c r="D666" s="196">
        <f>SUM(D667:D671)</f>
        <v>7282</v>
      </c>
      <c r="E666" s="196">
        <f>SUM(E667:E671)</f>
        <v>7282</v>
      </c>
      <c r="F666" s="196">
        <f>SUM(F667:F671)</f>
        <v>6949.8000000000011</v>
      </c>
      <c r="G666" s="196">
        <f>SUM(G667:G671)</f>
        <v>332.20000000000005</v>
      </c>
      <c r="H666" s="196">
        <f>SUM(H667:H671)</f>
        <v>332.20000000000005</v>
      </c>
      <c r="I666" s="159">
        <f>SUM(F666/E666)</f>
        <v>0.9543806646525681</v>
      </c>
      <c r="J666" s="198" t="s">
        <v>1119</v>
      </c>
      <c r="K666" s="199" t="s">
        <v>108</v>
      </c>
      <c r="L666" s="200">
        <v>2975</v>
      </c>
      <c r="M666" s="254">
        <v>2818</v>
      </c>
      <c r="N666" s="252"/>
      <c r="O666" s="202" t="s">
        <v>1120</v>
      </c>
      <c r="P666" s="181"/>
      <c r="Q666" s="319"/>
      <c r="R666" s="316" t="s">
        <v>2098</v>
      </c>
      <c r="S666" s="320">
        <v>2</v>
      </c>
    </row>
    <row r="667" spans="1:19" ht="31.5" x14ac:dyDescent="0.25">
      <c r="A667" s="439"/>
      <c r="B667" s="337"/>
      <c r="C667" s="20" t="s">
        <v>43</v>
      </c>
      <c r="D667" s="21">
        <v>6275.3</v>
      </c>
      <c r="E667" s="21">
        <v>6275.3</v>
      </c>
      <c r="F667" s="21">
        <v>6102.5</v>
      </c>
      <c r="G667" s="21">
        <v>172.8</v>
      </c>
      <c r="H667" s="67">
        <v>172.8</v>
      </c>
      <c r="I667" s="149">
        <f t="shared" ref="I667:I681" si="32">SUM(F667/E667)</f>
        <v>0.97246346788201354</v>
      </c>
      <c r="J667" s="68" t="s">
        <v>1121</v>
      </c>
      <c r="K667" s="22" t="s">
        <v>118</v>
      </c>
      <c r="L667" s="23">
        <v>51</v>
      </c>
      <c r="M667" s="134">
        <v>53</v>
      </c>
      <c r="N667" s="43" t="s">
        <v>1122</v>
      </c>
      <c r="O667" s="253"/>
      <c r="Q667" s="321"/>
      <c r="R667" s="316" t="s">
        <v>2099</v>
      </c>
      <c r="S667" s="320">
        <v>7</v>
      </c>
    </row>
    <row r="668" spans="1:19" ht="38.25" x14ac:dyDescent="0.25">
      <c r="A668" s="439"/>
      <c r="B668" s="337"/>
      <c r="C668" s="20" t="s">
        <v>334</v>
      </c>
      <c r="D668" s="21">
        <v>49.9</v>
      </c>
      <c r="E668" s="21">
        <v>49.9</v>
      </c>
      <c r="F668" s="21">
        <v>42.6</v>
      </c>
      <c r="G668" s="21">
        <v>7.3</v>
      </c>
      <c r="H668" s="67">
        <v>7.3</v>
      </c>
      <c r="I668" s="149">
        <f t="shared" si="32"/>
        <v>0.85370741482965939</v>
      </c>
      <c r="J668" s="68" t="s">
        <v>1123</v>
      </c>
      <c r="K668" s="22" t="s">
        <v>118</v>
      </c>
      <c r="L668" s="23">
        <v>167</v>
      </c>
      <c r="M668" s="134">
        <v>171</v>
      </c>
      <c r="N668" s="43" t="s">
        <v>1124</v>
      </c>
      <c r="O668" s="253"/>
      <c r="Q668" s="322"/>
      <c r="R668" s="316" t="s">
        <v>2100</v>
      </c>
      <c r="S668" s="320">
        <v>4</v>
      </c>
    </row>
    <row r="669" spans="1:19" ht="51" x14ac:dyDescent="0.25">
      <c r="A669" s="439"/>
      <c r="B669" s="337"/>
      <c r="C669" s="20" t="s">
        <v>185</v>
      </c>
      <c r="D669" s="21">
        <v>181</v>
      </c>
      <c r="E669" s="21">
        <v>181</v>
      </c>
      <c r="F669" s="21">
        <v>75.5</v>
      </c>
      <c r="G669" s="21">
        <v>105.5</v>
      </c>
      <c r="H669" s="67">
        <v>105.5</v>
      </c>
      <c r="I669" s="149">
        <f t="shared" si="32"/>
        <v>0.41712707182320441</v>
      </c>
      <c r="J669" s="68" t="s">
        <v>1125</v>
      </c>
      <c r="K669" s="22" t="s">
        <v>1126</v>
      </c>
      <c r="L669" s="23">
        <v>1.25</v>
      </c>
      <c r="M669" s="135">
        <v>1.25</v>
      </c>
      <c r="N669" s="43"/>
      <c r="O669" s="253"/>
      <c r="Q669" s="312"/>
      <c r="R669" s="323" t="s">
        <v>2101</v>
      </c>
      <c r="S669" s="320">
        <f>+SUM(S664:S668)</f>
        <v>15</v>
      </c>
    </row>
    <row r="670" spans="1:19" ht="36.75" customHeight="1" x14ac:dyDescent="0.25">
      <c r="A670" s="439"/>
      <c r="B670" s="337"/>
      <c r="C670" s="20" t="s">
        <v>24</v>
      </c>
      <c r="D670" s="21">
        <v>68.599999999999994</v>
      </c>
      <c r="E670" s="21">
        <v>68.599999999999994</v>
      </c>
      <c r="F670" s="21">
        <v>68.599999999999994</v>
      </c>
      <c r="G670" s="21"/>
      <c r="H670" s="67"/>
      <c r="I670" s="149">
        <f t="shared" si="32"/>
        <v>1</v>
      </c>
      <c r="J670" s="360" t="s">
        <v>1127</v>
      </c>
      <c r="K670" s="362" t="s">
        <v>1126</v>
      </c>
      <c r="L670" s="363">
        <v>3</v>
      </c>
      <c r="M670" s="418">
        <v>3</v>
      </c>
      <c r="N670" s="354"/>
      <c r="O670" s="514"/>
    </row>
    <row r="671" spans="1:19" ht="15.75" thickBot="1" x14ac:dyDescent="0.3">
      <c r="A671" s="389"/>
      <c r="B671" s="391"/>
      <c r="C671" s="58" t="s">
        <v>132</v>
      </c>
      <c r="D671" s="59">
        <v>707.2</v>
      </c>
      <c r="E671" s="59">
        <v>707.2</v>
      </c>
      <c r="F671" s="59">
        <v>660.6</v>
      </c>
      <c r="G671" s="59">
        <v>46.6</v>
      </c>
      <c r="H671" s="59">
        <v>46.6</v>
      </c>
      <c r="I671" s="156">
        <f t="shared" si="32"/>
        <v>0.93410633484162897</v>
      </c>
      <c r="J671" s="484"/>
      <c r="K671" s="485"/>
      <c r="L671" s="512"/>
      <c r="M671" s="513"/>
      <c r="N671" s="509"/>
      <c r="O671" s="515"/>
    </row>
    <row r="672" spans="1:19" ht="26.25" thickBot="1" x14ac:dyDescent="0.3">
      <c r="A672" s="96" t="s">
        <v>1128</v>
      </c>
      <c r="B672" s="97" t="s">
        <v>1129</v>
      </c>
      <c r="C672" s="98"/>
      <c r="D672" s="99">
        <f>D673+D676</f>
        <v>3079.2</v>
      </c>
      <c r="E672" s="99">
        <f>E673+E676</f>
        <v>3079.2</v>
      </c>
      <c r="F672" s="99">
        <f>F673+F676</f>
        <v>3070.3999999999996</v>
      </c>
      <c r="G672" s="99">
        <f>G673+G676</f>
        <v>8.8000000000000007</v>
      </c>
      <c r="H672" s="99">
        <f>H673+H676</f>
        <v>8.8000000000000007</v>
      </c>
      <c r="I672" s="79">
        <f t="shared" si="32"/>
        <v>0.99714211483502202</v>
      </c>
      <c r="J672" s="84"/>
      <c r="K672" s="100"/>
      <c r="L672" s="251"/>
      <c r="M672" s="101"/>
      <c r="N672" s="84"/>
      <c r="O672" s="85"/>
      <c r="P672" s="284"/>
    </row>
    <row r="673" spans="1:16" ht="38.25" x14ac:dyDescent="0.25">
      <c r="A673" s="385" t="s">
        <v>1130</v>
      </c>
      <c r="B673" s="336" t="s">
        <v>1131</v>
      </c>
      <c r="C673" s="14"/>
      <c r="D673" s="15">
        <f>SUM(D674:D675)</f>
        <v>1922</v>
      </c>
      <c r="E673" s="15">
        <f>SUM(E674:E675)</f>
        <v>1922</v>
      </c>
      <c r="F673" s="15">
        <f>SUM(F674:F675)</f>
        <v>1922</v>
      </c>
      <c r="G673" s="15"/>
      <c r="H673" s="15"/>
      <c r="I673" s="148">
        <f t="shared" si="32"/>
        <v>1</v>
      </c>
      <c r="J673" s="41" t="s">
        <v>1132</v>
      </c>
      <c r="K673" s="16" t="s">
        <v>35</v>
      </c>
      <c r="L673" s="17">
        <v>3</v>
      </c>
      <c r="M673" s="136">
        <v>3</v>
      </c>
      <c r="N673" s="41" t="s">
        <v>1133</v>
      </c>
      <c r="O673" s="42"/>
    </row>
    <row r="674" spans="1:16" ht="25.5" customHeight="1" x14ac:dyDescent="0.25">
      <c r="A674" s="386"/>
      <c r="B674" s="337"/>
      <c r="C674" s="20" t="s">
        <v>43</v>
      </c>
      <c r="D674" s="21">
        <v>9.6999999999999993</v>
      </c>
      <c r="E674" s="21">
        <v>9.6999999999999993</v>
      </c>
      <c r="F674" s="21">
        <v>9.6999999999999993</v>
      </c>
      <c r="G674" s="21"/>
      <c r="H674" s="67"/>
      <c r="I674" s="149">
        <f t="shared" si="32"/>
        <v>1</v>
      </c>
      <c r="J674" s="360" t="s">
        <v>1134</v>
      </c>
      <c r="K674" s="362" t="s">
        <v>35</v>
      </c>
      <c r="L674" s="363">
        <v>800</v>
      </c>
      <c r="M674" s="364">
        <v>827</v>
      </c>
      <c r="N674" s="354"/>
      <c r="O674" s="355"/>
    </row>
    <row r="675" spans="1:16" ht="15.75" thickBot="1" x14ac:dyDescent="0.3">
      <c r="A675" s="387"/>
      <c r="B675" s="338"/>
      <c r="C675" s="20" t="s">
        <v>24</v>
      </c>
      <c r="D675" s="21">
        <v>1912.3</v>
      </c>
      <c r="E675" s="21">
        <v>1912.3</v>
      </c>
      <c r="F675" s="21">
        <v>1912.3</v>
      </c>
      <c r="G675" s="21"/>
      <c r="H675" s="21"/>
      <c r="I675" s="79">
        <f t="shared" si="32"/>
        <v>1</v>
      </c>
      <c r="J675" s="361"/>
      <c r="K675" s="341"/>
      <c r="L675" s="344"/>
      <c r="M675" s="350"/>
      <c r="N675" s="332"/>
      <c r="O675" s="335"/>
    </row>
    <row r="676" spans="1:16" ht="25.5" x14ac:dyDescent="0.25">
      <c r="A676" s="385" t="s">
        <v>1135</v>
      </c>
      <c r="B676" s="336" t="s">
        <v>1136</v>
      </c>
      <c r="C676" s="14"/>
      <c r="D676" s="15">
        <f>SUM(D677:D678)</f>
        <v>1157.1999999999998</v>
      </c>
      <c r="E676" s="15">
        <f>SUM(E677:E678)</f>
        <v>1157.1999999999998</v>
      </c>
      <c r="F676" s="15">
        <f>SUM(F677:F678)</f>
        <v>1148.3999999999999</v>
      </c>
      <c r="G676" s="15">
        <f>SUM(G677:G678)</f>
        <v>8.8000000000000007</v>
      </c>
      <c r="H676" s="15">
        <f>SUM(H677:H678)</f>
        <v>8.8000000000000007</v>
      </c>
      <c r="I676" s="148">
        <f t="shared" si="32"/>
        <v>0.99239543726235746</v>
      </c>
      <c r="J676" s="41" t="s">
        <v>1137</v>
      </c>
      <c r="K676" s="16" t="s">
        <v>35</v>
      </c>
      <c r="L676" s="17">
        <v>1</v>
      </c>
      <c r="M676" s="136">
        <v>1</v>
      </c>
      <c r="N676" s="41" t="s">
        <v>1138</v>
      </c>
      <c r="O676" s="42"/>
    </row>
    <row r="677" spans="1:16" ht="25.5" customHeight="1" x14ac:dyDescent="0.25">
      <c r="A677" s="386"/>
      <c r="B677" s="337"/>
      <c r="C677" s="20" t="s">
        <v>24</v>
      </c>
      <c r="D677" s="21">
        <v>1150.5999999999999</v>
      </c>
      <c r="E677" s="21">
        <v>1150.5999999999999</v>
      </c>
      <c r="F677" s="21">
        <v>1141.8</v>
      </c>
      <c r="G677" s="21">
        <v>8.8000000000000007</v>
      </c>
      <c r="H677" s="67">
        <v>8.8000000000000007</v>
      </c>
      <c r="I677" s="149">
        <f t="shared" si="32"/>
        <v>0.99235181644359471</v>
      </c>
      <c r="J677" s="360" t="s">
        <v>1139</v>
      </c>
      <c r="K677" s="362" t="s">
        <v>35</v>
      </c>
      <c r="L677" s="363">
        <v>610</v>
      </c>
      <c r="M677" s="364">
        <v>628</v>
      </c>
      <c r="N677" s="354"/>
      <c r="O677" s="355"/>
    </row>
    <row r="678" spans="1:16" ht="15.75" thickBot="1" x14ac:dyDescent="0.3">
      <c r="A678" s="386"/>
      <c r="B678" s="337"/>
      <c r="C678" s="113" t="s">
        <v>43</v>
      </c>
      <c r="D678" s="114">
        <v>6.6</v>
      </c>
      <c r="E678" s="114">
        <v>6.6</v>
      </c>
      <c r="F678" s="114">
        <v>6.6</v>
      </c>
      <c r="G678" s="114"/>
      <c r="H678" s="114"/>
      <c r="I678" s="255">
        <f t="shared" si="32"/>
        <v>1</v>
      </c>
      <c r="J678" s="372"/>
      <c r="K678" s="340"/>
      <c r="L678" s="343"/>
      <c r="M678" s="349"/>
      <c r="N678" s="331"/>
      <c r="O678" s="334"/>
    </row>
    <row r="679" spans="1:16" ht="81.75" customHeight="1" x14ac:dyDescent="0.25">
      <c r="A679" s="388" t="s">
        <v>1140</v>
      </c>
      <c r="B679" s="390" t="s">
        <v>1141</v>
      </c>
      <c r="C679" s="195"/>
      <c r="D679" s="196">
        <f>SUM(D680:D687)</f>
        <v>220.1</v>
      </c>
      <c r="E679" s="196">
        <f>SUM(E680:E687)</f>
        <v>220.1</v>
      </c>
      <c r="F679" s="196">
        <f>SUM(F680:F687)</f>
        <v>193.4</v>
      </c>
      <c r="G679" s="196">
        <f>SUM(G680:G687)</f>
        <v>26.7</v>
      </c>
      <c r="H679" s="196">
        <f>SUM(H680:H687)</f>
        <v>26.7</v>
      </c>
      <c r="I679" s="197">
        <f t="shared" si="32"/>
        <v>0.878691503861881</v>
      </c>
      <c r="J679" s="198" t="s">
        <v>1142</v>
      </c>
      <c r="K679" s="199" t="s">
        <v>35</v>
      </c>
      <c r="L679" s="224">
        <v>265</v>
      </c>
      <c r="M679" s="256">
        <v>228</v>
      </c>
      <c r="N679" s="252"/>
      <c r="O679" s="202" t="s">
        <v>1143</v>
      </c>
      <c r="P679" s="175"/>
    </row>
    <row r="680" spans="1:16" ht="51" x14ac:dyDescent="0.25">
      <c r="A680" s="439"/>
      <c r="B680" s="337"/>
      <c r="C680" s="20" t="s">
        <v>43</v>
      </c>
      <c r="D680" s="21">
        <v>210.7</v>
      </c>
      <c r="E680" s="21">
        <v>210.7</v>
      </c>
      <c r="F680" s="21">
        <v>184</v>
      </c>
      <c r="G680" s="21">
        <v>26.7</v>
      </c>
      <c r="H680" s="21">
        <v>26.7</v>
      </c>
      <c r="I680" s="79">
        <f t="shared" si="32"/>
        <v>0.87327954437588995</v>
      </c>
      <c r="J680" s="43" t="s">
        <v>1144</v>
      </c>
      <c r="K680" s="22" t="s">
        <v>35</v>
      </c>
      <c r="L680" s="23">
        <v>570</v>
      </c>
      <c r="M680" s="134">
        <v>607</v>
      </c>
      <c r="N680" s="43" t="s">
        <v>1145</v>
      </c>
      <c r="O680" s="253"/>
    </row>
    <row r="681" spans="1:16" ht="63.75" x14ac:dyDescent="0.25">
      <c r="A681" s="439"/>
      <c r="B681" s="337"/>
      <c r="C681" s="20" t="s">
        <v>24</v>
      </c>
      <c r="D681" s="21">
        <v>9.4</v>
      </c>
      <c r="E681" s="21">
        <v>9.4</v>
      </c>
      <c r="F681" s="21">
        <v>9.4</v>
      </c>
      <c r="G681" s="21"/>
      <c r="H681" s="21"/>
      <c r="I681" s="79">
        <f t="shared" si="32"/>
        <v>1</v>
      </c>
      <c r="J681" s="43" t="s">
        <v>1146</v>
      </c>
      <c r="K681" s="22" t="s">
        <v>35</v>
      </c>
      <c r="L681" s="23">
        <v>38</v>
      </c>
      <c r="M681" s="140">
        <v>20</v>
      </c>
      <c r="N681" s="43" t="s">
        <v>1147</v>
      </c>
      <c r="O681" s="253" t="s">
        <v>1654</v>
      </c>
    </row>
    <row r="682" spans="1:16" ht="76.5" x14ac:dyDescent="0.25">
      <c r="A682" s="439"/>
      <c r="B682" s="337"/>
      <c r="C682" s="20"/>
      <c r="D682" s="21"/>
      <c r="E682" s="21"/>
      <c r="F682" s="21"/>
      <c r="G682" s="21"/>
      <c r="H682" s="21"/>
      <c r="I682" s="150"/>
      <c r="J682" s="43" t="s">
        <v>1148</v>
      </c>
      <c r="K682" s="22" t="s">
        <v>35</v>
      </c>
      <c r="L682" s="23">
        <v>26</v>
      </c>
      <c r="M682" s="140">
        <v>17</v>
      </c>
      <c r="N682" s="43" t="s">
        <v>1149</v>
      </c>
      <c r="O682" s="253" t="s">
        <v>1655</v>
      </c>
    </row>
    <row r="683" spans="1:16" ht="76.5" x14ac:dyDescent="0.25">
      <c r="A683" s="439"/>
      <c r="B683" s="337"/>
      <c r="C683" s="20"/>
      <c r="D683" s="21"/>
      <c r="E683" s="21"/>
      <c r="F683" s="21"/>
      <c r="G683" s="21"/>
      <c r="H683" s="21"/>
      <c r="I683" s="150"/>
      <c r="J683" s="43" t="s">
        <v>1150</v>
      </c>
      <c r="K683" s="22" t="s">
        <v>118</v>
      </c>
      <c r="L683" s="23">
        <v>62</v>
      </c>
      <c r="M683" s="140">
        <v>43</v>
      </c>
      <c r="N683" s="43" t="s">
        <v>1151</v>
      </c>
      <c r="O683" s="253" t="s">
        <v>1656</v>
      </c>
    </row>
    <row r="684" spans="1:16" ht="38.25" x14ac:dyDescent="0.25">
      <c r="A684" s="439"/>
      <c r="B684" s="337"/>
      <c r="C684" s="20"/>
      <c r="D684" s="21"/>
      <c r="E684" s="21"/>
      <c r="F684" s="21"/>
      <c r="G684" s="21"/>
      <c r="H684" s="21"/>
      <c r="I684" s="150"/>
      <c r="J684" s="43" t="s">
        <v>1152</v>
      </c>
      <c r="K684" s="22" t="s">
        <v>118</v>
      </c>
      <c r="L684" s="23">
        <v>11</v>
      </c>
      <c r="M684" s="134">
        <v>17</v>
      </c>
      <c r="N684" s="43" t="s">
        <v>2066</v>
      </c>
      <c r="O684" s="253"/>
    </row>
    <row r="685" spans="1:16" ht="25.5" x14ac:dyDescent="0.25">
      <c r="A685" s="439"/>
      <c r="B685" s="337"/>
      <c r="C685" s="20"/>
      <c r="D685" s="21"/>
      <c r="E685" s="21"/>
      <c r="F685" s="21"/>
      <c r="G685" s="21"/>
      <c r="H685" s="21"/>
      <c r="I685" s="150"/>
      <c r="J685" s="43" t="s">
        <v>1153</v>
      </c>
      <c r="K685" s="22" t="s">
        <v>118</v>
      </c>
      <c r="L685" s="23">
        <v>131</v>
      </c>
      <c r="M685" s="134">
        <v>139</v>
      </c>
      <c r="N685" s="43" t="s">
        <v>1154</v>
      </c>
      <c r="O685" s="253"/>
    </row>
    <row r="686" spans="1:16" ht="66.75" customHeight="1" x14ac:dyDescent="0.25">
      <c r="A686" s="439"/>
      <c r="B686" s="337"/>
      <c r="C686" s="20"/>
      <c r="D686" s="21"/>
      <c r="E686" s="21"/>
      <c r="F686" s="21"/>
      <c r="G686" s="21"/>
      <c r="H686" s="21"/>
      <c r="I686" s="150"/>
      <c r="J686" s="43" t="s">
        <v>1155</v>
      </c>
      <c r="K686" s="22" t="s">
        <v>118</v>
      </c>
      <c r="L686" s="23">
        <v>198</v>
      </c>
      <c r="M686" s="140">
        <v>178</v>
      </c>
      <c r="N686" s="43" t="s">
        <v>1156</v>
      </c>
      <c r="O686" s="253" t="s">
        <v>1653</v>
      </c>
    </row>
    <row r="687" spans="1:16" ht="15.75" thickBot="1" x14ac:dyDescent="0.3">
      <c r="A687" s="389"/>
      <c r="B687" s="391"/>
      <c r="C687" s="58"/>
      <c r="D687" s="59"/>
      <c r="E687" s="59"/>
      <c r="F687" s="59"/>
      <c r="G687" s="59"/>
      <c r="H687" s="59"/>
      <c r="I687" s="173"/>
      <c r="J687" s="60" t="s">
        <v>1157</v>
      </c>
      <c r="K687" s="61" t="s">
        <v>35</v>
      </c>
      <c r="L687" s="62">
        <v>179</v>
      </c>
      <c r="M687" s="257">
        <v>272</v>
      </c>
      <c r="N687" s="60" t="s">
        <v>1158</v>
      </c>
      <c r="O687" s="204"/>
    </row>
    <row r="688" spans="1:16" ht="270" customHeight="1" x14ac:dyDescent="0.25">
      <c r="A688" s="386" t="s">
        <v>1159</v>
      </c>
      <c r="B688" s="337" t="s">
        <v>1160</v>
      </c>
      <c r="C688" s="98"/>
      <c r="D688" s="99">
        <f>SUM(D689:D693)</f>
        <v>615</v>
      </c>
      <c r="E688" s="99">
        <f>SUM(E689:E693)</f>
        <v>615</v>
      </c>
      <c r="F688" s="99">
        <f>SUM(F689:F693)</f>
        <v>615</v>
      </c>
      <c r="G688" s="99"/>
      <c r="H688" s="99"/>
      <c r="I688" s="152">
        <f>SUM(F688/E688)</f>
        <v>1</v>
      </c>
      <c r="J688" s="84" t="s">
        <v>1161</v>
      </c>
      <c r="K688" s="100" t="s">
        <v>35</v>
      </c>
      <c r="L688" s="101">
        <v>14</v>
      </c>
      <c r="M688" s="223">
        <v>18</v>
      </c>
      <c r="N688" s="84" t="s">
        <v>2065</v>
      </c>
      <c r="O688" s="85"/>
      <c r="P688" s="284"/>
    </row>
    <row r="689" spans="1:16" ht="206.25" customHeight="1" x14ac:dyDescent="0.25">
      <c r="A689" s="386"/>
      <c r="B689" s="337"/>
      <c r="C689" s="20" t="s">
        <v>43</v>
      </c>
      <c r="D689" s="21">
        <v>575</v>
      </c>
      <c r="E689" s="21">
        <v>575</v>
      </c>
      <c r="F689" s="21">
        <v>575</v>
      </c>
      <c r="G689" s="21"/>
      <c r="H689" s="67"/>
      <c r="I689" s="149">
        <f t="shared" ref="I689:I707" si="33">SUM(F689/E689)</f>
        <v>1</v>
      </c>
      <c r="J689" s="68" t="s">
        <v>1162</v>
      </c>
      <c r="K689" s="22" t="s">
        <v>35</v>
      </c>
      <c r="L689" s="23">
        <v>10</v>
      </c>
      <c r="M689" s="134">
        <v>11</v>
      </c>
      <c r="N689" s="43" t="s">
        <v>1946</v>
      </c>
      <c r="O689" s="44"/>
    </row>
    <row r="690" spans="1:16" ht="171" customHeight="1" x14ac:dyDescent="0.25">
      <c r="A690" s="386"/>
      <c r="B690" s="337"/>
      <c r="C690" s="20" t="s">
        <v>24</v>
      </c>
      <c r="D690" s="21">
        <v>40</v>
      </c>
      <c r="E690" s="21">
        <v>40</v>
      </c>
      <c r="F690" s="21">
        <v>40</v>
      </c>
      <c r="G690" s="21"/>
      <c r="H690" s="21"/>
      <c r="I690" s="152">
        <f t="shared" si="33"/>
        <v>1</v>
      </c>
      <c r="J690" s="43" t="s">
        <v>1163</v>
      </c>
      <c r="K690" s="22" t="s">
        <v>35</v>
      </c>
      <c r="L690" s="23">
        <v>10</v>
      </c>
      <c r="M690" s="134">
        <v>11</v>
      </c>
      <c r="N690" s="43" t="s">
        <v>2064</v>
      </c>
      <c r="O690" s="44"/>
    </row>
    <row r="691" spans="1:16" ht="141" customHeight="1" x14ac:dyDescent="0.25">
      <c r="A691" s="386"/>
      <c r="B691" s="337"/>
      <c r="C691" s="20"/>
      <c r="D691" s="21"/>
      <c r="E691" s="21"/>
      <c r="F691" s="21"/>
      <c r="G691" s="21"/>
      <c r="H691" s="67"/>
      <c r="I691" s="149"/>
      <c r="J691" s="68" t="s">
        <v>1164</v>
      </c>
      <c r="K691" s="22" t="s">
        <v>35</v>
      </c>
      <c r="L691" s="23">
        <v>7</v>
      </c>
      <c r="M691" s="135">
        <v>7</v>
      </c>
      <c r="N691" s="219" t="s">
        <v>1954</v>
      </c>
      <c r="O691" s="44"/>
    </row>
    <row r="692" spans="1:16" ht="51" x14ac:dyDescent="0.25">
      <c r="A692" s="386"/>
      <c r="B692" s="337"/>
      <c r="C692" s="20"/>
      <c r="D692" s="21"/>
      <c r="E692" s="21"/>
      <c r="F692" s="21"/>
      <c r="G692" s="21"/>
      <c r="H692" s="67"/>
      <c r="I692" s="149"/>
      <c r="J692" s="68" t="s">
        <v>1153</v>
      </c>
      <c r="K692" s="22" t="s">
        <v>118</v>
      </c>
      <c r="L692" s="23">
        <v>93</v>
      </c>
      <c r="M692" s="140">
        <v>75</v>
      </c>
      <c r="N692" s="43" t="s">
        <v>1165</v>
      </c>
      <c r="O692" s="44" t="s">
        <v>1657</v>
      </c>
    </row>
    <row r="693" spans="1:16" ht="39" thickBot="1" x14ac:dyDescent="0.3">
      <c r="A693" s="387"/>
      <c r="B693" s="338"/>
      <c r="C693" s="20"/>
      <c r="D693" s="21"/>
      <c r="E693" s="21"/>
      <c r="F693" s="21"/>
      <c r="G693" s="21"/>
      <c r="H693" s="21"/>
      <c r="I693" s="79"/>
      <c r="J693" s="43" t="s">
        <v>1166</v>
      </c>
      <c r="K693" s="22" t="s">
        <v>118</v>
      </c>
      <c r="L693" s="23">
        <v>55</v>
      </c>
      <c r="M693" s="134">
        <v>58</v>
      </c>
      <c r="N693" s="43" t="s">
        <v>1167</v>
      </c>
      <c r="O693" s="44"/>
    </row>
    <row r="694" spans="1:16" ht="130.5" customHeight="1" x14ac:dyDescent="0.25">
      <c r="A694" s="385" t="s">
        <v>1168</v>
      </c>
      <c r="B694" s="336" t="s">
        <v>1169</v>
      </c>
      <c r="C694" s="14" t="s">
        <v>43</v>
      </c>
      <c r="D694" s="15">
        <f>SUM(D695:D695)+975.6</f>
        <v>975.6</v>
      </c>
      <c r="E694" s="15">
        <f>SUM(E695:E695)+975.6</f>
        <v>975.6</v>
      </c>
      <c r="F694" s="15">
        <f>SUM(F695:F695)+975.6</f>
        <v>975.6</v>
      </c>
      <c r="G694" s="15"/>
      <c r="H694" s="15"/>
      <c r="I694" s="151">
        <f t="shared" si="33"/>
        <v>1</v>
      </c>
      <c r="J694" s="41" t="s">
        <v>1170</v>
      </c>
      <c r="K694" s="16" t="s">
        <v>35</v>
      </c>
      <c r="L694" s="17">
        <v>8</v>
      </c>
      <c r="M694" s="136">
        <v>8</v>
      </c>
      <c r="N694" s="41" t="s">
        <v>1947</v>
      </c>
      <c r="O694" s="42"/>
      <c r="P694" s="284"/>
    </row>
    <row r="695" spans="1:16" ht="26.25" thickBot="1" x14ac:dyDescent="0.3">
      <c r="A695" s="387"/>
      <c r="B695" s="338"/>
      <c r="C695" s="20"/>
      <c r="D695" s="21"/>
      <c r="E695" s="21"/>
      <c r="F695" s="21"/>
      <c r="G695" s="21"/>
      <c r="H695" s="21"/>
      <c r="I695" s="79"/>
      <c r="J695" s="43" t="s">
        <v>1171</v>
      </c>
      <c r="K695" s="22" t="s">
        <v>118</v>
      </c>
      <c r="L695" s="54">
        <v>2800</v>
      </c>
      <c r="M695" s="188">
        <v>9500</v>
      </c>
      <c r="N695" s="43" t="s">
        <v>1172</v>
      </c>
      <c r="O695" s="44"/>
    </row>
    <row r="696" spans="1:16" ht="29.25" customHeight="1" x14ac:dyDescent="0.25">
      <c r="A696" s="385" t="s">
        <v>1173</v>
      </c>
      <c r="B696" s="336" t="s">
        <v>1174</v>
      </c>
      <c r="C696" s="14"/>
      <c r="D696" s="15">
        <f>SUM(D697:D698)</f>
        <v>85</v>
      </c>
      <c r="E696" s="15">
        <f>SUM(E697:E698)</f>
        <v>85</v>
      </c>
      <c r="F696" s="15">
        <f>SUM(F697:F698)</f>
        <v>85</v>
      </c>
      <c r="G696" s="15"/>
      <c r="H696" s="15"/>
      <c r="I696" s="148">
        <f t="shared" si="33"/>
        <v>1</v>
      </c>
      <c r="J696" s="41" t="s">
        <v>1175</v>
      </c>
      <c r="K696" s="16" t="s">
        <v>118</v>
      </c>
      <c r="L696" s="17">
        <v>25</v>
      </c>
      <c r="M696" s="176">
        <v>61</v>
      </c>
      <c r="N696" s="41" t="s">
        <v>1176</v>
      </c>
      <c r="O696" s="42"/>
      <c r="P696" s="284"/>
    </row>
    <row r="697" spans="1:16" ht="25.5" x14ac:dyDescent="0.25">
      <c r="A697" s="386"/>
      <c r="B697" s="337"/>
      <c r="C697" s="20" t="s">
        <v>24</v>
      </c>
      <c r="D697" s="21">
        <v>32</v>
      </c>
      <c r="E697" s="21">
        <v>32</v>
      </c>
      <c r="F697" s="21">
        <v>32</v>
      </c>
      <c r="G697" s="21"/>
      <c r="H697" s="67"/>
      <c r="I697" s="149">
        <f t="shared" si="33"/>
        <v>1</v>
      </c>
      <c r="J697" s="68" t="s">
        <v>1177</v>
      </c>
      <c r="K697" s="22" t="s">
        <v>118</v>
      </c>
      <c r="L697" s="23">
        <v>10</v>
      </c>
      <c r="M697" s="135">
        <v>10</v>
      </c>
      <c r="N697" s="43" t="s">
        <v>1178</v>
      </c>
      <c r="O697" s="44"/>
    </row>
    <row r="698" spans="1:16" ht="26.25" thickBot="1" x14ac:dyDescent="0.3">
      <c r="A698" s="387"/>
      <c r="B698" s="338"/>
      <c r="C698" s="20" t="s">
        <v>43</v>
      </c>
      <c r="D698" s="21">
        <v>53</v>
      </c>
      <c r="E698" s="21">
        <v>53</v>
      </c>
      <c r="F698" s="21">
        <v>53</v>
      </c>
      <c r="G698" s="21"/>
      <c r="H698" s="21"/>
      <c r="I698" s="79">
        <f t="shared" si="33"/>
        <v>1</v>
      </c>
      <c r="J698" s="43" t="s">
        <v>1179</v>
      </c>
      <c r="K698" s="22" t="s">
        <v>118</v>
      </c>
      <c r="L698" s="23">
        <v>14</v>
      </c>
      <c r="M698" s="134">
        <v>32</v>
      </c>
      <c r="N698" s="43" t="s">
        <v>1180</v>
      </c>
      <c r="O698" s="44"/>
    </row>
    <row r="699" spans="1:16" ht="25.5" customHeight="1" x14ac:dyDescent="0.25">
      <c r="A699" s="385" t="s">
        <v>1181</v>
      </c>
      <c r="B699" s="336" t="s">
        <v>1182</v>
      </c>
      <c r="C699" s="14"/>
      <c r="D699" s="15">
        <f>SUM(D700:D701)</f>
        <v>48</v>
      </c>
      <c r="E699" s="15">
        <f>SUM(E700:E701)</f>
        <v>48</v>
      </c>
      <c r="F699" s="15">
        <f>SUM(F700:F701)</f>
        <v>47.8</v>
      </c>
      <c r="G699" s="15">
        <f>SUM(G700:G701)</f>
        <v>0.2</v>
      </c>
      <c r="H699" s="15">
        <f>SUM(H700:H701)</f>
        <v>0.2</v>
      </c>
      <c r="I699" s="148">
        <f t="shared" si="33"/>
        <v>0.99583333333333324</v>
      </c>
      <c r="J699" s="371" t="s">
        <v>1183</v>
      </c>
      <c r="K699" s="339" t="s">
        <v>118</v>
      </c>
      <c r="L699" s="342">
        <v>270</v>
      </c>
      <c r="M699" s="348">
        <v>350</v>
      </c>
      <c r="N699" s="336" t="s">
        <v>1184</v>
      </c>
      <c r="O699" s="333"/>
      <c r="P699" s="284"/>
    </row>
    <row r="700" spans="1:16" x14ac:dyDescent="0.25">
      <c r="A700" s="386"/>
      <c r="B700" s="337"/>
      <c r="C700" s="20" t="s">
        <v>43</v>
      </c>
      <c r="D700" s="21">
        <v>40</v>
      </c>
      <c r="E700" s="21">
        <v>40</v>
      </c>
      <c r="F700" s="21">
        <v>40</v>
      </c>
      <c r="G700" s="21"/>
      <c r="H700" s="67"/>
      <c r="I700" s="149">
        <f t="shared" si="33"/>
        <v>1</v>
      </c>
      <c r="J700" s="372"/>
      <c r="K700" s="340"/>
      <c r="L700" s="343"/>
      <c r="M700" s="349"/>
      <c r="N700" s="337"/>
      <c r="O700" s="334"/>
    </row>
    <row r="701" spans="1:16" ht="15.75" thickBot="1" x14ac:dyDescent="0.3">
      <c r="A701" s="387"/>
      <c r="B701" s="338"/>
      <c r="C701" s="20" t="s">
        <v>24</v>
      </c>
      <c r="D701" s="21">
        <v>8</v>
      </c>
      <c r="E701" s="21">
        <v>8</v>
      </c>
      <c r="F701" s="21">
        <v>7.8</v>
      </c>
      <c r="G701" s="21">
        <v>0.2</v>
      </c>
      <c r="H701" s="21">
        <v>0.2</v>
      </c>
      <c r="I701" s="79">
        <f t="shared" si="33"/>
        <v>0.97499999999999998</v>
      </c>
      <c r="J701" s="361"/>
      <c r="K701" s="341"/>
      <c r="L701" s="344"/>
      <c r="M701" s="350"/>
      <c r="N701" s="338"/>
      <c r="O701" s="335"/>
    </row>
    <row r="702" spans="1:16" ht="53.25" customHeight="1" x14ac:dyDescent="0.25">
      <c r="A702" s="385" t="s">
        <v>1185</v>
      </c>
      <c r="B702" s="336" t="s">
        <v>1186</v>
      </c>
      <c r="C702" s="14" t="s">
        <v>43</v>
      </c>
      <c r="D702" s="15">
        <f>SUM(D703:D704)+76</f>
        <v>76</v>
      </c>
      <c r="E702" s="15">
        <f>SUM(E703:E704)+76</f>
        <v>76</v>
      </c>
      <c r="F702" s="15">
        <f>SUM(F703:F704)+76</f>
        <v>76</v>
      </c>
      <c r="G702" s="15"/>
      <c r="H702" s="15"/>
      <c r="I702" s="148">
        <f t="shared" si="33"/>
        <v>1</v>
      </c>
      <c r="J702" s="41" t="s">
        <v>1187</v>
      </c>
      <c r="K702" s="16" t="s">
        <v>23</v>
      </c>
      <c r="L702" s="17">
        <v>14.6</v>
      </c>
      <c r="M702" s="176">
        <v>19.399999999999999</v>
      </c>
      <c r="N702" s="41" t="s">
        <v>1188</v>
      </c>
      <c r="O702" s="42"/>
      <c r="P702" s="175"/>
    </row>
    <row r="703" spans="1:16" ht="51" x14ac:dyDescent="0.25">
      <c r="A703" s="386"/>
      <c r="B703" s="337"/>
      <c r="C703" s="20"/>
      <c r="D703" s="21"/>
      <c r="E703" s="21"/>
      <c r="F703" s="21"/>
      <c r="G703" s="21"/>
      <c r="H703" s="67"/>
      <c r="I703" s="149"/>
      <c r="J703" s="68" t="s">
        <v>1189</v>
      </c>
      <c r="K703" s="22" t="s">
        <v>118</v>
      </c>
      <c r="L703" s="23">
        <v>147</v>
      </c>
      <c r="M703" s="140">
        <v>145</v>
      </c>
      <c r="N703" s="43" t="s">
        <v>1190</v>
      </c>
      <c r="O703" s="44"/>
    </row>
    <row r="704" spans="1:16" ht="64.5" thickBot="1" x14ac:dyDescent="0.3">
      <c r="A704" s="387"/>
      <c r="B704" s="338"/>
      <c r="C704" s="20"/>
      <c r="D704" s="21"/>
      <c r="E704" s="21"/>
      <c r="F704" s="21"/>
      <c r="G704" s="21"/>
      <c r="H704" s="21"/>
      <c r="I704" s="79"/>
      <c r="J704" s="43" t="s">
        <v>1191</v>
      </c>
      <c r="K704" s="22" t="s">
        <v>35</v>
      </c>
      <c r="L704" s="23">
        <v>1</v>
      </c>
      <c r="M704" s="138">
        <v>0</v>
      </c>
      <c r="N704" s="43" t="s">
        <v>1948</v>
      </c>
      <c r="O704" s="44" t="s">
        <v>1949</v>
      </c>
    </row>
    <row r="705" spans="1:16" ht="27" customHeight="1" x14ac:dyDescent="0.25">
      <c r="A705" s="385" t="s">
        <v>1192</v>
      </c>
      <c r="B705" s="336" t="s">
        <v>1193</v>
      </c>
      <c r="C705" s="14"/>
      <c r="D705" s="15">
        <f>SUM(D706:D707)</f>
        <v>87.4</v>
      </c>
      <c r="E705" s="15">
        <f>SUM(E706:E707)</f>
        <v>87.4</v>
      </c>
      <c r="F705" s="15">
        <f>SUM(F706:F707)</f>
        <v>87.4</v>
      </c>
      <c r="G705" s="15"/>
      <c r="H705" s="15"/>
      <c r="I705" s="148">
        <f t="shared" si="33"/>
        <v>1</v>
      </c>
      <c r="J705" s="371" t="s">
        <v>1194</v>
      </c>
      <c r="K705" s="339" t="s">
        <v>23</v>
      </c>
      <c r="L705" s="342">
        <v>18.399999999999999</v>
      </c>
      <c r="M705" s="348">
        <v>24.8</v>
      </c>
      <c r="N705" s="336" t="s">
        <v>1195</v>
      </c>
      <c r="O705" s="333"/>
      <c r="P705" s="284"/>
    </row>
    <row r="706" spans="1:16" x14ac:dyDescent="0.25">
      <c r="A706" s="386"/>
      <c r="B706" s="337"/>
      <c r="C706" s="20" t="s">
        <v>24</v>
      </c>
      <c r="D706" s="21">
        <v>7</v>
      </c>
      <c r="E706" s="21">
        <v>7</v>
      </c>
      <c r="F706" s="21">
        <v>7</v>
      </c>
      <c r="G706" s="21"/>
      <c r="H706" s="67"/>
      <c r="I706" s="149">
        <f t="shared" si="33"/>
        <v>1</v>
      </c>
      <c r="J706" s="372"/>
      <c r="K706" s="340"/>
      <c r="L706" s="343"/>
      <c r="M706" s="349"/>
      <c r="N706" s="337"/>
      <c r="O706" s="334"/>
    </row>
    <row r="707" spans="1:16" ht="15.75" thickBot="1" x14ac:dyDescent="0.3">
      <c r="A707" s="387"/>
      <c r="B707" s="338"/>
      <c r="C707" s="20" t="s">
        <v>43</v>
      </c>
      <c r="D707" s="21">
        <v>80.400000000000006</v>
      </c>
      <c r="E707" s="21">
        <v>80.400000000000006</v>
      </c>
      <c r="F707" s="21">
        <v>80.400000000000006</v>
      </c>
      <c r="G707" s="21"/>
      <c r="H707" s="21"/>
      <c r="I707" s="79">
        <f t="shared" si="33"/>
        <v>1</v>
      </c>
      <c r="J707" s="361"/>
      <c r="K707" s="341"/>
      <c r="L707" s="344"/>
      <c r="M707" s="350"/>
      <c r="N707" s="338"/>
      <c r="O707" s="335"/>
    </row>
    <row r="708" spans="1:16" ht="29.25" customHeight="1" x14ac:dyDescent="0.25">
      <c r="A708" s="401" t="s">
        <v>1196</v>
      </c>
      <c r="B708" s="404" t="s">
        <v>1197</v>
      </c>
      <c r="C708" s="407"/>
      <c r="D708" s="395">
        <f>D709+D710+D711+D717+D718+D719+D721+D729</f>
        <v>10049.799999999999</v>
      </c>
      <c r="E708" s="395">
        <f>E709+E710+E711+E717+E718+E719+E721+E729</f>
        <v>10049.799999999999</v>
      </c>
      <c r="F708" s="395">
        <f>F709+F710+F711+F717+F718+F719+F721+F729+0.1</f>
        <v>7549.7999999999993</v>
      </c>
      <c r="G708" s="395">
        <f>G709+G710+G711+G717+G718+G719+G721+G729-0.1</f>
        <v>2500</v>
      </c>
      <c r="H708" s="395">
        <f>H709+H710+H711+H717+H718+H719+H721+H729-0.1</f>
        <v>2500</v>
      </c>
      <c r="I708" s="398">
        <f>SUM(F708/E708)</f>
        <v>0.75123883062349495</v>
      </c>
      <c r="J708" s="45" t="s">
        <v>1198</v>
      </c>
      <c r="K708" s="12" t="s">
        <v>35</v>
      </c>
      <c r="L708" s="50">
        <v>12</v>
      </c>
      <c r="M708" s="50">
        <v>12</v>
      </c>
      <c r="N708" s="517"/>
      <c r="O708" s="446"/>
    </row>
    <row r="709" spans="1:16" ht="38.25" x14ac:dyDescent="0.25">
      <c r="A709" s="402"/>
      <c r="B709" s="405"/>
      <c r="C709" s="408"/>
      <c r="D709" s="396"/>
      <c r="E709" s="396"/>
      <c r="F709" s="396"/>
      <c r="G709" s="396"/>
      <c r="H709" s="396"/>
      <c r="I709" s="399"/>
      <c r="J709" s="55" t="s">
        <v>1199</v>
      </c>
      <c r="K709" s="56" t="s">
        <v>35</v>
      </c>
      <c r="L709" s="57">
        <v>20</v>
      </c>
      <c r="M709" s="57">
        <v>20</v>
      </c>
      <c r="N709" s="518"/>
      <c r="O709" s="519"/>
    </row>
    <row r="710" spans="1:16" ht="39" thickBot="1" x14ac:dyDescent="0.3">
      <c r="A710" s="403"/>
      <c r="B710" s="406"/>
      <c r="C710" s="409"/>
      <c r="D710" s="397"/>
      <c r="E710" s="397"/>
      <c r="F710" s="397"/>
      <c r="G710" s="397"/>
      <c r="H710" s="397"/>
      <c r="I710" s="400"/>
      <c r="J710" s="55" t="s">
        <v>1200</v>
      </c>
      <c r="K710" s="56" t="s">
        <v>23</v>
      </c>
      <c r="L710" s="57">
        <v>68.75</v>
      </c>
      <c r="M710" s="57">
        <v>68.75</v>
      </c>
      <c r="N710" s="520"/>
      <c r="O710" s="447"/>
    </row>
    <row r="711" spans="1:16" ht="21" customHeight="1" x14ac:dyDescent="0.25">
      <c r="A711" s="385" t="s">
        <v>1201</v>
      </c>
      <c r="B711" s="336" t="s">
        <v>1202</v>
      </c>
      <c r="C711" s="14"/>
      <c r="D711" s="15">
        <f>SUM(D712:D716)</f>
        <v>9437.7999999999993</v>
      </c>
      <c r="E711" s="15">
        <f>SUM(E712:E716)</f>
        <v>9437.7999999999993</v>
      </c>
      <c r="F711" s="15">
        <f>SUM(F712:F716)-0.1</f>
        <v>7487.7999999999993</v>
      </c>
      <c r="G711" s="15">
        <f>SUM(G712:G716)+0.1</f>
        <v>1950</v>
      </c>
      <c r="H711" s="15">
        <f>SUM(H712:H716)+0.1</f>
        <v>1950</v>
      </c>
      <c r="I711" s="148">
        <f>SUM(F711/E711)</f>
        <v>0.79338405136790358</v>
      </c>
      <c r="J711" s="371" t="s">
        <v>1203</v>
      </c>
      <c r="K711" s="339" t="s">
        <v>23</v>
      </c>
      <c r="L711" s="342">
        <v>40</v>
      </c>
      <c r="M711" s="348">
        <v>67</v>
      </c>
      <c r="N711" s="336" t="s">
        <v>2089</v>
      </c>
      <c r="O711" s="351"/>
      <c r="P711" s="284"/>
    </row>
    <row r="712" spans="1:16" x14ac:dyDescent="0.25">
      <c r="A712" s="386"/>
      <c r="B712" s="337"/>
      <c r="C712" s="20" t="s">
        <v>43</v>
      </c>
      <c r="D712" s="21">
        <v>30.5</v>
      </c>
      <c r="E712" s="21">
        <v>30.5</v>
      </c>
      <c r="F712" s="21">
        <v>28</v>
      </c>
      <c r="G712" s="21">
        <v>2.5</v>
      </c>
      <c r="H712" s="67">
        <v>2.5</v>
      </c>
      <c r="I712" s="149">
        <f t="shared" ref="I712:I716" si="34">SUM(F712/E712)</f>
        <v>0.91803278688524592</v>
      </c>
      <c r="J712" s="372"/>
      <c r="K712" s="340"/>
      <c r="L712" s="343"/>
      <c r="M712" s="349"/>
      <c r="N712" s="337"/>
      <c r="O712" s="352"/>
    </row>
    <row r="713" spans="1:16" x14ac:dyDescent="0.25">
      <c r="A713" s="386"/>
      <c r="B713" s="337"/>
      <c r="C713" s="20" t="s">
        <v>27</v>
      </c>
      <c r="D713" s="21">
        <v>933.5</v>
      </c>
      <c r="E713" s="21">
        <v>933.5</v>
      </c>
      <c r="F713" s="21">
        <v>933.5</v>
      </c>
      <c r="G713" s="21"/>
      <c r="H713" s="67"/>
      <c r="I713" s="149">
        <f t="shared" si="34"/>
        <v>1</v>
      </c>
      <c r="J713" s="372"/>
      <c r="K713" s="340"/>
      <c r="L713" s="343"/>
      <c r="M713" s="349"/>
      <c r="N713" s="337"/>
      <c r="O713" s="352"/>
    </row>
    <row r="714" spans="1:16" x14ac:dyDescent="0.25">
      <c r="A714" s="386"/>
      <c r="B714" s="337"/>
      <c r="C714" s="20" t="s">
        <v>29</v>
      </c>
      <c r="D714" s="21">
        <v>4356.2</v>
      </c>
      <c r="E714" s="21">
        <v>4356.2</v>
      </c>
      <c r="F714" s="21">
        <v>2408.8000000000002</v>
      </c>
      <c r="G714" s="21">
        <v>1947.4</v>
      </c>
      <c r="H714" s="67">
        <v>1947.4</v>
      </c>
      <c r="I714" s="149">
        <f t="shared" si="34"/>
        <v>0.55295900096414308</v>
      </c>
      <c r="J714" s="372"/>
      <c r="K714" s="340"/>
      <c r="L714" s="343"/>
      <c r="M714" s="349"/>
      <c r="N714" s="337"/>
      <c r="O714" s="352"/>
    </row>
    <row r="715" spans="1:16" x14ac:dyDescent="0.25">
      <c r="A715" s="386"/>
      <c r="B715" s="337"/>
      <c r="C715" s="20" t="s">
        <v>24</v>
      </c>
      <c r="D715" s="21">
        <v>2282.6</v>
      </c>
      <c r="E715" s="21">
        <v>2282.6</v>
      </c>
      <c r="F715" s="21">
        <v>2282.6</v>
      </c>
      <c r="G715" s="21"/>
      <c r="H715" s="67"/>
      <c r="I715" s="149">
        <f t="shared" si="34"/>
        <v>1</v>
      </c>
      <c r="J715" s="372"/>
      <c r="K715" s="340"/>
      <c r="L715" s="343"/>
      <c r="M715" s="349"/>
      <c r="N715" s="337"/>
      <c r="O715" s="352"/>
    </row>
    <row r="716" spans="1:16" ht="15.75" thickBot="1" x14ac:dyDescent="0.3">
      <c r="A716" s="387"/>
      <c r="B716" s="338"/>
      <c r="C716" s="20" t="s">
        <v>624</v>
      </c>
      <c r="D716" s="21">
        <v>1835</v>
      </c>
      <c r="E716" s="21">
        <v>1835</v>
      </c>
      <c r="F716" s="21">
        <v>1835</v>
      </c>
      <c r="G716" s="21"/>
      <c r="H716" s="21"/>
      <c r="I716" s="79">
        <f t="shared" si="34"/>
        <v>1</v>
      </c>
      <c r="J716" s="361"/>
      <c r="K716" s="341"/>
      <c r="L716" s="344"/>
      <c r="M716" s="350"/>
      <c r="N716" s="338"/>
      <c r="O716" s="353"/>
    </row>
    <row r="717" spans="1:16" ht="29.25" customHeight="1" thickBot="1" x14ac:dyDescent="0.3">
      <c r="A717" s="13" t="s">
        <v>1204</v>
      </c>
      <c r="B717" s="37" t="s">
        <v>1205</v>
      </c>
      <c r="C717" s="14" t="s">
        <v>43</v>
      </c>
      <c r="D717" s="24"/>
      <c r="E717" s="24"/>
      <c r="F717" s="24"/>
      <c r="G717" s="24"/>
      <c r="H717" s="24"/>
      <c r="I717" s="153"/>
      <c r="J717" s="41" t="s">
        <v>1206</v>
      </c>
      <c r="K717" s="16" t="s">
        <v>23</v>
      </c>
      <c r="L717" s="17">
        <v>20</v>
      </c>
      <c r="M717" s="137">
        <v>0</v>
      </c>
      <c r="N717" s="41"/>
      <c r="O717" s="42" t="s">
        <v>1950</v>
      </c>
      <c r="P717" s="139"/>
    </row>
    <row r="718" spans="1:16" ht="40.5" customHeight="1" thickBot="1" x14ac:dyDescent="0.3">
      <c r="A718" s="13" t="s">
        <v>1207</v>
      </c>
      <c r="B718" s="37" t="s">
        <v>1208</v>
      </c>
      <c r="C718" s="14" t="s">
        <v>43</v>
      </c>
      <c r="D718" s="24"/>
      <c r="E718" s="24"/>
      <c r="F718" s="24"/>
      <c r="G718" s="24"/>
      <c r="H718" s="24"/>
      <c r="I718" s="153"/>
      <c r="J718" s="41" t="s">
        <v>385</v>
      </c>
      <c r="K718" s="16" t="s">
        <v>35</v>
      </c>
      <c r="L718" s="17">
        <v>1</v>
      </c>
      <c r="M718" s="137">
        <v>0</v>
      </c>
      <c r="N718" s="41"/>
      <c r="O718" s="42" t="s">
        <v>1951</v>
      </c>
      <c r="P718" s="139"/>
    </row>
    <row r="719" spans="1:16" ht="41.25" customHeight="1" x14ac:dyDescent="0.25">
      <c r="A719" s="385" t="s">
        <v>1209</v>
      </c>
      <c r="B719" s="336" t="s">
        <v>1210</v>
      </c>
      <c r="C719" s="14"/>
      <c r="D719" s="15">
        <f>SUM(D720:D720)</f>
        <v>50</v>
      </c>
      <c r="E719" s="15">
        <f>SUM(E720:E720)</f>
        <v>50</v>
      </c>
      <c r="F719" s="15"/>
      <c r="G719" s="15">
        <f>SUM(G720:G720)</f>
        <v>50</v>
      </c>
      <c r="H719" s="15">
        <f>SUM(H720:H720)</f>
        <v>50</v>
      </c>
      <c r="I719" s="151">
        <f>SUM(F719/E719)</f>
        <v>0</v>
      </c>
      <c r="J719" s="336" t="s">
        <v>1211</v>
      </c>
      <c r="K719" s="339" t="s">
        <v>35</v>
      </c>
      <c r="L719" s="342">
        <v>1</v>
      </c>
      <c r="M719" s="369">
        <v>0</v>
      </c>
      <c r="N719" s="330"/>
      <c r="O719" s="351" t="s">
        <v>1952</v>
      </c>
      <c r="P719" s="139"/>
    </row>
    <row r="720" spans="1:16" ht="15.75" thickBot="1" x14ac:dyDescent="0.3">
      <c r="A720" s="387"/>
      <c r="B720" s="338"/>
      <c r="C720" s="20" t="s">
        <v>24</v>
      </c>
      <c r="D720" s="21">
        <v>50</v>
      </c>
      <c r="E720" s="21">
        <v>50</v>
      </c>
      <c r="F720" s="21"/>
      <c r="G720" s="21">
        <v>50</v>
      </c>
      <c r="H720" s="21">
        <v>50</v>
      </c>
      <c r="I720" s="79">
        <f t="shared" ref="I720:I729" si="35">SUM(F720/E720)</f>
        <v>0</v>
      </c>
      <c r="J720" s="338"/>
      <c r="K720" s="341"/>
      <c r="L720" s="344"/>
      <c r="M720" s="370"/>
      <c r="N720" s="332"/>
      <c r="O720" s="353"/>
    </row>
    <row r="721" spans="1:19" ht="25.5" x14ac:dyDescent="0.25">
      <c r="A721" s="385" t="s">
        <v>1212</v>
      </c>
      <c r="B721" s="336" t="s">
        <v>1213</v>
      </c>
      <c r="C721" s="14"/>
      <c r="D721" s="15">
        <f>D722+D723+D726</f>
        <v>522</v>
      </c>
      <c r="E721" s="15">
        <f>E722+E723+E726</f>
        <v>522</v>
      </c>
      <c r="F721" s="15">
        <f>F722+F723+F726</f>
        <v>21.9</v>
      </c>
      <c r="G721" s="15">
        <f>G722+G723+G726</f>
        <v>500.1</v>
      </c>
      <c r="H721" s="15">
        <f>H722+H723+H726</f>
        <v>500.1</v>
      </c>
      <c r="I721" s="151">
        <f t="shared" si="35"/>
        <v>4.1954022988505743E-2</v>
      </c>
      <c r="J721" s="41" t="s">
        <v>1214</v>
      </c>
      <c r="K721" s="16" t="s">
        <v>23</v>
      </c>
      <c r="L721" s="17">
        <v>100</v>
      </c>
      <c r="M721" s="137">
        <v>0</v>
      </c>
      <c r="N721" s="41"/>
      <c r="O721" s="42"/>
      <c r="P721" s="139"/>
    </row>
    <row r="722" spans="1:19" ht="39" thickBot="1" x14ac:dyDescent="0.3">
      <c r="A722" s="387"/>
      <c r="B722" s="338"/>
      <c r="C722" s="20"/>
      <c r="D722" s="21"/>
      <c r="E722" s="21"/>
      <c r="F722" s="21"/>
      <c r="G722" s="21"/>
      <c r="H722" s="21"/>
      <c r="I722" s="79"/>
      <c r="J722" s="43" t="s">
        <v>1215</v>
      </c>
      <c r="K722" s="22" t="s">
        <v>35</v>
      </c>
      <c r="L722" s="23">
        <v>0</v>
      </c>
      <c r="M722" s="138">
        <v>0</v>
      </c>
      <c r="N722" s="43"/>
      <c r="O722" s="44"/>
    </row>
    <row r="723" spans="1:19" ht="26.25" customHeight="1" x14ac:dyDescent="0.25">
      <c r="A723" s="385" t="s">
        <v>1216</v>
      </c>
      <c r="B723" s="336" t="s">
        <v>1217</v>
      </c>
      <c r="C723" s="14"/>
      <c r="D723" s="15">
        <f>SUM(D724:D725)</f>
        <v>22</v>
      </c>
      <c r="E723" s="15">
        <f>SUM(E724:E725)</f>
        <v>22</v>
      </c>
      <c r="F723" s="15">
        <f>SUM(F724:F725)-0.1</f>
        <v>21.9</v>
      </c>
      <c r="G723" s="15">
        <f>SUM(G724:G725)+0.1</f>
        <v>0.1</v>
      </c>
      <c r="H723" s="15">
        <f>SUM(H724:H725)+0.1</f>
        <v>0.1</v>
      </c>
      <c r="I723" s="148">
        <f t="shared" si="35"/>
        <v>0.99545454545454537</v>
      </c>
      <c r="J723" s="371" t="s">
        <v>1215</v>
      </c>
      <c r="K723" s="339" t="s">
        <v>35</v>
      </c>
      <c r="L723" s="342">
        <v>1</v>
      </c>
      <c r="M723" s="369">
        <v>0</v>
      </c>
      <c r="N723" s="336" t="s">
        <v>1218</v>
      </c>
      <c r="O723" s="351" t="s">
        <v>1639</v>
      </c>
    </row>
    <row r="724" spans="1:19" x14ac:dyDescent="0.25">
      <c r="A724" s="386"/>
      <c r="B724" s="337"/>
      <c r="C724" s="20" t="s">
        <v>24</v>
      </c>
      <c r="D724" s="21">
        <v>10</v>
      </c>
      <c r="E724" s="21">
        <v>10</v>
      </c>
      <c r="F724" s="21">
        <v>10</v>
      </c>
      <c r="G724" s="21"/>
      <c r="H724" s="67"/>
      <c r="I724" s="149">
        <f t="shared" si="35"/>
        <v>1</v>
      </c>
      <c r="J724" s="372"/>
      <c r="K724" s="340"/>
      <c r="L724" s="343"/>
      <c r="M724" s="373"/>
      <c r="N724" s="337"/>
      <c r="O724" s="352"/>
    </row>
    <row r="725" spans="1:19" ht="15.75" thickBot="1" x14ac:dyDescent="0.3">
      <c r="A725" s="387"/>
      <c r="B725" s="338"/>
      <c r="C725" s="20" t="s">
        <v>43</v>
      </c>
      <c r="D725" s="21">
        <v>12</v>
      </c>
      <c r="E725" s="21">
        <v>12</v>
      </c>
      <c r="F725" s="21">
        <v>12</v>
      </c>
      <c r="G725" s="21"/>
      <c r="H725" s="21"/>
      <c r="I725" s="79">
        <f t="shared" si="35"/>
        <v>1</v>
      </c>
      <c r="J725" s="361"/>
      <c r="K725" s="341"/>
      <c r="L725" s="344"/>
      <c r="M725" s="370"/>
      <c r="N725" s="338"/>
      <c r="O725" s="353"/>
    </row>
    <row r="726" spans="1:19" ht="24" customHeight="1" x14ac:dyDescent="0.25">
      <c r="A726" s="385" t="s">
        <v>1219</v>
      </c>
      <c r="B726" s="336" t="s">
        <v>1220</v>
      </c>
      <c r="C726" s="14"/>
      <c r="D726" s="15">
        <f>SUM(D727:D728)</f>
        <v>500</v>
      </c>
      <c r="E726" s="15">
        <f>SUM(E727:E728)</f>
        <v>500</v>
      </c>
      <c r="F726" s="15"/>
      <c r="G726" s="15">
        <f>SUM(G727:G728)</f>
        <v>500</v>
      </c>
      <c r="H726" s="15">
        <f>SUM(H727:H728)</f>
        <v>500</v>
      </c>
      <c r="I726" s="148">
        <f t="shared" si="35"/>
        <v>0</v>
      </c>
      <c r="J726" s="371" t="s">
        <v>1214</v>
      </c>
      <c r="K726" s="339" t="s">
        <v>23</v>
      </c>
      <c r="L726" s="342">
        <v>100</v>
      </c>
      <c r="M726" s="369">
        <v>0</v>
      </c>
      <c r="N726" s="330"/>
      <c r="O726" s="351" t="s">
        <v>2063</v>
      </c>
    </row>
    <row r="727" spans="1:19" x14ac:dyDescent="0.25">
      <c r="A727" s="386"/>
      <c r="B727" s="337"/>
      <c r="C727" s="20" t="s">
        <v>43</v>
      </c>
      <c r="D727" s="21">
        <v>221</v>
      </c>
      <c r="E727" s="21">
        <v>221</v>
      </c>
      <c r="F727" s="21"/>
      <c r="G727" s="21">
        <v>221</v>
      </c>
      <c r="H727" s="67">
        <v>221</v>
      </c>
      <c r="I727" s="149">
        <f t="shared" si="35"/>
        <v>0</v>
      </c>
      <c r="J727" s="372"/>
      <c r="K727" s="340"/>
      <c r="L727" s="343"/>
      <c r="M727" s="373"/>
      <c r="N727" s="331"/>
      <c r="O727" s="352"/>
    </row>
    <row r="728" spans="1:19" ht="15.75" thickBot="1" x14ac:dyDescent="0.3">
      <c r="A728" s="387"/>
      <c r="B728" s="338"/>
      <c r="C728" s="20" t="s">
        <v>27</v>
      </c>
      <c r="D728" s="21">
        <v>279</v>
      </c>
      <c r="E728" s="21">
        <v>279</v>
      </c>
      <c r="F728" s="21"/>
      <c r="G728" s="21">
        <v>279</v>
      </c>
      <c r="H728" s="21">
        <v>279</v>
      </c>
      <c r="I728" s="79">
        <f t="shared" si="35"/>
        <v>0</v>
      </c>
      <c r="J728" s="361"/>
      <c r="K728" s="341"/>
      <c r="L728" s="344"/>
      <c r="M728" s="370"/>
      <c r="N728" s="332"/>
      <c r="O728" s="353"/>
    </row>
    <row r="729" spans="1:19" ht="26.25" thickBot="1" x14ac:dyDescent="0.3">
      <c r="A729" s="13" t="s">
        <v>1221</v>
      </c>
      <c r="B729" s="37" t="s">
        <v>1222</v>
      </c>
      <c r="C729" s="14" t="s">
        <v>24</v>
      </c>
      <c r="D729" s="24">
        <v>40</v>
      </c>
      <c r="E729" s="24">
        <v>40</v>
      </c>
      <c r="F729" s="24">
        <v>40</v>
      </c>
      <c r="G729" s="24"/>
      <c r="H729" s="24"/>
      <c r="I729" s="154">
        <f t="shared" si="35"/>
        <v>1</v>
      </c>
      <c r="J729" s="41" t="s">
        <v>1223</v>
      </c>
      <c r="K729" s="16" t="s">
        <v>23</v>
      </c>
      <c r="L729" s="17">
        <v>100</v>
      </c>
      <c r="M729" s="136">
        <v>100</v>
      </c>
      <c r="N729" s="41" t="s">
        <v>1953</v>
      </c>
      <c r="O729" s="42"/>
      <c r="P729" s="181"/>
    </row>
    <row r="730" spans="1:19" ht="16.5" thickBot="1" x14ac:dyDescent="0.3">
      <c r="A730" s="118" t="s">
        <v>1224</v>
      </c>
      <c r="B730" s="119" t="s">
        <v>1225</v>
      </c>
      <c r="C730" s="120"/>
      <c r="D730" s="121">
        <f>D731+D781+D852+D863</f>
        <v>165782.80000000002</v>
      </c>
      <c r="E730" s="121">
        <f>E731+E781+E852+E863</f>
        <v>165782.80000000002</v>
      </c>
      <c r="F730" s="121">
        <f>F731+F781+F852+F863</f>
        <v>149167.19999999998</v>
      </c>
      <c r="G730" s="121">
        <f>G731+G781+G852+G863+0.1</f>
        <v>16615.599999999999</v>
      </c>
      <c r="H730" s="121">
        <f>H731+H781+H852+H863+0.1</f>
        <v>16615.599999999999</v>
      </c>
      <c r="I730" s="172">
        <f>SUM(F730/E730)</f>
        <v>0.89977488617637036</v>
      </c>
      <c r="J730" s="428"/>
      <c r="K730" s="429"/>
      <c r="L730" s="429"/>
      <c r="M730" s="429"/>
      <c r="N730" s="429"/>
      <c r="O730" s="430"/>
      <c r="Q730" s="312"/>
      <c r="R730" s="313" t="s">
        <v>1</v>
      </c>
      <c r="S730" s="314" t="s">
        <v>2108</v>
      </c>
    </row>
    <row r="731" spans="1:19" ht="30.75" customHeight="1" x14ac:dyDescent="0.25">
      <c r="A731" s="431" t="s">
        <v>1226</v>
      </c>
      <c r="B731" s="433" t="s">
        <v>1227</v>
      </c>
      <c r="C731" s="435"/>
      <c r="D731" s="426">
        <f>D732+D733+D734+D741+D742+D746+D753+D761+D763+D766+D768+D772+D776+D780</f>
        <v>2370.9</v>
      </c>
      <c r="E731" s="426">
        <f>E732+E733+E734+E741+E742+E746+E753+E761+E763+E766+E768+E772+E776+E780</f>
        <v>2370.9</v>
      </c>
      <c r="F731" s="426">
        <f>F732+F733+F734+F741+F742+F746+F753+F761+F763+F766+F768+F772+F776+F780-0.1</f>
        <v>1513.1000000000001</v>
      </c>
      <c r="G731" s="426">
        <f>G732+G733+G734+G741+G742+G746+G753+G761+G763+G766+G768+G772+G776+G780+0.1</f>
        <v>857.69999999999993</v>
      </c>
      <c r="H731" s="426">
        <f>H732+H733+H734+H741+H742+H746+H753+H761+H763+H766+H768+H772+H776+H780+0.1</f>
        <v>857.69999999999993</v>
      </c>
      <c r="I731" s="437">
        <f>SUM(F731/E731)</f>
        <v>0.63819646547724496</v>
      </c>
      <c r="J731" s="102" t="s">
        <v>1228</v>
      </c>
      <c r="K731" s="103" t="s">
        <v>23</v>
      </c>
      <c r="L731" s="104">
        <v>93</v>
      </c>
      <c r="M731" s="105">
        <v>93.5</v>
      </c>
      <c r="N731" s="531"/>
      <c r="O731" s="532"/>
      <c r="Q731" s="315"/>
      <c r="R731" s="316" t="s">
        <v>2096</v>
      </c>
      <c r="S731" s="317">
        <v>22</v>
      </c>
    </row>
    <row r="732" spans="1:19" ht="51" x14ac:dyDescent="0.25">
      <c r="A732" s="442"/>
      <c r="B732" s="405"/>
      <c r="C732" s="408"/>
      <c r="D732" s="396"/>
      <c r="E732" s="396"/>
      <c r="F732" s="396"/>
      <c r="G732" s="396"/>
      <c r="H732" s="396"/>
      <c r="I732" s="399"/>
      <c r="J732" s="55" t="s">
        <v>1229</v>
      </c>
      <c r="K732" s="56" t="s">
        <v>23</v>
      </c>
      <c r="L732" s="57">
        <v>68</v>
      </c>
      <c r="M732" s="83">
        <v>65</v>
      </c>
      <c r="N732" s="91"/>
      <c r="O732" s="116" t="s">
        <v>2003</v>
      </c>
      <c r="Q732" s="318"/>
      <c r="R732" s="316" t="s">
        <v>2097</v>
      </c>
      <c r="S732" s="317">
        <v>2</v>
      </c>
    </row>
    <row r="733" spans="1:19" ht="32.25" thickBot="1" x14ac:dyDescent="0.3">
      <c r="A733" s="432"/>
      <c r="B733" s="434"/>
      <c r="C733" s="436"/>
      <c r="D733" s="427"/>
      <c r="E733" s="427"/>
      <c r="F733" s="427"/>
      <c r="G733" s="427"/>
      <c r="H733" s="427"/>
      <c r="I733" s="438"/>
      <c r="J733" s="108" t="s">
        <v>1230</v>
      </c>
      <c r="K733" s="109" t="s">
        <v>118</v>
      </c>
      <c r="L733" s="110">
        <v>0.85</v>
      </c>
      <c r="M733" s="111">
        <v>0.99</v>
      </c>
      <c r="N733" s="533"/>
      <c r="O733" s="534"/>
      <c r="Q733" s="319"/>
      <c r="R733" s="316" t="s">
        <v>2098</v>
      </c>
      <c r="S733" s="320">
        <v>6</v>
      </c>
    </row>
    <row r="734" spans="1:19" ht="76.5" x14ac:dyDescent="0.25">
      <c r="A734" s="386" t="s">
        <v>1231</v>
      </c>
      <c r="B734" s="337" t="s">
        <v>1232</v>
      </c>
      <c r="C734" s="98"/>
      <c r="D734" s="99">
        <f>SUM(D735:D740)</f>
        <v>256.2</v>
      </c>
      <c r="E734" s="99">
        <f>SUM(E735:E740)</f>
        <v>256.2</v>
      </c>
      <c r="F734" s="99">
        <f>SUM(F735:F740)</f>
        <v>253</v>
      </c>
      <c r="G734" s="99">
        <f>SUM(G735:G740)</f>
        <v>3.2</v>
      </c>
      <c r="H734" s="99">
        <f>SUM(H735:H740)</f>
        <v>3.2</v>
      </c>
      <c r="I734" s="152">
        <f>SUM(F734/E734)</f>
        <v>0.98750975800156138</v>
      </c>
      <c r="J734" s="84" t="s">
        <v>1233</v>
      </c>
      <c r="K734" s="100" t="s">
        <v>35</v>
      </c>
      <c r="L734" s="101">
        <v>3</v>
      </c>
      <c r="M734" s="213">
        <v>3</v>
      </c>
      <c r="N734" s="84" t="s">
        <v>2062</v>
      </c>
      <c r="O734" s="85"/>
      <c r="P734" s="181"/>
      <c r="Q734" s="321"/>
      <c r="R734" s="316" t="s">
        <v>2099</v>
      </c>
      <c r="S734" s="320">
        <v>10</v>
      </c>
    </row>
    <row r="735" spans="1:19" ht="38.25" x14ac:dyDescent="0.25">
      <c r="A735" s="386"/>
      <c r="B735" s="337"/>
      <c r="C735" s="20" t="s">
        <v>43</v>
      </c>
      <c r="D735" s="21">
        <v>242.2</v>
      </c>
      <c r="E735" s="21">
        <v>242.2</v>
      </c>
      <c r="F735" s="21">
        <v>239</v>
      </c>
      <c r="G735" s="21">
        <v>3.2</v>
      </c>
      <c r="H735" s="67">
        <v>3.2</v>
      </c>
      <c r="I735" s="149">
        <f t="shared" ref="I735:I736" si="36">SUM(F735/E735)</f>
        <v>0.98678777869529322</v>
      </c>
      <c r="J735" s="68" t="s">
        <v>1234</v>
      </c>
      <c r="K735" s="22" t="s">
        <v>118</v>
      </c>
      <c r="L735" s="23">
        <v>100</v>
      </c>
      <c r="M735" s="185">
        <v>45</v>
      </c>
      <c r="N735" s="43" t="s">
        <v>1235</v>
      </c>
      <c r="O735" s="44" t="s">
        <v>1640</v>
      </c>
      <c r="Q735" s="322"/>
      <c r="R735" s="316" t="s">
        <v>2100</v>
      </c>
      <c r="S735" s="320">
        <v>6</v>
      </c>
    </row>
    <row r="736" spans="1:19" ht="25.5" x14ac:dyDescent="0.25">
      <c r="A736" s="386"/>
      <c r="B736" s="337"/>
      <c r="C736" s="20" t="s">
        <v>24</v>
      </c>
      <c r="D736" s="21">
        <v>14</v>
      </c>
      <c r="E736" s="21">
        <v>14</v>
      </c>
      <c r="F736" s="21">
        <v>14</v>
      </c>
      <c r="G736" s="21"/>
      <c r="H736" s="21"/>
      <c r="I736" s="79">
        <f t="shared" si="36"/>
        <v>1</v>
      </c>
      <c r="J736" s="43" t="s">
        <v>1236</v>
      </c>
      <c r="K736" s="22" t="s">
        <v>35</v>
      </c>
      <c r="L736" s="23">
        <v>10</v>
      </c>
      <c r="M736" s="135">
        <v>10</v>
      </c>
      <c r="N736" s="43"/>
      <c r="O736" s="44"/>
      <c r="Q736" s="312"/>
      <c r="R736" s="323" t="s">
        <v>2101</v>
      </c>
      <c r="S736" s="320">
        <f>+SUM(S731:S735)</f>
        <v>46</v>
      </c>
    </row>
    <row r="737" spans="1:16" ht="25.5" x14ac:dyDescent="0.25">
      <c r="A737" s="386"/>
      <c r="B737" s="337"/>
      <c r="C737" s="20"/>
      <c r="D737" s="21"/>
      <c r="E737" s="21"/>
      <c r="F737" s="21"/>
      <c r="G737" s="21"/>
      <c r="H737" s="21"/>
      <c r="I737" s="150"/>
      <c r="J737" s="43" t="s">
        <v>1237</v>
      </c>
      <c r="K737" s="22" t="s">
        <v>118</v>
      </c>
      <c r="L737" s="23">
        <v>100</v>
      </c>
      <c r="M737" s="134">
        <v>204</v>
      </c>
      <c r="N737" s="43" t="s">
        <v>1238</v>
      </c>
      <c r="O737" s="44"/>
    </row>
    <row r="738" spans="1:16" ht="119.25" customHeight="1" x14ac:dyDescent="0.25">
      <c r="A738" s="386"/>
      <c r="B738" s="337"/>
      <c r="C738" s="20"/>
      <c r="D738" s="21"/>
      <c r="E738" s="21"/>
      <c r="F738" s="21"/>
      <c r="G738" s="21"/>
      <c r="H738" s="21"/>
      <c r="I738" s="150"/>
      <c r="J738" s="43" t="s">
        <v>1239</v>
      </c>
      <c r="K738" s="22" t="s">
        <v>118</v>
      </c>
      <c r="L738" s="23">
        <v>360</v>
      </c>
      <c r="M738" s="134">
        <v>743</v>
      </c>
      <c r="N738" s="43" t="s">
        <v>1240</v>
      </c>
      <c r="O738" s="44"/>
    </row>
    <row r="739" spans="1:16" ht="38.25" x14ac:dyDescent="0.25">
      <c r="A739" s="386"/>
      <c r="B739" s="337"/>
      <c r="C739" s="20"/>
      <c r="D739" s="21"/>
      <c r="E739" s="21"/>
      <c r="F739" s="21"/>
      <c r="G739" s="21"/>
      <c r="H739" s="21"/>
      <c r="I739" s="150"/>
      <c r="J739" s="43" t="s">
        <v>1241</v>
      </c>
      <c r="K739" s="22" t="s">
        <v>118</v>
      </c>
      <c r="L739" s="54">
        <v>1300</v>
      </c>
      <c r="M739" s="206">
        <v>1179</v>
      </c>
      <c r="N739" s="43" t="s">
        <v>1955</v>
      </c>
      <c r="O739" s="44" t="s">
        <v>1956</v>
      </c>
    </row>
    <row r="740" spans="1:16" ht="39" thickBot="1" x14ac:dyDescent="0.3">
      <c r="A740" s="387"/>
      <c r="B740" s="338"/>
      <c r="C740" s="20"/>
      <c r="D740" s="21"/>
      <c r="E740" s="21"/>
      <c r="F740" s="21"/>
      <c r="G740" s="21"/>
      <c r="H740" s="21"/>
      <c r="I740" s="173"/>
      <c r="J740" s="43" t="s">
        <v>1242</v>
      </c>
      <c r="K740" s="22" t="s">
        <v>118</v>
      </c>
      <c r="L740" s="54">
        <v>1000</v>
      </c>
      <c r="M740" s="258">
        <v>0</v>
      </c>
      <c r="N740" s="43"/>
      <c r="O740" s="44" t="s">
        <v>1641</v>
      </c>
    </row>
    <row r="741" spans="1:16" ht="44.25" customHeight="1" thickBot="1" x14ac:dyDescent="0.3">
      <c r="A741" s="13" t="s">
        <v>1243</v>
      </c>
      <c r="B741" s="37" t="s">
        <v>1244</v>
      </c>
      <c r="C741" s="14" t="s">
        <v>43</v>
      </c>
      <c r="D741" s="24">
        <v>196.1</v>
      </c>
      <c r="E741" s="24">
        <v>196.1</v>
      </c>
      <c r="F741" s="24">
        <v>196.1</v>
      </c>
      <c r="G741" s="24"/>
      <c r="H741" s="24"/>
      <c r="I741" s="158">
        <f t="shared" ref="I741:I742" si="37">SUM(F741/E741)</f>
        <v>1</v>
      </c>
      <c r="J741" s="41" t="s">
        <v>1245</v>
      </c>
      <c r="K741" s="16" t="s">
        <v>35</v>
      </c>
      <c r="L741" s="17">
        <v>30</v>
      </c>
      <c r="M741" s="136">
        <v>30</v>
      </c>
      <c r="N741" s="41" t="s">
        <v>1246</v>
      </c>
      <c r="O741" s="42"/>
      <c r="P741" s="181"/>
    </row>
    <row r="742" spans="1:16" ht="25.5" x14ac:dyDescent="0.25">
      <c r="A742" s="385" t="s">
        <v>1247</v>
      </c>
      <c r="B742" s="336" t="s">
        <v>1248</v>
      </c>
      <c r="C742" s="14" t="s">
        <v>43</v>
      </c>
      <c r="D742" s="15">
        <f>SUM(D743:D745)+7</f>
        <v>7</v>
      </c>
      <c r="E742" s="15">
        <f>SUM(E743:E745)+7</f>
        <v>7</v>
      </c>
      <c r="F742" s="15">
        <f>SUM(F743:F745)+7</f>
        <v>7</v>
      </c>
      <c r="G742" s="15"/>
      <c r="H742" s="15"/>
      <c r="I742" s="79">
        <f t="shared" si="37"/>
        <v>1</v>
      </c>
      <c r="J742" s="41" t="s">
        <v>1249</v>
      </c>
      <c r="K742" s="16" t="s">
        <v>35</v>
      </c>
      <c r="L742" s="17">
        <v>1</v>
      </c>
      <c r="M742" s="136">
        <v>1</v>
      </c>
      <c r="N742" s="41"/>
      <c r="O742" s="42"/>
      <c r="P742" s="181"/>
    </row>
    <row r="743" spans="1:16" ht="25.5" x14ac:dyDescent="0.25">
      <c r="A743" s="386"/>
      <c r="B743" s="337"/>
      <c r="C743" s="20"/>
      <c r="D743" s="21"/>
      <c r="E743" s="21"/>
      <c r="F743" s="21"/>
      <c r="G743" s="21"/>
      <c r="H743" s="21"/>
      <c r="I743" s="150"/>
      <c r="J743" s="43" t="s">
        <v>1250</v>
      </c>
      <c r="K743" s="22" t="s">
        <v>35</v>
      </c>
      <c r="L743" s="23">
        <v>1</v>
      </c>
      <c r="M743" s="135">
        <v>1</v>
      </c>
      <c r="N743" s="43"/>
      <c r="O743" s="44"/>
    </row>
    <row r="744" spans="1:16" ht="25.5" x14ac:dyDescent="0.25">
      <c r="A744" s="386"/>
      <c r="B744" s="337"/>
      <c r="C744" s="20"/>
      <c r="D744" s="21"/>
      <c r="E744" s="21"/>
      <c r="F744" s="21"/>
      <c r="G744" s="21"/>
      <c r="H744" s="21"/>
      <c r="I744" s="150"/>
      <c r="J744" s="43" t="s">
        <v>1251</v>
      </c>
      <c r="K744" s="22" t="s">
        <v>35</v>
      </c>
      <c r="L744" s="23">
        <v>1</v>
      </c>
      <c r="M744" s="135">
        <v>1</v>
      </c>
      <c r="N744" s="43"/>
      <c r="O744" s="44"/>
    </row>
    <row r="745" spans="1:16" ht="26.25" thickBot="1" x14ac:dyDescent="0.3">
      <c r="A745" s="387"/>
      <c r="B745" s="338"/>
      <c r="C745" s="20"/>
      <c r="D745" s="21"/>
      <c r="E745" s="21"/>
      <c r="F745" s="21"/>
      <c r="G745" s="21"/>
      <c r="H745" s="21"/>
      <c r="I745" s="173"/>
      <c r="J745" s="43" t="s">
        <v>1252</v>
      </c>
      <c r="K745" s="22" t="s">
        <v>35</v>
      </c>
      <c r="L745" s="23">
        <v>1</v>
      </c>
      <c r="M745" s="135">
        <v>1</v>
      </c>
      <c r="N745" s="43"/>
      <c r="O745" s="44"/>
    </row>
    <row r="746" spans="1:16" ht="38.25" x14ac:dyDescent="0.25">
      <c r="A746" s="385" t="s">
        <v>1253</v>
      </c>
      <c r="B746" s="336" t="s">
        <v>1254</v>
      </c>
      <c r="C746" s="14" t="s">
        <v>43</v>
      </c>
      <c r="D746" s="15">
        <f>SUM(D747:D752)+154</f>
        <v>154</v>
      </c>
      <c r="E746" s="15">
        <f>SUM(E747:E752)+154</f>
        <v>154</v>
      </c>
      <c r="F746" s="15">
        <f>SUM(F747:F752)+149.4</f>
        <v>149.4</v>
      </c>
      <c r="G746" s="15">
        <f>SUM(G747:G752)+4.6</f>
        <v>4.5999999999999996</v>
      </c>
      <c r="H746" s="15">
        <f>SUM(H747:H752)+4.6</f>
        <v>4.5999999999999996</v>
      </c>
      <c r="I746" s="79">
        <f t="shared" ref="I746" si="38">SUM(F746/E746)</f>
        <v>0.97012987012987018</v>
      </c>
      <c r="J746" s="41" t="s">
        <v>1255</v>
      </c>
      <c r="K746" s="16" t="s">
        <v>23</v>
      </c>
      <c r="L746" s="17">
        <v>17.5</v>
      </c>
      <c r="M746" s="176">
        <v>67.900000000000006</v>
      </c>
      <c r="N746" s="41" t="s">
        <v>1957</v>
      </c>
      <c r="O746" s="42"/>
      <c r="P746" s="181"/>
    </row>
    <row r="747" spans="1:16" ht="25.5" x14ac:dyDescent="0.25">
      <c r="A747" s="386"/>
      <c r="B747" s="337"/>
      <c r="C747" s="20"/>
      <c r="D747" s="21"/>
      <c r="E747" s="21"/>
      <c r="F747" s="21"/>
      <c r="G747" s="21"/>
      <c r="H747" s="21"/>
      <c r="I747" s="150"/>
      <c r="J747" s="43" t="s">
        <v>1256</v>
      </c>
      <c r="K747" s="22" t="s">
        <v>35</v>
      </c>
      <c r="L747" s="23">
        <v>9</v>
      </c>
      <c r="M747" s="135">
        <v>9</v>
      </c>
      <c r="N747" s="43"/>
      <c r="O747" s="44"/>
    </row>
    <row r="748" spans="1:16" ht="38.25" x14ac:dyDescent="0.25">
      <c r="A748" s="386"/>
      <c r="B748" s="337"/>
      <c r="C748" s="20"/>
      <c r="D748" s="21"/>
      <c r="E748" s="21"/>
      <c r="F748" s="21"/>
      <c r="G748" s="21"/>
      <c r="H748" s="21"/>
      <c r="I748" s="150"/>
      <c r="J748" s="43" t="s">
        <v>1257</v>
      </c>
      <c r="K748" s="22" t="s">
        <v>23</v>
      </c>
      <c r="L748" s="23">
        <v>42.4</v>
      </c>
      <c r="M748" s="134">
        <v>84.9</v>
      </c>
      <c r="N748" s="43"/>
      <c r="O748" s="44"/>
    </row>
    <row r="749" spans="1:16" ht="25.5" x14ac:dyDescent="0.25">
      <c r="A749" s="386"/>
      <c r="B749" s="337"/>
      <c r="C749" s="20"/>
      <c r="D749" s="21"/>
      <c r="E749" s="21"/>
      <c r="F749" s="21"/>
      <c r="G749" s="21"/>
      <c r="H749" s="21"/>
      <c r="I749" s="150"/>
      <c r="J749" s="43" t="s">
        <v>1258</v>
      </c>
      <c r="K749" s="22" t="s">
        <v>35</v>
      </c>
      <c r="L749" s="23">
        <v>19</v>
      </c>
      <c r="M749" s="135">
        <v>19</v>
      </c>
      <c r="N749" s="43"/>
      <c r="O749" s="44"/>
    </row>
    <row r="750" spans="1:16" ht="25.5" x14ac:dyDescent="0.25">
      <c r="A750" s="386"/>
      <c r="B750" s="337"/>
      <c r="C750" s="20"/>
      <c r="D750" s="21"/>
      <c r="E750" s="21"/>
      <c r="F750" s="21"/>
      <c r="G750" s="21"/>
      <c r="H750" s="21"/>
      <c r="I750" s="150"/>
      <c r="J750" s="43" t="s">
        <v>1259</v>
      </c>
      <c r="K750" s="22" t="s">
        <v>35</v>
      </c>
      <c r="L750" s="23">
        <v>75</v>
      </c>
      <c r="M750" s="135">
        <v>75</v>
      </c>
      <c r="N750" s="43"/>
      <c r="O750" s="44"/>
    </row>
    <row r="751" spans="1:16" x14ac:dyDescent="0.25">
      <c r="A751" s="386"/>
      <c r="B751" s="337"/>
      <c r="C751" s="20"/>
      <c r="D751" s="21"/>
      <c r="E751" s="21"/>
      <c r="F751" s="21"/>
      <c r="G751" s="21"/>
      <c r="H751" s="21"/>
      <c r="I751" s="150"/>
      <c r="J751" s="43" t="s">
        <v>1260</v>
      </c>
      <c r="K751" s="22" t="s">
        <v>35</v>
      </c>
      <c r="L751" s="23">
        <v>2</v>
      </c>
      <c r="M751" s="135">
        <v>2</v>
      </c>
      <c r="N751" s="43"/>
      <c r="O751" s="44"/>
    </row>
    <row r="752" spans="1:16" ht="15.75" thickBot="1" x14ac:dyDescent="0.3">
      <c r="A752" s="387"/>
      <c r="B752" s="338"/>
      <c r="C752" s="20"/>
      <c r="D752" s="21"/>
      <c r="E752" s="21"/>
      <c r="F752" s="21"/>
      <c r="G752" s="21"/>
      <c r="H752" s="21"/>
      <c r="I752" s="173"/>
      <c r="J752" s="43" t="s">
        <v>1261</v>
      </c>
      <c r="K752" s="22" t="s">
        <v>108</v>
      </c>
      <c r="L752" s="23">
        <v>1</v>
      </c>
      <c r="M752" s="135">
        <v>1</v>
      </c>
      <c r="N752" s="43"/>
      <c r="O752" s="44"/>
    </row>
    <row r="753" spans="1:16" ht="63.75" x14ac:dyDescent="0.25">
      <c r="A753" s="385" t="s">
        <v>1262</v>
      </c>
      <c r="B753" s="336" t="s">
        <v>1263</v>
      </c>
      <c r="C753" s="14" t="s">
        <v>43</v>
      </c>
      <c r="D753" s="15">
        <f>SUM(D754:D760)+375.7</f>
        <v>375.7</v>
      </c>
      <c r="E753" s="15">
        <f>SUM(E754:E760)+375.7</f>
        <v>375.7</v>
      </c>
      <c r="F753" s="15">
        <f>SUM(F754:F760)+365.4</f>
        <v>365.4</v>
      </c>
      <c r="G753" s="15">
        <f>SUM(G754:G760)+10.3</f>
        <v>10.3</v>
      </c>
      <c r="H753" s="15">
        <f>SUM(H754:H760)+10.3</f>
        <v>10.3</v>
      </c>
      <c r="I753" s="79">
        <f t="shared" ref="I753" si="39">SUM(F753/E753)</f>
        <v>0.97258450891668879</v>
      </c>
      <c r="J753" s="41" t="s">
        <v>1264</v>
      </c>
      <c r="K753" s="16" t="s">
        <v>35</v>
      </c>
      <c r="L753" s="17">
        <v>6</v>
      </c>
      <c r="M753" s="136">
        <v>6</v>
      </c>
      <c r="N753" s="41" t="s">
        <v>1265</v>
      </c>
      <c r="O753" s="42"/>
      <c r="P753" s="181"/>
    </row>
    <row r="754" spans="1:16" ht="51" x14ac:dyDescent="0.25">
      <c r="A754" s="386"/>
      <c r="B754" s="337"/>
      <c r="C754" s="20"/>
      <c r="D754" s="21"/>
      <c r="E754" s="21"/>
      <c r="F754" s="21"/>
      <c r="G754" s="21"/>
      <c r="H754" s="21"/>
      <c r="I754" s="150"/>
      <c r="J754" s="43" t="s">
        <v>1266</v>
      </c>
      <c r="K754" s="22" t="s">
        <v>35</v>
      </c>
      <c r="L754" s="23">
        <v>1</v>
      </c>
      <c r="M754" s="135">
        <v>1</v>
      </c>
      <c r="N754" s="43"/>
      <c r="O754" s="44"/>
    </row>
    <row r="755" spans="1:16" ht="18" customHeight="1" x14ac:dyDescent="0.25">
      <c r="A755" s="386"/>
      <c r="B755" s="337"/>
      <c r="C755" s="20"/>
      <c r="D755" s="21"/>
      <c r="E755" s="21"/>
      <c r="F755" s="21"/>
      <c r="G755" s="21"/>
      <c r="H755" s="21"/>
      <c r="I755" s="150"/>
      <c r="J755" s="43" t="s">
        <v>1267</v>
      </c>
      <c r="K755" s="22" t="s">
        <v>35</v>
      </c>
      <c r="L755" s="23">
        <v>2</v>
      </c>
      <c r="M755" s="135">
        <v>2</v>
      </c>
      <c r="N755" s="43"/>
      <c r="O755" s="44"/>
    </row>
    <row r="756" spans="1:16" ht="25.5" x14ac:dyDescent="0.25">
      <c r="A756" s="386"/>
      <c r="B756" s="337"/>
      <c r="C756" s="20"/>
      <c r="D756" s="21"/>
      <c r="E756" s="21"/>
      <c r="F756" s="21"/>
      <c r="G756" s="21"/>
      <c r="H756" s="21"/>
      <c r="I756" s="150"/>
      <c r="J756" s="43" t="s">
        <v>1268</v>
      </c>
      <c r="K756" s="22" t="s">
        <v>118</v>
      </c>
      <c r="L756" s="23">
        <v>65</v>
      </c>
      <c r="M756" s="134">
        <v>81</v>
      </c>
      <c r="N756" s="43"/>
      <c r="O756" s="44"/>
    </row>
    <row r="757" spans="1:16" ht="51" x14ac:dyDescent="0.25">
      <c r="A757" s="386"/>
      <c r="B757" s="337"/>
      <c r="C757" s="20"/>
      <c r="D757" s="21"/>
      <c r="E757" s="21"/>
      <c r="F757" s="21"/>
      <c r="G757" s="21"/>
      <c r="H757" s="21"/>
      <c r="I757" s="150"/>
      <c r="J757" s="43" t="s">
        <v>1269</v>
      </c>
      <c r="K757" s="22" t="s">
        <v>118</v>
      </c>
      <c r="L757" s="54">
        <v>2470</v>
      </c>
      <c r="M757" s="206">
        <v>2001</v>
      </c>
      <c r="N757" s="43"/>
      <c r="O757" s="44" t="s">
        <v>2002</v>
      </c>
    </row>
    <row r="758" spans="1:16" ht="25.5" x14ac:dyDescent="0.25">
      <c r="A758" s="386"/>
      <c r="B758" s="337"/>
      <c r="C758" s="20"/>
      <c r="D758" s="21"/>
      <c r="E758" s="21"/>
      <c r="F758" s="21"/>
      <c r="G758" s="21"/>
      <c r="H758" s="21"/>
      <c r="I758" s="150"/>
      <c r="J758" s="43" t="s">
        <v>1270</v>
      </c>
      <c r="K758" s="22" t="s">
        <v>118</v>
      </c>
      <c r="L758" s="54">
        <v>1100</v>
      </c>
      <c r="M758" s="188">
        <v>1332</v>
      </c>
      <c r="N758" s="43"/>
      <c r="O758" s="44"/>
    </row>
    <row r="759" spans="1:16" ht="38.25" x14ac:dyDescent="0.25">
      <c r="A759" s="386"/>
      <c r="B759" s="337"/>
      <c r="C759" s="20"/>
      <c r="D759" s="21"/>
      <c r="E759" s="21"/>
      <c r="F759" s="21"/>
      <c r="G759" s="21"/>
      <c r="H759" s="21"/>
      <c r="I759" s="150"/>
      <c r="J759" s="43" t="s">
        <v>1271</v>
      </c>
      <c r="K759" s="22" t="s">
        <v>118</v>
      </c>
      <c r="L759" s="23">
        <v>5</v>
      </c>
      <c r="M759" s="135">
        <v>5</v>
      </c>
      <c r="N759" s="43"/>
      <c r="O759" s="44"/>
    </row>
    <row r="760" spans="1:16" ht="90" thickBot="1" x14ac:dyDescent="0.3">
      <c r="A760" s="386"/>
      <c r="B760" s="337"/>
      <c r="C760" s="113"/>
      <c r="D760" s="114"/>
      <c r="E760" s="114"/>
      <c r="F760" s="114"/>
      <c r="G760" s="114"/>
      <c r="H760" s="114"/>
      <c r="I760" s="269"/>
      <c r="J760" s="71" t="s">
        <v>1272</v>
      </c>
      <c r="K760" s="75" t="s">
        <v>35</v>
      </c>
      <c r="L760" s="76">
        <v>2</v>
      </c>
      <c r="M760" s="214">
        <v>3</v>
      </c>
      <c r="N760" s="71" t="s">
        <v>1958</v>
      </c>
      <c r="O760" s="259"/>
    </row>
    <row r="761" spans="1:16" ht="54" customHeight="1" x14ac:dyDescent="0.25">
      <c r="A761" s="388" t="s">
        <v>1273</v>
      </c>
      <c r="B761" s="390" t="s">
        <v>1274</v>
      </c>
      <c r="C761" s="195" t="s">
        <v>43</v>
      </c>
      <c r="D761" s="196">
        <f>SUM(D762:D762)+30</f>
        <v>30</v>
      </c>
      <c r="E761" s="196">
        <f>SUM(E762:E762)+30</f>
        <v>30</v>
      </c>
      <c r="F761" s="196">
        <f>SUM(F762:F762)+30</f>
        <v>30</v>
      </c>
      <c r="G761" s="196"/>
      <c r="H761" s="196"/>
      <c r="I761" s="197">
        <f t="shared" ref="I761" si="40">SUM(F761/E761)</f>
        <v>1</v>
      </c>
      <c r="J761" s="198" t="s">
        <v>1275</v>
      </c>
      <c r="K761" s="199" t="s">
        <v>35</v>
      </c>
      <c r="L761" s="224">
        <v>10</v>
      </c>
      <c r="M761" s="283">
        <v>11</v>
      </c>
      <c r="N761" s="198" t="s">
        <v>1276</v>
      </c>
      <c r="O761" s="202"/>
      <c r="P761" s="284"/>
    </row>
    <row r="762" spans="1:16" ht="51.75" thickBot="1" x14ac:dyDescent="0.3">
      <c r="A762" s="389"/>
      <c r="B762" s="391"/>
      <c r="C762" s="58"/>
      <c r="D762" s="59"/>
      <c r="E762" s="59"/>
      <c r="F762" s="59"/>
      <c r="G762" s="59"/>
      <c r="H762" s="59"/>
      <c r="I762" s="173"/>
      <c r="J762" s="60" t="s">
        <v>1277</v>
      </c>
      <c r="K762" s="61" t="s">
        <v>118</v>
      </c>
      <c r="L762" s="310">
        <v>1000</v>
      </c>
      <c r="M762" s="257">
        <v>147</v>
      </c>
      <c r="N762" s="60"/>
      <c r="O762" s="204" t="s">
        <v>1959</v>
      </c>
      <c r="P762" s="307"/>
    </row>
    <row r="763" spans="1:16" ht="52.5" customHeight="1" x14ac:dyDescent="0.25">
      <c r="A763" s="386" t="s">
        <v>1278</v>
      </c>
      <c r="B763" s="337" t="s">
        <v>1279</v>
      </c>
      <c r="C763" s="98" t="s">
        <v>43</v>
      </c>
      <c r="D763" s="99">
        <f>SUM(D764:D765)+300</f>
        <v>300</v>
      </c>
      <c r="E763" s="99">
        <f>SUM(E764:E765)+300</f>
        <v>300</v>
      </c>
      <c r="F763" s="99">
        <f>SUM(F764:F765)+83.2</f>
        <v>83.2</v>
      </c>
      <c r="G763" s="99">
        <f>SUM(G764:G765)+216.8</f>
        <v>216.8</v>
      </c>
      <c r="H763" s="99">
        <f>SUM(H764:H765)+216.8</f>
        <v>216.8</v>
      </c>
      <c r="I763" s="79">
        <f t="shared" ref="I763" si="41">SUM(F763/E763)</f>
        <v>0.27733333333333332</v>
      </c>
      <c r="J763" s="84" t="s">
        <v>1280</v>
      </c>
      <c r="K763" s="100" t="s">
        <v>23</v>
      </c>
      <c r="L763" s="101">
        <v>100</v>
      </c>
      <c r="M763" s="308">
        <v>99.02</v>
      </c>
      <c r="N763" s="309"/>
      <c r="O763" s="85"/>
      <c r="P763" s="311"/>
    </row>
    <row r="764" spans="1:16" ht="51" x14ac:dyDescent="0.25">
      <c r="A764" s="386"/>
      <c r="B764" s="337"/>
      <c r="C764" s="20"/>
      <c r="D764" s="21"/>
      <c r="E764" s="21"/>
      <c r="F764" s="21"/>
      <c r="G764" s="21"/>
      <c r="H764" s="21"/>
      <c r="I764" s="150"/>
      <c r="J764" s="43" t="s">
        <v>1281</v>
      </c>
      <c r="K764" s="22" t="s">
        <v>23</v>
      </c>
      <c r="L764" s="23">
        <v>15</v>
      </c>
      <c r="M764" s="134">
        <v>28.15</v>
      </c>
      <c r="N764" s="43"/>
      <c r="O764" s="44"/>
    </row>
    <row r="765" spans="1:16" ht="54" customHeight="1" thickBot="1" x14ac:dyDescent="0.3">
      <c r="A765" s="387"/>
      <c r="B765" s="338"/>
      <c r="C765" s="20"/>
      <c r="D765" s="21"/>
      <c r="E765" s="21"/>
      <c r="F765" s="21"/>
      <c r="G765" s="21"/>
      <c r="H765" s="21"/>
      <c r="I765" s="173"/>
      <c r="J765" s="43" t="s">
        <v>1282</v>
      </c>
      <c r="K765" s="22" t="s">
        <v>23</v>
      </c>
      <c r="L765" s="23">
        <v>12.5</v>
      </c>
      <c r="M765" s="134">
        <v>12.79</v>
      </c>
      <c r="N765" s="43"/>
      <c r="O765" s="44"/>
    </row>
    <row r="766" spans="1:16" ht="1.5" hidden="1" customHeight="1" thickBot="1" x14ac:dyDescent="0.3">
      <c r="A766" s="13" t="s">
        <v>1283</v>
      </c>
      <c r="B766" s="37" t="s">
        <v>1284</v>
      </c>
      <c r="C766" s="14" t="s">
        <v>43</v>
      </c>
      <c r="D766" s="15"/>
      <c r="E766" s="15"/>
      <c r="F766" s="15"/>
      <c r="G766" s="15"/>
      <c r="H766" s="15"/>
      <c r="I766" s="79"/>
      <c r="J766" s="41" t="s">
        <v>1285</v>
      </c>
      <c r="K766" s="16" t="s">
        <v>35</v>
      </c>
      <c r="L766" s="17">
        <v>0</v>
      </c>
      <c r="M766" s="17">
        <v>0</v>
      </c>
      <c r="N766" s="41"/>
      <c r="O766" s="42"/>
    </row>
    <row r="767" spans="1:16" ht="39" hidden="1" thickBot="1" x14ac:dyDescent="0.3">
      <c r="A767" s="18"/>
      <c r="B767" s="38"/>
      <c r="C767" s="20"/>
      <c r="D767" s="21"/>
      <c r="E767" s="21"/>
      <c r="F767" s="21"/>
      <c r="G767" s="21"/>
      <c r="H767" s="21"/>
      <c r="I767" s="150"/>
      <c r="J767" s="43" t="s">
        <v>1286</v>
      </c>
      <c r="K767" s="22" t="s">
        <v>35</v>
      </c>
      <c r="L767" s="23">
        <v>0</v>
      </c>
      <c r="M767" s="23">
        <v>0</v>
      </c>
      <c r="N767" s="43"/>
      <c r="O767" s="44"/>
    </row>
    <row r="768" spans="1:16" ht="23.25" customHeight="1" x14ac:dyDescent="0.25">
      <c r="A768" s="385" t="s">
        <v>1287</v>
      </c>
      <c r="B768" s="336" t="s">
        <v>1288</v>
      </c>
      <c r="C768" s="14"/>
      <c r="D768" s="15">
        <f>SUM(D769:D771)</f>
        <v>48.4</v>
      </c>
      <c r="E768" s="15">
        <f>SUM(E769:E771)</f>
        <v>48.4</v>
      </c>
      <c r="F768" s="15">
        <f>SUM(F769:F771)</f>
        <v>37.9</v>
      </c>
      <c r="G768" s="15">
        <f>SUM(G769:G771)</f>
        <v>10.5</v>
      </c>
      <c r="H768" s="15">
        <f>SUM(H769:H771)</f>
        <v>10.5</v>
      </c>
      <c r="I768" s="79">
        <f t="shared" ref="I768:I780" si="42">SUM(F768/E768)</f>
        <v>0.78305785123966942</v>
      </c>
      <c r="J768" s="336" t="s">
        <v>1289</v>
      </c>
      <c r="K768" s="339" t="s">
        <v>118</v>
      </c>
      <c r="L768" s="342">
        <v>2</v>
      </c>
      <c r="M768" s="345">
        <v>2</v>
      </c>
      <c r="N768" s="374" t="s">
        <v>2008</v>
      </c>
      <c r="O768" s="351"/>
      <c r="P768" s="181"/>
    </row>
    <row r="769" spans="1:16" x14ac:dyDescent="0.25">
      <c r="A769" s="386"/>
      <c r="B769" s="337"/>
      <c r="C769" s="20" t="s">
        <v>43</v>
      </c>
      <c r="D769" s="21">
        <v>9</v>
      </c>
      <c r="E769" s="21">
        <v>9</v>
      </c>
      <c r="F769" s="21"/>
      <c r="G769" s="21">
        <v>9</v>
      </c>
      <c r="H769" s="21">
        <v>9</v>
      </c>
      <c r="I769" s="79">
        <f t="shared" si="42"/>
        <v>0</v>
      </c>
      <c r="J769" s="337"/>
      <c r="K769" s="340"/>
      <c r="L769" s="343"/>
      <c r="M769" s="346"/>
      <c r="N769" s="375"/>
      <c r="O769" s="352"/>
    </row>
    <row r="770" spans="1:16" x14ac:dyDescent="0.25">
      <c r="A770" s="386"/>
      <c r="B770" s="337"/>
      <c r="C770" s="20" t="s">
        <v>27</v>
      </c>
      <c r="D770" s="21">
        <v>36.4</v>
      </c>
      <c r="E770" s="21">
        <v>36.4</v>
      </c>
      <c r="F770" s="21">
        <v>36.4</v>
      </c>
      <c r="G770" s="21"/>
      <c r="H770" s="21"/>
      <c r="I770" s="79">
        <f t="shared" si="42"/>
        <v>1</v>
      </c>
      <c r="J770" s="337"/>
      <c r="K770" s="340"/>
      <c r="L770" s="343"/>
      <c r="M770" s="346"/>
      <c r="N770" s="375"/>
      <c r="O770" s="352"/>
    </row>
    <row r="771" spans="1:16" ht="15.75" thickBot="1" x14ac:dyDescent="0.3">
      <c r="A771" s="387"/>
      <c r="B771" s="338"/>
      <c r="C771" s="20" t="s">
        <v>24</v>
      </c>
      <c r="D771" s="21">
        <v>3</v>
      </c>
      <c r="E771" s="21">
        <v>3</v>
      </c>
      <c r="F771" s="21">
        <v>1.5</v>
      </c>
      <c r="G771" s="21">
        <v>1.5</v>
      </c>
      <c r="H771" s="21">
        <v>1.5</v>
      </c>
      <c r="I771" s="80">
        <f t="shared" si="42"/>
        <v>0.5</v>
      </c>
      <c r="J771" s="338"/>
      <c r="K771" s="341"/>
      <c r="L771" s="344"/>
      <c r="M771" s="347"/>
      <c r="N771" s="376"/>
      <c r="O771" s="353"/>
    </row>
    <row r="772" spans="1:16" ht="24" customHeight="1" x14ac:dyDescent="0.25">
      <c r="A772" s="385" t="s">
        <v>1290</v>
      </c>
      <c r="B772" s="336" t="s">
        <v>1291</v>
      </c>
      <c r="C772" s="14"/>
      <c r="D772" s="15">
        <f>SUM(D773:D775)</f>
        <v>857.2</v>
      </c>
      <c r="E772" s="15">
        <f>SUM(E773:E775)</f>
        <v>857.2</v>
      </c>
      <c r="F772" s="15">
        <f>SUM(F773:F775)</f>
        <v>271.2</v>
      </c>
      <c r="G772" s="15">
        <f>SUM(G773:G775)</f>
        <v>585.9</v>
      </c>
      <c r="H772" s="15">
        <f>SUM(H773:H775)</f>
        <v>585.9</v>
      </c>
      <c r="I772" s="79">
        <f t="shared" si="42"/>
        <v>0.31637890807279512</v>
      </c>
      <c r="J772" s="336" t="s">
        <v>1292</v>
      </c>
      <c r="K772" s="339" t="s">
        <v>108</v>
      </c>
      <c r="L772" s="342">
        <v>140</v>
      </c>
      <c r="M772" s="440">
        <v>122</v>
      </c>
      <c r="N772" s="336" t="s">
        <v>1960</v>
      </c>
      <c r="O772" s="351" t="s">
        <v>1961</v>
      </c>
      <c r="P772" s="175"/>
    </row>
    <row r="773" spans="1:16" x14ac:dyDescent="0.25">
      <c r="A773" s="386"/>
      <c r="B773" s="337"/>
      <c r="C773" s="20" t="s">
        <v>24</v>
      </c>
      <c r="D773" s="21">
        <v>230.7</v>
      </c>
      <c r="E773" s="21">
        <v>230.7</v>
      </c>
      <c r="F773" s="21">
        <v>220.4</v>
      </c>
      <c r="G773" s="21">
        <v>10.3</v>
      </c>
      <c r="H773" s="21">
        <v>10.3</v>
      </c>
      <c r="I773" s="79">
        <f t="shared" si="42"/>
        <v>0.95535327264846126</v>
      </c>
      <c r="J773" s="337"/>
      <c r="K773" s="340"/>
      <c r="L773" s="343"/>
      <c r="M773" s="358"/>
      <c r="N773" s="337"/>
      <c r="O773" s="352"/>
    </row>
    <row r="774" spans="1:16" x14ac:dyDescent="0.25">
      <c r="A774" s="386"/>
      <c r="B774" s="337"/>
      <c r="C774" s="20" t="s">
        <v>27</v>
      </c>
      <c r="D774" s="21">
        <v>130.4</v>
      </c>
      <c r="E774" s="21">
        <v>130.4</v>
      </c>
      <c r="F774" s="21"/>
      <c r="G774" s="21">
        <v>130.4</v>
      </c>
      <c r="H774" s="21">
        <v>130.4</v>
      </c>
      <c r="I774" s="79">
        <f t="shared" si="42"/>
        <v>0</v>
      </c>
      <c r="J774" s="337"/>
      <c r="K774" s="340"/>
      <c r="L774" s="343"/>
      <c r="M774" s="358"/>
      <c r="N774" s="337"/>
      <c r="O774" s="352"/>
    </row>
    <row r="775" spans="1:16" ht="15.75" thickBot="1" x14ac:dyDescent="0.3">
      <c r="A775" s="387"/>
      <c r="B775" s="338"/>
      <c r="C775" s="20" t="s">
        <v>29</v>
      </c>
      <c r="D775" s="21">
        <v>496.1</v>
      </c>
      <c r="E775" s="21">
        <v>496.1</v>
      </c>
      <c r="F775" s="21">
        <v>50.8</v>
      </c>
      <c r="G775" s="21">
        <v>445.2</v>
      </c>
      <c r="H775" s="21">
        <v>445.2</v>
      </c>
      <c r="I775" s="80">
        <f t="shared" si="42"/>
        <v>0.10239870993751259</v>
      </c>
      <c r="J775" s="338"/>
      <c r="K775" s="341"/>
      <c r="L775" s="344"/>
      <c r="M775" s="359"/>
      <c r="N775" s="338"/>
      <c r="O775" s="353"/>
    </row>
    <row r="776" spans="1:16" ht="20.25" customHeight="1" x14ac:dyDescent="0.25">
      <c r="A776" s="385" t="s">
        <v>1293</v>
      </c>
      <c r="B776" s="336" t="s">
        <v>1294</v>
      </c>
      <c r="C776" s="14"/>
      <c r="D776" s="15">
        <f>SUM(D777:D779)+0.1</f>
        <v>51.6</v>
      </c>
      <c r="E776" s="15">
        <f>SUM(E777:E779)+0.1</f>
        <v>51.6</v>
      </c>
      <c r="F776" s="15">
        <f>SUM(F777:F779)</f>
        <v>25.3</v>
      </c>
      <c r="G776" s="15">
        <f>SUM(G777:G779)</f>
        <v>26.3</v>
      </c>
      <c r="H776" s="15">
        <f>SUM(H777:H779)</f>
        <v>26.3</v>
      </c>
      <c r="I776" s="79">
        <f t="shared" si="42"/>
        <v>0.49031007751937983</v>
      </c>
      <c r="J776" s="336" t="s">
        <v>1295</v>
      </c>
      <c r="K776" s="339" t="s">
        <v>108</v>
      </c>
      <c r="L776" s="342">
        <v>5</v>
      </c>
      <c r="M776" s="345">
        <v>5</v>
      </c>
      <c r="N776" s="330"/>
      <c r="O776" s="333"/>
      <c r="P776" s="181"/>
    </row>
    <row r="777" spans="1:16" x14ac:dyDescent="0.25">
      <c r="A777" s="386"/>
      <c r="B777" s="337"/>
      <c r="C777" s="20" t="s">
        <v>43</v>
      </c>
      <c r="D777" s="21">
        <v>0.3</v>
      </c>
      <c r="E777" s="21">
        <v>0.3</v>
      </c>
      <c r="F777" s="21"/>
      <c r="G777" s="21">
        <v>0.3</v>
      </c>
      <c r="H777" s="21">
        <v>0.3</v>
      </c>
      <c r="I777" s="79">
        <f t="shared" si="42"/>
        <v>0</v>
      </c>
      <c r="J777" s="337"/>
      <c r="K777" s="340"/>
      <c r="L777" s="343"/>
      <c r="M777" s="346"/>
      <c r="N777" s="331"/>
      <c r="O777" s="334"/>
    </row>
    <row r="778" spans="1:16" x14ac:dyDescent="0.25">
      <c r="A778" s="386"/>
      <c r="B778" s="337"/>
      <c r="C778" s="20" t="s">
        <v>29</v>
      </c>
      <c r="D778" s="21">
        <v>41.2</v>
      </c>
      <c r="E778" s="21">
        <v>41.2</v>
      </c>
      <c r="F778" s="21">
        <v>18.8</v>
      </c>
      <c r="G778" s="21">
        <v>22.5</v>
      </c>
      <c r="H778" s="21">
        <v>22.5</v>
      </c>
      <c r="I778" s="79">
        <f t="shared" si="42"/>
        <v>0.45631067961165045</v>
      </c>
      <c r="J778" s="337"/>
      <c r="K778" s="340"/>
      <c r="L778" s="343"/>
      <c r="M778" s="346"/>
      <c r="N778" s="331"/>
      <c r="O778" s="334"/>
    </row>
    <row r="779" spans="1:16" ht="15.75" thickBot="1" x14ac:dyDescent="0.3">
      <c r="A779" s="387"/>
      <c r="B779" s="338"/>
      <c r="C779" s="20" t="s">
        <v>24</v>
      </c>
      <c r="D779" s="21">
        <v>10</v>
      </c>
      <c r="E779" s="21">
        <v>10</v>
      </c>
      <c r="F779" s="21">
        <v>6.5</v>
      </c>
      <c r="G779" s="21">
        <v>3.5</v>
      </c>
      <c r="H779" s="21">
        <v>3.5</v>
      </c>
      <c r="I779" s="80">
        <f t="shared" si="42"/>
        <v>0.65</v>
      </c>
      <c r="J779" s="338"/>
      <c r="K779" s="341"/>
      <c r="L779" s="344"/>
      <c r="M779" s="347"/>
      <c r="N779" s="332"/>
      <c r="O779" s="335"/>
    </row>
    <row r="780" spans="1:16" ht="77.25" thickBot="1" x14ac:dyDescent="0.3">
      <c r="A780" s="93" t="s">
        <v>1296</v>
      </c>
      <c r="B780" s="88" t="s">
        <v>1297</v>
      </c>
      <c r="C780" s="94" t="s">
        <v>43</v>
      </c>
      <c r="D780" s="95">
        <v>94.7</v>
      </c>
      <c r="E780" s="95">
        <v>94.7</v>
      </c>
      <c r="F780" s="95">
        <v>94.7</v>
      </c>
      <c r="G780" s="95"/>
      <c r="H780" s="95"/>
      <c r="I780" s="152">
        <f t="shared" si="42"/>
        <v>1</v>
      </c>
      <c r="J780" s="70" t="s">
        <v>1298</v>
      </c>
      <c r="K780" s="73" t="s">
        <v>118</v>
      </c>
      <c r="L780" s="74">
        <v>105</v>
      </c>
      <c r="M780" s="222">
        <v>116</v>
      </c>
      <c r="N780" s="70" t="s">
        <v>1299</v>
      </c>
      <c r="O780" s="72"/>
      <c r="P780" s="284"/>
    </row>
    <row r="781" spans="1:16" ht="27.75" customHeight="1" x14ac:dyDescent="0.25">
      <c r="A781" s="431" t="s">
        <v>1300</v>
      </c>
      <c r="B781" s="433" t="s">
        <v>1301</v>
      </c>
      <c r="C781" s="435"/>
      <c r="D781" s="426">
        <f>D782+D783+D784+D785+D786+D787+D794+D797+D800+D804+D805+D808+D811+D814+D819+D823+D826+D832+D836+D839+D842+D845+D848+D849+D850+D851-0.1</f>
        <v>25501.200000000001</v>
      </c>
      <c r="E781" s="426">
        <f>E782+E783+E784+E785+E786+E787+E794+E797+E800+E804+E805+E808+E811+E814+E819+E823+E826+E832+E836+E839+E842+E845+E848+E849+E850+E851-0.1</f>
        <v>25501.200000000001</v>
      </c>
      <c r="F781" s="426">
        <f>F782+F783+F784+F785+F786+F787+F794+F797+F800+F804+F805+F808+F811+F814+F819+F823+F826+F832+F836+F839+F842+F845+F848+F849+F850+F851+0.1</f>
        <v>13312.300000000003</v>
      </c>
      <c r="G781" s="426">
        <f>G782+G783+G784+G785+G786+G787+G794+G797+G800+G804+G805+G808+G811+G814+G819+G823+G826+G832+G836+G839+G842+G845+G848+G849+G850+G851-0.1</f>
        <v>12188.900000000001</v>
      </c>
      <c r="H781" s="426">
        <f>H782+H783+H784+H785+H786+H787+H794+H797+H800+H804+H805+H808+H811+H814+H819+H823+H826+H832+H836+H839+H842+H845+H848+H849+H850+H851-0.1</f>
        <v>12188.900000000001</v>
      </c>
      <c r="I781" s="437">
        <f>SUM(F781/E781)</f>
        <v>0.52202641444324194</v>
      </c>
      <c r="J781" s="102" t="s">
        <v>1302</v>
      </c>
      <c r="K781" s="103" t="s">
        <v>35</v>
      </c>
      <c r="L781" s="104">
        <v>19</v>
      </c>
      <c r="M781" s="105">
        <v>19</v>
      </c>
      <c r="N781" s="535"/>
      <c r="O781" s="527"/>
    </row>
    <row r="782" spans="1:16" ht="25.5" x14ac:dyDescent="0.25">
      <c r="A782" s="442"/>
      <c r="B782" s="405"/>
      <c r="C782" s="408"/>
      <c r="D782" s="396"/>
      <c r="E782" s="396"/>
      <c r="F782" s="396"/>
      <c r="G782" s="396"/>
      <c r="H782" s="396"/>
      <c r="I782" s="399"/>
      <c r="J782" s="55" t="s">
        <v>1303</v>
      </c>
      <c r="K782" s="56" t="s">
        <v>35</v>
      </c>
      <c r="L782" s="57">
        <v>30</v>
      </c>
      <c r="M782" s="83">
        <v>30</v>
      </c>
      <c r="N782" s="536"/>
      <c r="O782" s="528"/>
    </row>
    <row r="783" spans="1:16" ht="25.5" x14ac:dyDescent="0.25">
      <c r="A783" s="442"/>
      <c r="B783" s="405"/>
      <c r="C783" s="408"/>
      <c r="D783" s="396"/>
      <c r="E783" s="396"/>
      <c r="F783" s="396"/>
      <c r="G783" s="396"/>
      <c r="H783" s="396"/>
      <c r="I783" s="399"/>
      <c r="J783" s="55" t="s">
        <v>1304</v>
      </c>
      <c r="K783" s="56" t="s">
        <v>35</v>
      </c>
      <c r="L783" s="57">
        <v>15</v>
      </c>
      <c r="M783" s="83">
        <v>15</v>
      </c>
      <c r="N783" s="536"/>
      <c r="O783" s="528"/>
    </row>
    <row r="784" spans="1:16" ht="25.5" x14ac:dyDescent="0.25">
      <c r="A784" s="442"/>
      <c r="B784" s="405"/>
      <c r="C784" s="408"/>
      <c r="D784" s="396"/>
      <c r="E784" s="396"/>
      <c r="F784" s="396"/>
      <c r="G784" s="396"/>
      <c r="H784" s="396"/>
      <c r="I784" s="399"/>
      <c r="J784" s="55" t="s">
        <v>1305</v>
      </c>
      <c r="K784" s="56" t="s">
        <v>35</v>
      </c>
      <c r="L784" s="57">
        <v>30</v>
      </c>
      <c r="M784" s="83">
        <v>30</v>
      </c>
      <c r="N784" s="536"/>
      <c r="O784" s="528"/>
    </row>
    <row r="785" spans="1:16" ht="25.5" x14ac:dyDescent="0.25">
      <c r="A785" s="442"/>
      <c r="B785" s="405"/>
      <c r="C785" s="408"/>
      <c r="D785" s="396"/>
      <c r="E785" s="396"/>
      <c r="F785" s="396"/>
      <c r="G785" s="396"/>
      <c r="H785" s="396"/>
      <c r="I785" s="399"/>
      <c r="J785" s="55" t="s">
        <v>1306</v>
      </c>
      <c r="K785" s="56" t="s">
        <v>35</v>
      </c>
      <c r="L785" s="57">
        <v>1</v>
      </c>
      <c r="M785" s="83">
        <v>1</v>
      </c>
      <c r="N785" s="536"/>
      <c r="O785" s="528"/>
    </row>
    <row r="786" spans="1:16" ht="26.25" thickBot="1" x14ac:dyDescent="0.3">
      <c r="A786" s="432"/>
      <c r="B786" s="434"/>
      <c r="C786" s="436"/>
      <c r="D786" s="427"/>
      <c r="E786" s="427"/>
      <c r="F786" s="427"/>
      <c r="G786" s="427"/>
      <c r="H786" s="427"/>
      <c r="I786" s="438"/>
      <c r="J786" s="108" t="s">
        <v>1307</v>
      </c>
      <c r="K786" s="109" t="s">
        <v>35</v>
      </c>
      <c r="L786" s="110">
        <v>9</v>
      </c>
      <c r="M786" s="111">
        <v>9</v>
      </c>
      <c r="N786" s="537"/>
      <c r="O786" s="530"/>
    </row>
    <row r="787" spans="1:16" ht="38.25" x14ac:dyDescent="0.25">
      <c r="A787" s="388" t="s">
        <v>1308</v>
      </c>
      <c r="B787" s="390" t="s">
        <v>1309</v>
      </c>
      <c r="C787" s="195"/>
      <c r="D787" s="196">
        <f>SUM(D788:D793)</f>
        <v>1778.5</v>
      </c>
      <c r="E787" s="196">
        <f>SUM(E788:E793)</f>
        <v>1778.5</v>
      </c>
      <c r="F787" s="196">
        <f>SUM(F788:F793)</f>
        <v>1583.5</v>
      </c>
      <c r="G787" s="196">
        <f>SUM(G788:G793)</f>
        <v>195</v>
      </c>
      <c r="H787" s="196">
        <f>SUM(H788:H793)</f>
        <v>195</v>
      </c>
      <c r="I787" s="159">
        <f>SUM(F787/E787)</f>
        <v>0.89035704245150404</v>
      </c>
      <c r="J787" s="198" t="s">
        <v>1962</v>
      </c>
      <c r="K787" s="199" t="s">
        <v>35</v>
      </c>
      <c r="L787" s="224">
        <v>1</v>
      </c>
      <c r="M787" s="277">
        <v>1</v>
      </c>
      <c r="N787" s="198" t="s">
        <v>1978</v>
      </c>
      <c r="O787" s="202" t="s">
        <v>2061</v>
      </c>
      <c r="P787" s="175"/>
    </row>
    <row r="788" spans="1:16" ht="51" x14ac:dyDescent="0.25">
      <c r="A788" s="439"/>
      <c r="B788" s="337"/>
      <c r="C788" s="20" t="s">
        <v>24</v>
      </c>
      <c r="D788" s="21">
        <v>458.5</v>
      </c>
      <c r="E788" s="21">
        <v>458.5</v>
      </c>
      <c r="F788" s="21">
        <v>270.3</v>
      </c>
      <c r="G788" s="21">
        <v>188.2</v>
      </c>
      <c r="H788" s="67">
        <v>188.2</v>
      </c>
      <c r="I788" s="149">
        <f t="shared" ref="I788:I789" si="43">SUM(F788/E788)</f>
        <v>0.58953107960741546</v>
      </c>
      <c r="J788" s="68" t="s">
        <v>1963</v>
      </c>
      <c r="K788" s="22" t="s">
        <v>35</v>
      </c>
      <c r="L788" s="23">
        <v>2</v>
      </c>
      <c r="M788" s="140">
        <v>1</v>
      </c>
      <c r="N788" s="43" t="s">
        <v>2058</v>
      </c>
      <c r="O788" s="253" t="s">
        <v>2059</v>
      </c>
    </row>
    <row r="789" spans="1:16" ht="25.5" x14ac:dyDescent="0.25">
      <c r="A789" s="439"/>
      <c r="B789" s="337"/>
      <c r="C789" s="20" t="s">
        <v>43</v>
      </c>
      <c r="D789" s="21">
        <v>1320</v>
      </c>
      <c r="E789" s="21">
        <v>1320</v>
      </c>
      <c r="F789" s="21">
        <v>1313.2</v>
      </c>
      <c r="G789" s="21">
        <v>6.8</v>
      </c>
      <c r="H789" s="21">
        <v>6.8</v>
      </c>
      <c r="I789" s="79">
        <f t="shared" si="43"/>
        <v>0.99484848484848487</v>
      </c>
      <c r="J789" s="43" t="s">
        <v>1310</v>
      </c>
      <c r="K789" s="22" t="s">
        <v>35</v>
      </c>
      <c r="L789" s="23">
        <v>2</v>
      </c>
      <c r="M789" s="135">
        <v>2</v>
      </c>
      <c r="N789" s="43" t="s">
        <v>1311</v>
      </c>
      <c r="O789" s="253"/>
    </row>
    <row r="790" spans="1:16" ht="76.5" x14ac:dyDescent="0.25">
      <c r="A790" s="439"/>
      <c r="B790" s="337"/>
      <c r="C790" s="20"/>
      <c r="D790" s="21"/>
      <c r="E790" s="21"/>
      <c r="F790" s="21"/>
      <c r="G790" s="21"/>
      <c r="H790" s="21"/>
      <c r="I790" s="150"/>
      <c r="J790" s="43" t="s">
        <v>1964</v>
      </c>
      <c r="K790" s="22" t="s">
        <v>35</v>
      </c>
      <c r="L790" s="23">
        <v>7</v>
      </c>
      <c r="M790" s="135">
        <v>7</v>
      </c>
      <c r="N790" s="43" t="s">
        <v>1976</v>
      </c>
      <c r="O790" s="253"/>
    </row>
    <row r="791" spans="1:16" ht="51" x14ac:dyDescent="0.25">
      <c r="A791" s="439"/>
      <c r="B791" s="337"/>
      <c r="C791" s="20"/>
      <c r="D791" s="21"/>
      <c r="E791" s="21"/>
      <c r="F791" s="21"/>
      <c r="G791" s="21"/>
      <c r="H791" s="21"/>
      <c r="I791" s="150"/>
      <c r="J791" s="43" t="s">
        <v>1965</v>
      </c>
      <c r="K791" s="22" t="s">
        <v>35</v>
      </c>
      <c r="L791" s="23">
        <v>2</v>
      </c>
      <c r="M791" s="135">
        <v>2</v>
      </c>
      <c r="N791" s="43" t="s">
        <v>1975</v>
      </c>
      <c r="O791" s="253"/>
    </row>
    <row r="792" spans="1:16" ht="51" x14ac:dyDescent="0.25">
      <c r="A792" s="439"/>
      <c r="B792" s="337"/>
      <c r="C792" s="20"/>
      <c r="D792" s="21"/>
      <c r="E792" s="21"/>
      <c r="F792" s="21"/>
      <c r="G792" s="21"/>
      <c r="H792" s="21"/>
      <c r="I792" s="150"/>
      <c r="J792" s="43" t="s">
        <v>1966</v>
      </c>
      <c r="K792" s="22" t="s">
        <v>35</v>
      </c>
      <c r="L792" s="23">
        <v>2</v>
      </c>
      <c r="M792" s="140">
        <v>1</v>
      </c>
      <c r="N792" s="71" t="s">
        <v>1977</v>
      </c>
      <c r="O792" s="253" t="s">
        <v>1666</v>
      </c>
    </row>
    <row r="793" spans="1:16" ht="39" thickBot="1" x14ac:dyDescent="0.3">
      <c r="A793" s="389"/>
      <c r="B793" s="391"/>
      <c r="C793" s="58"/>
      <c r="D793" s="59"/>
      <c r="E793" s="59"/>
      <c r="F793" s="59"/>
      <c r="G793" s="59"/>
      <c r="H793" s="59"/>
      <c r="I793" s="173"/>
      <c r="J793" s="60" t="s">
        <v>1967</v>
      </c>
      <c r="K793" s="61" t="s">
        <v>35</v>
      </c>
      <c r="L793" s="62">
        <v>1</v>
      </c>
      <c r="M793" s="279">
        <v>0</v>
      </c>
      <c r="N793" s="278"/>
      <c r="O793" s="280" t="s">
        <v>2060</v>
      </c>
    </row>
    <row r="794" spans="1:16" ht="66" customHeight="1" x14ac:dyDescent="0.25">
      <c r="A794" s="388" t="s">
        <v>1312</v>
      </c>
      <c r="B794" s="390" t="s">
        <v>1313</v>
      </c>
      <c r="C794" s="195"/>
      <c r="D794" s="196">
        <f>SUM(D795:D796)</f>
        <v>2209.3000000000002</v>
      </c>
      <c r="E794" s="196">
        <f>SUM(E795:E796)</f>
        <v>2209.3000000000002</v>
      </c>
      <c r="F794" s="196">
        <f>SUM(F795:F796)</f>
        <v>2124.3000000000002</v>
      </c>
      <c r="G794" s="196">
        <f>SUM(G795:G796)</f>
        <v>85</v>
      </c>
      <c r="H794" s="196">
        <f>SUM(H795:H796)</f>
        <v>85</v>
      </c>
      <c r="I794" s="159">
        <f>SUM(F794/E794)</f>
        <v>0.96152627529081613</v>
      </c>
      <c r="J794" s="198" t="s">
        <v>1968</v>
      </c>
      <c r="K794" s="199" t="s">
        <v>35</v>
      </c>
      <c r="L794" s="224">
        <v>6</v>
      </c>
      <c r="M794" s="283">
        <v>14</v>
      </c>
      <c r="N794" s="274" t="s">
        <v>2056</v>
      </c>
      <c r="O794" s="281" t="s">
        <v>2051</v>
      </c>
      <c r="P794" s="181"/>
    </row>
    <row r="795" spans="1:16" ht="51" x14ac:dyDescent="0.25">
      <c r="A795" s="439"/>
      <c r="B795" s="337"/>
      <c r="C795" s="20" t="s">
        <v>24</v>
      </c>
      <c r="D795" s="21">
        <v>783.2</v>
      </c>
      <c r="E795" s="21">
        <v>783.2</v>
      </c>
      <c r="F795" s="21">
        <v>720</v>
      </c>
      <c r="G795" s="21">
        <v>63.2</v>
      </c>
      <c r="H795" s="67">
        <v>63.2</v>
      </c>
      <c r="I795" s="149">
        <f t="shared" ref="I795:I849" si="44">SUM(F795/E795)</f>
        <v>0.91930541368743612</v>
      </c>
      <c r="J795" s="68" t="s">
        <v>1314</v>
      </c>
      <c r="K795" s="22" t="s">
        <v>35</v>
      </c>
      <c r="L795" s="23">
        <v>9</v>
      </c>
      <c r="M795" s="282">
        <v>7</v>
      </c>
      <c r="N795" s="273" t="s">
        <v>2057</v>
      </c>
      <c r="O795" s="275" t="s">
        <v>2090</v>
      </c>
    </row>
    <row r="796" spans="1:16" ht="39" thickBot="1" x14ac:dyDescent="0.3">
      <c r="A796" s="389"/>
      <c r="B796" s="391"/>
      <c r="C796" s="58" t="s">
        <v>43</v>
      </c>
      <c r="D796" s="59">
        <v>1426.1</v>
      </c>
      <c r="E796" s="59">
        <v>1426.1</v>
      </c>
      <c r="F796" s="59">
        <v>1404.3</v>
      </c>
      <c r="G796" s="59">
        <v>21.8</v>
      </c>
      <c r="H796" s="59">
        <v>21.8</v>
      </c>
      <c r="I796" s="156">
        <f t="shared" si="44"/>
        <v>0.98471355444919717</v>
      </c>
      <c r="J796" s="60" t="s">
        <v>1969</v>
      </c>
      <c r="K796" s="61" t="s">
        <v>35</v>
      </c>
      <c r="L796" s="62">
        <v>1</v>
      </c>
      <c r="M796" s="270">
        <v>1</v>
      </c>
      <c r="N796" s="276"/>
      <c r="O796" s="204"/>
    </row>
    <row r="797" spans="1:16" ht="51" customHeight="1" x14ac:dyDescent="0.25">
      <c r="A797" s="386" t="s">
        <v>1315</v>
      </c>
      <c r="B797" s="337" t="s">
        <v>1316</v>
      </c>
      <c r="C797" s="98"/>
      <c r="D797" s="99">
        <f>SUM(D798:D799)</f>
        <v>602.4</v>
      </c>
      <c r="E797" s="99">
        <f>SUM(E798:E799)</f>
        <v>602.4</v>
      </c>
      <c r="F797" s="99">
        <f>SUM(F798:F799)-0.1</f>
        <v>593.49999999999989</v>
      </c>
      <c r="G797" s="99">
        <f>SUM(G798:G799)+0.1</f>
        <v>8.9</v>
      </c>
      <c r="H797" s="99">
        <f>SUM(H798:H799)+0.1</f>
        <v>8.9</v>
      </c>
      <c r="I797" s="152">
        <f t="shared" si="44"/>
        <v>0.9852257636122177</v>
      </c>
      <c r="J797" s="84" t="s">
        <v>1317</v>
      </c>
      <c r="K797" s="100" t="s">
        <v>23</v>
      </c>
      <c r="L797" s="101">
        <v>100</v>
      </c>
      <c r="M797" s="213">
        <v>100</v>
      </c>
      <c r="N797" s="84" t="s">
        <v>1979</v>
      </c>
      <c r="O797" s="85"/>
      <c r="P797" s="284"/>
    </row>
    <row r="798" spans="1:16" ht="64.5" customHeight="1" x14ac:dyDescent="0.25">
      <c r="A798" s="386"/>
      <c r="B798" s="337"/>
      <c r="C798" s="20" t="s">
        <v>24</v>
      </c>
      <c r="D798" s="21">
        <v>232.4</v>
      </c>
      <c r="E798" s="21">
        <v>232.4</v>
      </c>
      <c r="F798" s="21">
        <v>226.7</v>
      </c>
      <c r="G798" s="21">
        <v>5.7</v>
      </c>
      <c r="H798" s="67">
        <v>5.7</v>
      </c>
      <c r="I798" s="149">
        <f t="shared" si="44"/>
        <v>0.97547332185886393</v>
      </c>
      <c r="J798" s="360" t="s">
        <v>1970</v>
      </c>
      <c r="K798" s="362" t="s">
        <v>35</v>
      </c>
      <c r="L798" s="363">
        <v>6</v>
      </c>
      <c r="M798" s="364">
        <v>8</v>
      </c>
      <c r="N798" s="365" t="s">
        <v>2055</v>
      </c>
      <c r="O798" s="355"/>
    </row>
    <row r="799" spans="1:16" ht="15.75" thickBot="1" x14ac:dyDescent="0.3">
      <c r="A799" s="387"/>
      <c r="B799" s="338"/>
      <c r="C799" s="20" t="s">
        <v>43</v>
      </c>
      <c r="D799" s="21">
        <v>370</v>
      </c>
      <c r="E799" s="21">
        <v>370</v>
      </c>
      <c r="F799" s="21">
        <v>366.9</v>
      </c>
      <c r="G799" s="21">
        <v>3.1</v>
      </c>
      <c r="H799" s="21">
        <v>3.1</v>
      </c>
      <c r="I799" s="79">
        <f t="shared" si="44"/>
        <v>0.9916216216216216</v>
      </c>
      <c r="J799" s="361"/>
      <c r="K799" s="341"/>
      <c r="L799" s="344"/>
      <c r="M799" s="350"/>
      <c r="N799" s="338"/>
      <c r="O799" s="335"/>
    </row>
    <row r="800" spans="1:16" ht="43.5" customHeight="1" x14ac:dyDescent="0.25">
      <c r="A800" s="385" t="s">
        <v>1318</v>
      </c>
      <c r="B800" s="336" t="s">
        <v>1319</v>
      </c>
      <c r="C800" s="14"/>
      <c r="D800" s="15">
        <f>SUM(D801:D803)</f>
        <v>1335</v>
      </c>
      <c r="E800" s="15">
        <f>SUM(E801:E803)</f>
        <v>1335</v>
      </c>
      <c r="F800" s="15">
        <f>SUM(F801:F803)-0.1</f>
        <v>1230.3000000000002</v>
      </c>
      <c r="G800" s="15">
        <f>SUM(G801:G803)+0.1</f>
        <v>104.69999999999999</v>
      </c>
      <c r="H800" s="15">
        <f>SUM(H801:H803)+0.1</f>
        <v>104.69999999999999</v>
      </c>
      <c r="I800" s="148">
        <f t="shared" si="44"/>
        <v>0.92157303370786525</v>
      </c>
      <c r="J800" s="41" t="s">
        <v>1971</v>
      </c>
      <c r="K800" s="16" t="s">
        <v>35</v>
      </c>
      <c r="L800" s="17">
        <v>4</v>
      </c>
      <c r="M800" s="143">
        <v>3</v>
      </c>
      <c r="N800" s="124" t="s">
        <v>2091</v>
      </c>
      <c r="O800" s="42" t="s">
        <v>2092</v>
      </c>
      <c r="P800" s="181"/>
    </row>
    <row r="801" spans="1:16" ht="93" customHeight="1" x14ac:dyDescent="0.25">
      <c r="A801" s="386"/>
      <c r="B801" s="337"/>
      <c r="C801" s="20" t="s">
        <v>43</v>
      </c>
      <c r="D801" s="21">
        <v>1300</v>
      </c>
      <c r="E801" s="21">
        <v>1300</v>
      </c>
      <c r="F801" s="21">
        <v>1195</v>
      </c>
      <c r="G801" s="21">
        <v>105</v>
      </c>
      <c r="H801" s="67">
        <v>105</v>
      </c>
      <c r="I801" s="149">
        <f t="shared" si="44"/>
        <v>0.91923076923076918</v>
      </c>
      <c r="J801" s="68" t="s">
        <v>1972</v>
      </c>
      <c r="K801" s="22" t="s">
        <v>35</v>
      </c>
      <c r="L801" s="23">
        <v>16</v>
      </c>
      <c r="M801" s="221">
        <v>16</v>
      </c>
      <c r="N801" s="43" t="s">
        <v>2052</v>
      </c>
      <c r="O801" s="44"/>
    </row>
    <row r="802" spans="1:16" ht="51.75" customHeight="1" x14ac:dyDescent="0.25">
      <c r="A802" s="386"/>
      <c r="B802" s="337"/>
      <c r="C802" s="20" t="s">
        <v>27</v>
      </c>
      <c r="D802" s="21">
        <v>0</v>
      </c>
      <c r="E802" s="21">
        <v>0</v>
      </c>
      <c r="F802" s="21">
        <v>0.4</v>
      </c>
      <c r="G802" s="81">
        <v>-0.4</v>
      </c>
      <c r="H802" s="217">
        <v>-0.4</v>
      </c>
      <c r="I802" s="149"/>
      <c r="J802" s="68" t="s">
        <v>1973</v>
      </c>
      <c r="K802" s="22" t="s">
        <v>35</v>
      </c>
      <c r="L802" s="23">
        <v>4</v>
      </c>
      <c r="M802" s="135">
        <v>4</v>
      </c>
      <c r="N802" s="43" t="s">
        <v>2054</v>
      </c>
      <c r="O802" s="44"/>
    </row>
    <row r="803" spans="1:16" ht="39" thickBot="1" x14ac:dyDescent="0.3">
      <c r="A803" s="387"/>
      <c r="B803" s="338"/>
      <c r="C803" s="20" t="s">
        <v>24</v>
      </c>
      <c r="D803" s="21">
        <v>35</v>
      </c>
      <c r="E803" s="21">
        <v>35</v>
      </c>
      <c r="F803" s="21">
        <v>35</v>
      </c>
      <c r="G803" s="21"/>
      <c r="H803" s="21"/>
      <c r="I803" s="155">
        <f t="shared" si="44"/>
        <v>1</v>
      </c>
      <c r="J803" s="43" t="s">
        <v>1320</v>
      </c>
      <c r="K803" s="22" t="s">
        <v>35</v>
      </c>
      <c r="L803" s="23">
        <v>1</v>
      </c>
      <c r="M803" s="135">
        <v>1</v>
      </c>
      <c r="N803" s="43" t="s">
        <v>1321</v>
      </c>
      <c r="O803" s="44"/>
    </row>
    <row r="804" spans="1:16" ht="41.25" customHeight="1" thickBot="1" x14ac:dyDescent="0.3">
      <c r="A804" s="13" t="s">
        <v>1322</v>
      </c>
      <c r="B804" s="37" t="s">
        <v>1323</v>
      </c>
      <c r="C804" s="14" t="s">
        <v>43</v>
      </c>
      <c r="D804" s="24">
        <v>100</v>
      </c>
      <c r="E804" s="24">
        <v>100</v>
      </c>
      <c r="F804" s="24">
        <v>99.8</v>
      </c>
      <c r="G804" s="24">
        <v>0.2</v>
      </c>
      <c r="H804" s="24">
        <v>0.2</v>
      </c>
      <c r="I804" s="158">
        <f t="shared" si="44"/>
        <v>0.998</v>
      </c>
      <c r="J804" s="41" t="s">
        <v>1324</v>
      </c>
      <c r="K804" s="16" t="s">
        <v>23</v>
      </c>
      <c r="L804" s="17">
        <v>100</v>
      </c>
      <c r="M804" s="136">
        <v>100</v>
      </c>
      <c r="N804" s="41"/>
      <c r="O804" s="42"/>
      <c r="P804" s="181"/>
    </row>
    <row r="805" spans="1:16" ht="25.5" x14ac:dyDescent="0.25">
      <c r="A805" s="385" t="s">
        <v>1325</v>
      </c>
      <c r="B805" s="336" t="s">
        <v>1326</v>
      </c>
      <c r="C805" s="14"/>
      <c r="D805" s="15">
        <f>SUM(D806:D807)</f>
        <v>607.29999999999995</v>
      </c>
      <c r="E805" s="15">
        <f>SUM(E806:E807)</f>
        <v>607.29999999999995</v>
      </c>
      <c r="F805" s="15">
        <f>SUM(F806:F807)</f>
        <v>607.20000000000005</v>
      </c>
      <c r="G805" s="15">
        <f>SUM(G806:G807)</f>
        <v>0.1</v>
      </c>
      <c r="H805" s="15">
        <f>SUM(H806:H807)</f>
        <v>0.1</v>
      </c>
      <c r="I805" s="79">
        <f t="shared" si="44"/>
        <v>0.99983533673637426</v>
      </c>
      <c r="J805" s="41" t="s">
        <v>1327</v>
      </c>
      <c r="K805" s="16" t="s">
        <v>23</v>
      </c>
      <c r="L805" s="17">
        <v>2</v>
      </c>
      <c r="M805" s="136">
        <v>2</v>
      </c>
      <c r="N805" s="41"/>
      <c r="O805" s="42"/>
      <c r="P805" s="181"/>
    </row>
    <row r="806" spans="1:16" ht="15" customHeight="1" x14ac:dyDescent="0.25">
      <c r="A806" s="386"/>
      <c r="B806" s="337"/>
      <c r="C806" s="20" t="s">
        <v>43</v>
      </c>
      <c r="D806" s="21">
        <v>563.79999999999995</v>
      </c>
      <c r="E806" s="21">
        <v>563.79999999999995</v>
      </c>
      <c r="F806" s="21">
        <v>563.70000000000005</v>
      </c>
      <c r="G806" s="21">
        <v>0.1</v>
      </c>
      <c r="H806" s="21">
        <v>0.1</v>
      </c>
      <c r="I806" s="79">
        <f t="shared" si="44"/>
        <v>0.99982263213905653</v>
      </c>
      <c r="J806" s="365" t="s">
        <v>1974</v>
      </c>
      <c r="K806" s="362" t="s">
        <v>23</v>
      </c>
      <c r="L806" s="363">
        <v>100</v>
      </c>
      <c r="M806" s="418">
        <v>100</v>
      </c>
      <c r="N806" s="354"/>
      <c r="O806" s="355"/>
    </row>
    <row r="807" spans="1:16" ht="15.75" thickBot="1" x14ac:dyDescent="0.3">
      <c r="A807" s="387"/>
      <c r="B807" s="338"/>
      <c r="C807" s="20" t="s">
        <v>24</v>
      </c>
      <c r="D807" s="21">
        <v>43.5</v>
      </c>
      <c r="E807" s="21">
        <v>43.5</v>
      </c>
      <c r="F807" s="21">
        <v>43.5</v>
      </c>
      <c r="G807" s="21"/>
      <c r="H807" s="21"/>
      <c r="I807" s="80">
        <f t="shared" si="44"/>
        <v>1</v>
      </c>
      <c r="J807" s="338"/>
      <c r="K807" s="341"/>
      <c r="L807" s="344"/>
      <c r="M807" s="347"/>
      <c r="N807" s="332"/>
      <c r="O807" s="335"/>
    </row>
    <row r="808" spans="1:16" x14ac:dyDescent="0.25">
      <c r="A808" s="385" t="s">
        <v>1328</v>
      </c>
      <c r="B808" s="336" t="s">
        <v>1329</v>
      </c>
      <c r="C808" s="14"/>
      <c r="D808" s="15">
        <f>SUM(D809:D810)</f>
        <v>1905</v>
      </c>
      <c r="E808" s="15">
        <f>SUM(E809:E810)</f>
        <v>1905</v>
      </c>
      <c r="F808" s="15">
        <f>SUM(F809:F810)</f>
        <v>1821.1</v>
      </c>
      <c r="G808" s="15">
        <f>SUM(G809:G810)</f>
        <v>83.9</v>
      </c>
      <c r="H808" s="15">
        <f>SUM(H809:H810)</f>
        <v>83.9</v>
      </c>
      <c r="I808" s="79">
        <f t="shared" si="44"/>
        <v>0.95595800524934382</v>
      </c>
      <c r="J808" s="336" t="s">
        <v>1330</v>
      </c>
      <c r="K808" s="339" t="s">
        <v>23</v>
      </c>
      <c r="L808" s="342">
        <v>100</v>
      </c>
      <c r="M808" s="345">
        <v>100</v>
      </c>
      <c r="N808" s="336" t="s">
        <v>2053</v>
      </c>
      <c r="O808" s="333"/>
      <c r="P808" s="181"/>
    </row>
    <row r="809" spans="1:16" x14ac:dyDescent="0.25">
      <c r="A809" s="386"/>
      <c r="B809" s="337"/>
      <c r="C809" s="20" t="s">
        <v>43</v>
      </c>
      <c r="D809" s="21">
        <v>943</v>
      </c>
      <c r="E809" s="21">
        <v>943</v>
      </c>
      <c r="F809" s="21">
        <v>859.1</v>
      </c>
      <c r="G809" s="21">
        <v>83.9</v>
      </c>
      <c r="H809" s="21">
        <v>83.9</v>
      </c>
      <c r="I809" s="79">
        <f t="shared" si="44"/>
        <v>0.9110286320254507</v>
      </c>
      <c r="J809" s="337"/>
      <c r="K809" s="340"/>
      <c r="L809" s="343"/>
      <c r="M809" s="346"/>
      <c r="N809" s="337"/>
      <c r="O809" s="334"/>
    </row>
    <row r="810" spans="1:16" ht="15.75" thickBot="1" x14ac:dyDescent="0.3">
      <c r="A810" s="387"/>
      <c r="B810" s="338"/>
      <c r="C810" s="20" t="s">
        <v>24</v>
      </c>
      <c r="D810" s="21">
        <v>962</v>
      </c>
      <c r="E810" s="21">
        <v>962</v>
      </c>
      <c r="F810" s="21">
        <v>962</v>
      </c>
      <c r="G810" s="21"/>
      <c r="H810" s="21"/>
      <c r="I810" s="80">
        <f t="shared" si="44"/>
        <v>1</v>
      </c>
      <c r="J810" s="338"/>
      <c r="K810" s="341"/>
      <c r="L810" s="344"/>
      <c r="M810" s="347"/>
      <c r="N810" s="338"/>
      <c r="O810" s="335"/>
    </row>
    <row r="811" spans="1:16" ht="28.5" customHeight="1" x14ac:dyDescent="0.25">
      <c r="A811" s="385" t="s">
        <v>1331</v>
      </c>
      <c r="B811" s="336" t="s">
        <v>1332</v>
      </c>
      <c r="C811" s="14"/>
      <c r="D811" s="15">
        <f>SUM(D812:D813)</f>
        <v>633.79999999999995</v>
      </c>
      <c r="E811" s="15">
        <f>SUM(E812:E813)</f>
        <v>633.79999999999995</v>
      </c>
      <c r="F811" s="15">
        <f>SUM(F812:F813)</f>
        <v>573.20000000000005</v>
      </c>
      <c r="G811" s="15">
        <f>SUM(G812:G813)</f>
        <v>60.6</v>
      </c>
      <c r="H811" s="15">
        <f>SUM(H812:H813)</f>
        <v>60.6</v>
      </c>
      <c r="I811" s="79">
        <f t="shared" si="44"/>
        <v>0.90438624171662996</v>
      </c>
      <c r="J811" s="336" t="s">
        <v>1333</v>
      </c>
      <c r="K811" s="339" t="s">
        <v>35</v>
      </c>
      <c r="L811" s="342">
        <v>1</v>
      </c>
      <c r="M811" s="369">
        <v>0</v>
      </c>
      <c r="N811" s="336" t="s">
        <v>2010</v>
      </c>
      <c r="O811" s="351" t="s">
        <v>2011</v>
      </c>
      <c r="P811" s="139"/>
    </row>
    <row r="812" spans="1:16" x14ac:dyDescent="0.25">
      <c r="A812" s="386"/>
      <c r="B812" s="337"/>
      <c r="C812" s="20" t="s">
        <v>43</v>
      </c>
      <c r="D812" s="21">
        <v>435.4</v>
      </c>
      <c r="E812" s="21">
        <v>435.4</v>
      </c>
      <c r="F812" s="21">
        <v>374.8</v>
      </c>
      <c r="G812" s="21">
        <v>60.6</v>
      </c>
      <c r="H812" s="21">
        <v>60.6</v>
      </c>
      <c r="I812" s="79">
        <f t="shared" si="44"/>
        <v>0.86081763895268726</v>
      </c>
      <c r="J812" s="337"/>
      <c r="K812" s="340"/>
      <c r="L812" s="343"/>
      <c r="M812" s="373"/>
      <c r="N812" s="337"/>
      <c r="O812" s="352"/>
    </row>
    <row r="813" spans="1:16" ht="15.75" thickBot="1" x14ac:dyDescent="0.3">
      <c r="A813" s="387"/>
      <c r="B813" s="338"/>
      <c r="C813" s="20" t="s">
        <v>24</v>
      </c>
      <c r="D813" s="21">
        <v>198.4</v>
      </c>
      <c r="E813" s="21">
        <v>198.4</v>
      </c>
      <c r="F813" s="21">
        <v>198.4</v>
      </c>
      <c r="G813" s="21"/>
      <c r="H813" s="21"/>
      <c r="I813" s="80">
        <f t="shared" si="44"/>
        <v>1</v>
      </c>
      <c r="J813" s="338"/>
      <c r="K813" s="341"/>
      <c r="L813" s="344"/>
      <c r="M813" s="370"/>
      <c r="N813" s="338"/>
      <c r="O813" s="353"/>
    </row>
    <row r="814" spans="1:16" ht="35.25" customHeight="1" x14ac:dyDescent="0.25">
      <c r="A814" s="385" t="s">
        <v>1334</v>
      </c>
      <c r="B814" s="336" t="s">
        <v>1335</v>
      </c>
      <c r="C814" s="14"/>
      <c r="D814" s="15">
        <f>SUM(D815:D818)</f>
        <v>3903.9999999999995</v>
      </c>
      <c r="E814" s="15">
        <f>SUM(E815:E818)</f>
        <v>3903.9999999999995</v>
      </c>
      <c r="F814" s="15">
        <f>SUM(F815:F818)</f>
        <v>65</v>
      </c>
      <c r="G814" s="15">
        <f>SUM(G815:G818)</f>
        <v>3839</v>
      </c>
      <c r="H814" s="15">
        <f>SUM(H815:H818)</f>
        <v>3839</v>
      </c>
      <c r="I814" s="79">
        <f t="shared" si="44"/>
        <v>1.6649590163934427E-2</v>
      </c>
      <c r="J814" s="336" t="s">
        <v>766</v>
      </c>
      <c r="K814" s="339" t="s">
        <v>23</v>
      </c>
      <c r="L814" s="342">
        <v>40</v>
      </c>
      <c r="M814" s="369">
        <v>0</v>
      </c>
      <c r="N814" s="336" t="s">
        <v>1984</v>
      </c>
      <c r="O814" s="351" t="s">
        <v>1983</v>
      </c>
      <c r="P814" s="139"/>
    </row>
    <row r="815" spans="1:16" x14ac:dyDescent="0.25">
      <c r="A815" s="386"/>
      <c r="B815" s="337"/>
      <c r="C815" s="20" t="s">
        <v>43</v>
      </c>
      <c r="D815" s="21">
        <v>117</v>
      </c>
      <c r="E815" s="21">
        <v>117</v>
      </c>
      <c r="F815" s="21">
        <v>41.9</v>
      </c>
      <c r="G815" s="21">
        <v>75.099999999999994</v>
      </c>
      <c r="H815" s="21">
        <v>75.099999999999994</v>
      </c>
      <c r="I815" s="79">
        <f t="shared" si="44"/>
        <v>0.35811965811965812</v>
      </c>
      <c r="J815" s="337"/>
      <c r="K815" s="340"/>
      <c r="L815" s="343"/>
      <c r="M815" s="373"/>
      <c r="N815" s="337"/>
      <c r="O815" s="352"/>
    </row>
    <row r="816" spans="1:16" x14ac:dyDescent="0.25">
      <c r="A816" s="386"/>
      <c r="B816" s="337"/>
      <c r="C816" s="20" t="s">
        <v>27</v>
      </c>
      <c r="D816" s="21">
        <v>653.29999999999995</v>
      </c>
      <c r="E816" s="21">
        <v>653.29999999999995</v>
      </c>
      <c r="F816" s="21"/>
      <c r="G816" s="21">
        <v>653.29999999999995</v>
      </c>
      <c r="H816" s="21">
        <v>653.29999999999995</v>
      </c>
      <c r="I816" s="79">
        <f t="shared" si="44"/>
        <v>0</v>
      </c>
      <c r="J816" s="337"/>
      <c r="K816" s="340"/>
      <c r="L816" s="343"/>
      <c r="M816" s="373"/>
      <c r="N816" s="337"/>
      <c r="O816" s="352"/>
    </row>
    <row r="817" spans="1:16" x14ac:dyDescent="0.25">
      <c r="A817" s="386"/>
      <c r="B817" s="337"/>
      <c r="C817" s="20" t="s">
        <v>29</v>
      </c>
      <c r="D817" s="21">
        <v>3110.6</v>
      </c>
      <c r="E817" s="21">
        <v>3110.6</v>
      </c>
      <c r="F817" s="21"/>
      <c r="G817" s="21">
        <v>3110.6</v>
      </c>
      <c r="H817" s="21">
        <v>3110.6</v>
      </c>
      <c r="I817" s="79">
        <f t="shared" si="44"/>
        <v>0</v>
      </c>
      <c r="J817" s="337"/>
      <c r="K817" s="340"/>
      <c r="L817" s="343"/>
      <c r="M817" s="373"/>
      <c r="N817" s="337"/>
      <c r="O817" s="352"/>
    </row>
    <row r="818" spans="1:16" ht="15.75" thickBot="1" x14ac:dyDescent="0.3">
      <c r="A818" s="387"/>
      <c r="B818" s="338"/>
      <c r="C818" s="20" t="s">
        <v>24</v>
      </c>
      <c r="D818" s="21">
        <v>23.1</v>
      </c>
      <c r="E818" s="21">
        <v>23.1</v>
      </c>
      <c r="F818" s="21">
        <v>23.1</v>
      </c>
      <c r="G818" s="21"/>
      <c r="H818" s="21"/>
      <c r="I818" s="80">
        <f t="shared" si="44"/>
        <v>1</v>
      </c>
      <c r="J818" s="338"/>
      <c r="K818" s="341"/>
      <c r="L818" s="344"/>
      <c r="M818" s="370"/>
      <c r="N818" s="338"/>
      <c r="O818" s="353"/>
    </row>
    <row r="819" spans="1:16" ht="129.75" customHeight="1" x14ac:dyDescent="0.25">
      <c r="A819" s="385" t="s">
        <v>1336</v>
      </c>
      <c r="B819" s="336" t="s">
        <v>1337</v>
      </c>
      <c r="C819" s="14"/>
      <c r="D819" s="15">
        <f>SUM(D820:D822)</f>
        <v>1454.4</v>
      </c>
      <c r="E819" s="15">
        <f>SUM(E820:E822)</f>
        <v>1454.4</v>
      </c>
      <c r="F819" s="15">
        <f>SUM(F820:F822)-0.1</f>
        <v>798.2</v>
      </c>
      <c r="G819" s="15">
        <f>SUM(G820:G822)</f>
        <v>656.09999999999991</v>
      </c>
      <c r="H819" s="15">
        <f>SUM(H820:H822)</f>
        <v>656.09999999999991</v>
      </c>
      <c r="I819" s="79">
        <f t="shared" si="44"/>
        <v>0.54881738173817385</v>
      </c>
      <c r="J819" s="41" t="s">
        <v>766</v>
      </c>
      <c r="K819" s="16" t="s">
        <v>23</v>
      </c>
      <c r="L819" s="17">
        <v>50</v>
      </c>
      <c r="M819" s="136">
        <v>50</v>
      </c>
      <c r="N819" s="41" t="s">
        <v>1980</v>
      </c>
      <c r="O819" s="42"/>
      <c r="P819" s="284"/>
    </row>
    <row r="820" spans="1:16" ht="22.5" customHeight="1" x14ac:dyDescent="0.25">
      <c r="A820" s="386"/>
      <c r="B820" s="337"/>
      <c r="C820" s="20" t="s">
        <v>43</v>
      </c>
      <c r="D820" s="21">
        <v>505</v>
      </c>
      <c r="E820" s="21">
        <v>505</v>
      </c>
      <c r="F820" s="21">
        <v>345.4</v>
      </c>
      <c r="G820" s="21">
        <v>159.6</v>
      </c>
      <c r="H820" s="21">
        <v>159.6</v>
      </c>
      <c r="I820" s="79">
        <f t="shared" si="44"/>
        <v>0.6839603960396039</v>
      </c>
      <c r="J820" s="365" t="s">
        <v>1338</v>
      </c>
      <c r="K820" s="362" t="s">
        <v>23</v>
      </c>
      <c r="L820" s="363">
        <v>40</v>
      </c>
      <c r="M820" s="364">
        <v>43</v>
      </c>
      <c r="N820" s="354"/>
      <c r="O820" s="355"/>
    </row>
    <row r="821" spans="1:16" x14ac:dyDescent="0.25">
      <c r="A821" s="386"/>
      <c r="B821" s="337"/>
      <c r="C821" s="20" t="s">
        <v>29</v>
      </c>
      <c r="D821" s="21">
        <v>700</v>
      </c>
      <c r="E821" s="21">
        <v>700</v>
      </c>
      <c r="F821" s="21">
        <v>204.8</v>
      </c>
      <c r="G821" s="21">
        <v>495.2</v>
      </c>
      <c r="H821" s="21">
        <v>495.2</v>
      </c>
      <c r="I821" s="79">
        <f t="shared" si="44"/>
        <v>0.29257142857142859</v>
      </c>
      <c r="J821" s="337"/>
      <c r="K821" s="340"/>
      <c r="L821" s="343"/>
      <c r="M821" s="349"/>
      <c r="N821" s="331"/>
      <c r="O821" s="334"/>
    </row>
    <row r="822" spans="1:16" ht="15.75" thickBot="1" x14ac:dyDescent="0.3">
      <c r="A822" s="387"/>
      <c r="B822" s="338"/>
      <c r="C822" s="20" t="s">
        <v>24</v>
      </c>
      <c r="D822" s="21">
        <v>249.4</v>
      </c>
      <c r="E822" s="21">
        <v>249.4</v>
      </c>
      <c r="F822" s="21">
        <v>248.1</v>
      </c>
      <c r="G822" s="21">
        <v>1.3</v>
      </c>
      <c r="H822" s="21">
        <v>1.3</v>
      </c>
      <c r="I822" s="80">
        <f t="shared" si="44"/>
        <v>0.99478748997594224</v>
      </c>
      <c r="J822" s="338"/>
      <c r="K822" s="341"/>
      <c r="L822" s="344"/>
      <c r="M822" s="350"/>
      <c r="N822" s="332"/>
      <c r="O822" s="335"/>
    </row>
    <row r="823" spans="1:16" ht="24.75" customHeight="1" x14ac:dyDescent="0.25">
      <c r="A823" s="385" t="s">
        <v>1339</v>
      </c>
      <c r="B823" s="336" t="s">
        <v>1340</v>
      </c>
      <c r="C823" s="14"/>
      <c r="D823" s="15">
        <f>SUM(D824:D825)</f>
        <v>550</v>
      </c>
      <c r="E823" s="15">
        <f>SUM(E824:E825)</f>
        <v>550</v>
      </c>
      <c r="F823" s="15"/>
      <c r="G823" s="15">
        <f>SUM(G824:G825)</f>
        <v>550</v>
      </c>
      <c r="H823" s="15">
        <f>SUM(H824:H825)</f>
        <v>550</v>
      </c>
      <c r="I823" s="79">
        <f t="shared" si="44"/>
        <v>0</v>
      </c>
      <c r="J823" s="336" t="s">
        <v>766</v>
      </c>
      <c r="K823" s="339" t="s">
        <v>23</v>
      </c>
      <c r="L823" s="342">
        <v>13</v>
      </c>
      <c r="M823" s="369">
        <v>0</v>
      </c>
      <c r="N823" s="336" t="s">
        <v>1981</v>
      </c>
      <c r="O823" s="351" t="s">
        <v>1982</v>
      </c>
      <c r="P823" s="139"/>
    </row>
    <row r="824" spans="1:16" x14ac:dyDescent="0.25">
      <c r="A824" s="386"/>
      <c r="B824" s="337"/>
      <c r="C824" s="20" t="s">
        <v>29</v>
      </c>
      <c r="D824" s="21">
        <v>400</v>
      </c>
      <c r="E824" s="21">
        <v>400</v>
      </c>
      <c r="F824" s="21"/>
      <c r="G824" s="21">
        <v>400</v>
      </c>
      <c r="H824" s="21">
        <v>400</v>
      </c>
      <c r="I824" s="79">
        <f t="shared" si="44"/>
        <v>0</v>
      </c>
      <c r="J824" s="337"/>
      <c r="K824" s="340"/>
      <c r="L824" s="343"/>
      <c r="M824" s="373"/>
      <c r="N824" s="337"/>
      <c r="O824" s="352"/>
    </row>
    <row r="825" spans="1:16" ht="15.75" thickBot="1" x14ac:dyDescent="0.3">
      <c r="A825" s="387"/>
      <c r="B825" s="338"/>
      <c r="C825" s="20" t="s">
        <v>43</v>
      </c>
      <c r="D825" s="21">
        <v>150</v>
      </c>
      <c r="E825" s="21">
        <v>150</v>
      </c>
      <c r="F825" s="21"/>
      <c r="G825" s="21">
        <v>150</v>
      </c>
      <c r="H825" s="21">
        <v>150</v>
      </c>
      <c r="I825" s="80">
        <f t="shared" si="44"/>
        <v>0</v>
      </c>
      <c r="J825" s="338"/>
      <c r="K825" s="341"/>
      <c r="L825" s="344"/>
      <c r="M825" s="370"/>
      <c r="N825" s="338"/>
      <c r="O825" s="353"/>
    </row>
    <row r="826" spans="1:16" ht="57.75" customHeight="1" x14ac:dyDescent="0.25">
      <c r="A826" s="385" t="s">
        <v>1341</v>
      </c>
      <c r="B826" s="336" t="s">
        <v>1342</v>
      </c>
      <c r="C826" s="14"/>
      <c r="D826" s="15">
        <f>SUM(D827:D831)</f>
        <v>4467.7</v>
      </c>
      <c r="E826" s="15">
        <f>SUM(E827:E831)</f>
        <v>4467.7</v>
      </c>
      <c r="F826" s="15">
        <f>SUM(F827:F831)-0.1</f>
        <v>1953.2000000000003</v>
      </c>
      <c r="G826" s="15">
        <f>SUM(G827:G831)+0.1</f>
        <v>2514.5</v>
      </c>
      <c r="H826" s="15">
        <f>SUM(H827:H831)+0.1</f>
        <v>2514.5</v>
      </c>
      <c r="I826" s="79">
        <f t="shared" si="44"/>
        <v>0.43718244286769486</v>
      </c>
      <c r="J826" s="41" t="s">
        <v>1343</v>
      </c>
      <c r="K826" s="16" t="s">
        <v>23</v>
      </c>
      <c r="L826" s="17">
        <v>100</v>
      </c>
      <c r="M826" s="143">
        <v>60</v>
      </c>
      <c r="N826" s="41" t="s">
        <v>1985</v>
      </c>
      <c r="O826" s="42" t="s">
        <v>1986</v>
      </c>
      <c r="P826" s="175"/>
    </row>
    <row r="827" spans="1:16" ht="63.75" x14ac:dyDescent="0.25">
      <c r="A827" s="386"/>
      <c r="B827" s="337"/>
      <c r="C827" s="20" t="s">
        <v>43</v>
      </c>
      <c r="D827" s="21">
        <v>250</v>
      </c>
      <c r="E827" s="21">
        <v>250</v>
      </c>
      <c r="F827" s="21">
        <v>14.1</v>
      </c>
      <c r="G827" s="21">
        <v>235.9</v>
      </c>
      <c r="H827" s="21">
        <v>235.9</v>
      </c>
      <c r="I827" s="79">
        <f t="shared" si="44"/>
        <v>5.6399999999999999E-2</v>
      </c>
      <c r="J827" s="43" t="s">
        <v>1344</v>
      </c>
      <c r="K827" s="22" t="s">
        <v>23</v>
      </c>
      <c r="L827" s="23">
        <v>100</v>
      </c>
      <c r="M827" s="135">
        <v>100</v>
      </c>
      <c r="N827" s="43"/>
      <c r="O827" s="44"/>
    </row>
    <row r="828" spans="1:16" ht="51" x14ac:dyDescent="0.25">
      <c r="A828" s="386"/>
      <c r="B828" s="337"/>
      <c r="C828" s="20" t="s">
        <v>27</v>
      </c>
      <c r="D828" s="21">
        <v>595</v>
      </c>
      <c r="E828" s="21">
        <v>595</v>
      </c>
      <c r="F828" s="21">
        <v>25.3</v>
      </c>
      <c r="G828" s="21">
        <v>569.70000000000005</v>
      </c>
      <c r="H828" s="21">
        <v>569.70000000000005</v>
      </c>
      <c r="I828" s="79">
        <f t="shared" si="44"/>
        <v>4.2521008403361343E-2</v>
      </c>
      <c r="J828" s="43" t="s">
        <v>1345</v>
      </c>
      <c r="K828" s="22" t="s">
        <v>23</v>
      </c>
      <c r="L828" s="23">
        <v>100</v>
      </c>
      <c r="M828" s="140">
        <v>60</v>
      </c>
      <c r="N828" s="43"/>
      <c r="O828" s="44" t="s">
        <v>1987</v>
      </c>
    </row>
    <row r="829" spans="1:16" ht="51" x14ac:dyDescent="0.25">
      <c r="A829" s="386"/>
      <c r="B829" s="337"/>
      <c r="C829" s="20" t="s">
        <v>29</v>
      </c>
      <c r="D829" s="21">
        <v>3200</v>
      </c>
      <c r="E829" s="21">
        <v>3200</v>
      </c>
      <c r="F829" s="21">
        <v>1491.2</v>
      </c>
      <c r="G829" s="21">
        <v>1708.8</v>
      </c>
      <c r="H829" s="21">
        <v>1708.8</v>
      </c>
      <c r="I829" s="79">
        <f t="shared" si="44"/>
        <v>0.46600000000000003</v>
      </c>
      <c r="J829" s="43" t="s">
        <v>1346</v>
      </c>
      <c r="K829" s="22" t="s">
        <v>23</v>
      </c>
      <c r="L829" s="23">
        <v>86</v>
      </c>
      <c r="M829" s="134">
        <v>99.02</v>
      </c>
      <c r="N829" s="43"/>
      <c r="O829" s="44"/>
    </row>
    <row r="830" spans="1:16" ht="51" x14ac:dyDescent="0.25">
      <c r="A830" s="386"/>
      <c r="B830" s="337"/>
      <c r="C830" s="20" t="s">
        <v>24</v>
      </c>
      <c r="D830" s="21">
        <v>422.7</v>
      </c>
      <c r="E830" s="21">
        <v>422.7</v>
      </c>
      <c r="F830" s="21">
        <v>422.7</v>
      </c>
      <c r="G830" s="21"/>
      <c r="H830" s="21"/>
      <c r="I830" s="79">
        <f t="shared" si="44"/>
        <v>1</v>
      </c>
      <c r="J830" s="43" t="s">
        <v>1347</v>
      </c>
      <c r="K830" s="22" t="s">
        <v>23</v>
      </c>
      <c r="L830" s="23">
        <v>75</v>
      </c>
      <c r="M830" s="134">
        <v>84.4</v>
      </c>
      <c r="N830" s="43"/>
      <c r="O830" s="44"/>
    </row>
    <row r="831" spans="1:16" ht="77.25" thickBot="1" x14ac:dyDescent="0.3">
      <c r="A831" s="387"/>
      <c r="B831" s="338"/>
      <c r="C831" s="20"/>
      <c r="D831" s="21"/>
      <c r="E831" s="21"/>
      <c r="F831" s="21"/>
      <c r="G831" s="21"/>
      <c r="H831" s="21"/>
      <c r="I831" s="80"/>
      <c r="J831" s="43" t="s">
        <v>1348</v>
      </c>
      <c r="K831" s="22" t="s">
        <v>23</v>
      </c>
      <c r="L831" s="23">
        <v>100</v>
      </c>
      <c r="M831" s="140">
        <v>91</v>
      </c>
      <c r="N831" s="43"/>
      <c r="O831" s="44" t="s">
        <v>1667</v>
      </c>
    </row>
    <row r="832" spans="1:16" ht="24" customHeight="1" x14ac:dyDescent="0.25">
      <c r="A832" s="385" t="s">
        <v>1349</v>
      </c>
      <c r="B832" s="336" t="s">
        <v>1350</v>
      </c>
      <c r="C832" s="14"/>
      <c r="D832" s="15">
        <f>SUM(D833:D835)</f>
        <v>597.1</v>
      </c>
      <c r="E832" s="15">
        <f>SUM(E833:E835)</f>
        <v>597.1</v>
      </c>
      <c r="F832" s="15">
        <f>SUM(F833:F835)</f>
        <v>12.5</v>
      </c>
      <c r="G832" s="15">
        <f>SUM(G833:G835)</f>
        <v>584.6</v>
      </c>
      <c r="H832" s="15">
        <f>SUM(H833:H835)</f>
        <v>584.6</v>
      </c>
      <c r="I832" s="79">
        <f t="shared" si="44"/>
        <v>2.0934516831351533E-2</v>
      </c>
      <c r="J832" s="41" t="s">
        <v>385</v>
      </c>
      <c r="K832" s="16" t="s">
        <v>35</v>
      </c>
      <c r="L832" s="17">
        <v>1</v>
      </c>
      <c r="M832" s="137">
        <v>0</v>
      </c>
      <c r="N832" s="336" t="s">
        <v>1988</v>
      </c>
      <c r="O832" s="351" t="s">
        <v>1989</v>
      </c>
      <c r="P832" s="139"/>
    </row>
    <row r="833" spans="1:16" x14ac:dyDescent="0.25">
      <c r="A833" s="386"/>
      <c r="B833" s="337"/>
      <c r="C833" s="20" t="s">
        <v>24</v>
      </c>
      <c r="D833" s="21">
        <v>7.1</v>
      </c>
      <c r="E833" s="21">
        <v>7.1</v>
      </c>
      <c r="F833" s="21">
        <v>7.1</v>
      </c>
      <c r="G833" s="21"/>
      <c r="H833" s="21"/>
      <c r="I833" s="79">
        <f t="shared" si="44"/>
        <v>1</v>
      </c>
      <c r="J833" s="365" t="s">
        <v>766</v>
      </c>
      <c r="K833" s="362" t="s">
        <v>23</v>
      </c>
      <c r="L833" s="363">
        <v>15</v>
      </c>
      <c r="M833" s="381">
        <v>0</v>
      </c>
      <c r="N833" s="337"/>
      <c r="O833" s="352"/>
    </row>
    <row r="834" spans="1:16" x14ac:dyDescent="0.25">
      <c r="A834" s="386"/>
      <c r="B834" s="337"/>
      <c r="C834" s="20" t="s">
        <v>29</v>
      </c>
      <c r="D834" s="21">
        <v>400</v>
      </c>
      <c r="E834" s="21">
        <v>400</v>
      </c>
      <c r="F834" s="21"/>
      <c r="G834" s="21">
        <v>400</v>
      </c>
      <c r="H834" s="21">
        <v>400</v>
      </c>
      <c r="I834" s="79">
        <f t="shared" si="44"/>
        <v>0</v>
      </c>
      <c r="J834" s="337"/>
      <c r="K834" s="340"/>
      <c r="L834" s="343"/>
      <c r="M834" s="373"/>
      <c r="N834" s="337"/>
      <c r="O834" s="352"/>
    </row>
    <row r="835" spans="1:16" ht="16.5" customHeight="1" thickBot="1" x14ac:dyDescent="0.3">
      <c r="A835" s="387"/>
      <c r="B835" s="338"/>
      <c r="C835" s="20" t="s">
        <v>43</v>
      </c>
      <c r="D835" s="21">
        <v>190</v>
      </c>
      <c r="E835" s="21">
        <v>190</v>
      </c>
      <c r="F835" s="21">
        <v>5.4</v>
      </c>
      <c r="G835" s="21">
        <v>184.6</v>
      </c>
      <c r="H835" s="21">
        <v>184.6</v>
      </c>
      <c r="I835" s="80">
        <f t="shared" si="44"/>
        <v>2.8421052631578948E-2</v>
      </c>
      <c r="J835" s="338"/>
      <c r="K835" s="341"/>
      <c r="L835" s="344"/>
      <c r="M835" s="370"/>
      <c r="N835" s="338"/>
      <c r="O835" s="353"/>
    </row>
    <row r="836" spans="1:16" ht="37.5" customHeight="1" x14ac:dyDescent="0.25">
      <c r="A836" s="385" t="s">
        <v>1351</v>
      </c>
      <c r="B836" s="336" t="s">
        <v>1352</v>
      </c>
      <c r="C836" s="14"/>
      <c r="D836" s="15">
        <f>SUM(D837:D838)</f>
        <v>1325.2</v>
      </c>
      <c r="E836" s="15">
        <f>SUM(E837:E838)</f>
        <v>1325.2</v>
      </c>
      <c r="F836" s="15">
        <f>SUM(F837:F838)</f>
        <v>25.1</v>
      </c>
      <c r="G836" s="15">
        <f>SUM(G837:G838)</f>
        <v>1300.0999999999999</v>
      </c>
      <c r="H836" s="15">
        <f>SUM(H837:H838)</f>
        <v>1300.0999999999999</v>
      </c>
      <c r="I836" s="79">
        <f t="shared" si="44"/>
        <v>1.8940537277392092E-2</v>
      </c>
      <c r="J836" s="41" t="s">
        <v>385</v>
      </c>
      <c r="K836" s="16" t="s">
        <v>35</v>
      </c>
      <c r="L836" s="17">
        <v>1</v>
      </c>
      <c r="M836" s="137">
        <v>0</v>
      </c>
      <c r="N836" s="336" t="s">
        <v>1990</v>
      </c>
      <c r="O836" s="351" t="s">
        <v>1989</v>
      </c>
      <c r="P836" s="139"/>
    </row>
    <row r="837" spans="1:16" x14ac:dyDescent="0.25">
      <c r="A837" s="386"/>
      <c r="B837" s="337"/>
      <c r="C837" s="20" t="s">
        <v>24</v>
      </c>
      <c r="D837" s="21">
        <v>25.2</v>
      </c>
      <c r="E837" s="21">
        <v>25.2</v>
      </c>
      <c r="F837" s="21">
        <v>25.1</v>
      </c>
      <c r="G837" s="21">
        <v>0.1</v>
      </c>
      <c r="H837" s="21">
        <v>0.1</v>
      </c>
      <c r="I837" s="79">
        <f t="shared" si="44"/>
        <v>0.99603174603174616</v>
      </c>
      <c r="J837" s="365" t="s">
        <v>766</v>
      </c>
      <c r="K837" s="362" t="s">
        <v>23</v>
      </c>
      <c r="L837" s="363">
        <v>25</v>
      </c>
      <c r="M837" s="381">
        <v>0</v>
      </c>
      <c r="N837" s="337"/>
      <c r="O837" s="352"/>
    </row>
    <row r="838" spans="1:16" ht="15.75" thickBot="1" x14ac:dyDescent="0.3">
      <c r="A838" s="387"/>
      <c r="B838" s="338"/>
      <c r="C838" s="20" t="s">
        <v>29</v>
      </c>
      <c r="D838" s="21">
        <v>1300</v>
      </c>
      <c r="E838" s="21">
        <v>1300</v>
      </c>
      <c r="F838" s="21"/>
      <c r="G838" s="21">
        <v>1300</v>
      </c>
      <c r="H838" s="21">
        <v>1300</v>
      </c>
      <c r="I838" s="80">
        <f t="shared" si="44"/>
        <v>0</v>
      </c>
      <c r="J838" s="338"/>
      <c r="K838" s="341"/>
      <c r="L838" s="344"/>
      <c r="M838" s="370"/>
      <c r="N838" s="338"/>
      <c r="O838" s="353"/>
    </row>
    <row r="839" spans="1:16" ht="30.75" customHeight="1" x14ac:dyDescent="0.25">
      <c r="A839" s="385" t="s">
        <v>1353</v>
      </c>
      <c r="B839" s="336" t="s">
        <v>1354</v>
      </c>
      <c r="C839" s="14"/>
      <c r="D839" s="15">
        <f>SUM(D840:D841)</f>
        <v>225</v>
      </c>
      <c r="E839" s="15">
        <f>SUM(E840:E841)</f>
        <v>225</v>
      </c>
      <c r="F839" s="15">
        <f>SUM(F840:F841)</f>
        <v>55.9</v>
      </c>
      <c r="G839" s="15">
        <f>SUM(G840:G841)</f>
        <v>169.1</v>
      </c>
      <c r="H839" s="15">
        <f>SUM(H840:H841)</f>
        <v>169.1</v>
      </c>
      <c r="I839" s="79">
        <f t="shared" si="44"/>
        <v>0.24844444444444444</v>
      </c>
      <c r="J839" s="41" t="s">
        <v>385</v>
      </c>
      <c r="K839" s="16" t="s">
        <v>35</v>
      </c>
      <c r="L839" s="17">
        <v>1</v>
      </c>
      <c r="M839" s="137">
        <v>0</v>
      </c>
      <c r="N839" s="336" t="s">
        <v>1991</v>
      </c>
      <c r="O839" s="351" t="s">
        <v>1992</v>
      </c>
      <c r="P839" s="139"/>
    </row>
    <row r="840" spans="1:16" x14ac:dyDescent="0.25">
      <c r="A840" s="386"/>
      <c r="B840" s="337"/>
      <c r="C840" s="20" t="s">
        <v>43</v>
      </c>
      <c r="D840" s="21">
        <v>25</v>
      </c>
      <c r="E840" s="21">
        <v>25</v>
      </c>
      <c r="F840" s="21">
        <v>19.899999999999999</v>
      </c>
      <c r="G840" s="21">
        <v>5.0999999999999996</v>
      </c>
      <c r="H840" s="21">
        <v>5.0999999999999996</v>
      </c>
      <c r="I840" s="79">
        <f t="shared" si="44"/>
        <v>0.79599999999999993</v>
      </c>
      <c r="J840" s="365" t="s">
        <v>766</v>
      </c>
      <c r="K840" s="362" t="s">
        <v>23</v>
      </c>
      <c r="L840" s="363">
        <v>6</v>
      </c>
      <c r="M840" s="381">
        <v>0</v>
      </c>
      <c r="N840" s="337"/>
      <c r="O840" s="352"/>
    </row>
    <row r="841" spans="1:16" ht="23.25" customHeight="1" thickBot="1" x14ac:dyDescent="0.3">
      <c r="A841" s="387"/>
      <c r="B841" s="338"/>
      <c r="C841" s="20" t="s">
        <v>29</v>
      </c>
      <c r="D841" s="21">
        <v>200</v>
      </c>
      <c r="E841" s="21">
        <v>200</v>
      </c>
      <c r="F841" s="21">
        <v>36</v>
      </c>
      <c r="G841" s="21">
        <v>164</v>
      </c>
      <c r="H841" s="21">
        <v>164</v>
      </c>
      <c r="I841" s="80">
        <f t="shared" si="44"/>
        <v>0.18</v>
      </c>
      <c r="J841" s="338"/>
      <c r="K841" s="341"/>
      <c r="L841" s="344"/>
      <c r="M841" s="370"/>
      <c r="N841" s="338"/>
      <c r="O841" s="353"/>
    </row>
    <row r="842" spans="1:16" ht="63.75" customHeight="1" x14ac:dyDescent="0.25">
      <c r="A842" s="385" t="s">
        <v>1355</v>
      </c>
      <c r="B842" s="336" t="s">
        <v>1356</v>
      </c>
      <c r="C842" s="14"/>
      <c r="D842" s="15">
        <f>SUM(D843:D844)</f>
        <v>3200</v>
      </c>
      <c r="E842" s="15">
        <f>SUM(E843:E844)</f>
        <v>3200</v>
      </c>
      <c r="F842" s="15">
        <f>SUM(F843:F844)</f>
        <v>1187.8</v>
      </c>
      <c r="G842" s="15">
        <f>SUM(G843:G844)</f>
        <v>2012.2</v>
      </c>
      <c r="H842" s="15">
        <f>SUM(H843:H844)</f>
        <v>2012.2</v>
      </c>
      <c r="I842" s="79">
        <f t="shared" si="44"/>
        <v>0.3711875</v>
      </c>
      <c r="J842" s="336" t="s">
        <v>766</v>
      </c>
      <c r="K842" s="339" t="s">
        <v>23</v>
      </c>
      <c r="L842" s="342">
        <v>60</v>
      </c>
      <c r="M842" s="521">
        <v>21</v>
      </c>
      <c r="N842" s="336" t="s">
        <v>1993</v>
      </c>
      <c r="O842" s="351" t="s">
        <v>1994</v>
      </c>
      <c r="P842" s="290"/>
    </row>
    <row r="843" spans="1:16" x14ac:dyDescent="0.25">
      <c r="A843" s="386"/>
      <c r="B843" s="337"/>
      <c r="C843" s="20" t="s">
        <v>43</v>
      </c>
      <c r="D843" s="21">
        <v>480</v>
      </c>
      <c r="E843" s="21">
        <v>480</v>
      </c>
      <c r="F843" s="21">
        <v>479.7</v>
      </c>
      <c r="G843" s="21">
        <v>0.3</v>
      </c>
      <c r="H843" s="21">
        <v>0.3</v>
      </c>
      <c r="I843" s="79">
        <f t="shared" si="44"/>
        <v>0.99937500000000001</v>
      </c>
      <c r="J843" s="337"/>
      <c r="K843" s="340"/>
      <c r="L843" s="343"/>
      <c r="M843" s="522"/>
      <c r="N843" s="337"/>
      <c r="O843" s="352"/>
    </row>
    <row r="844" spans="1:16" ht="15.75" thickBot="1" x14ac:dyDescent="0.3">
      <c r="A844" s="387"/>
      <c r="B844" s="338"/>
      <c r="C844" s="20" t="s">
        <v>29</v>
      </c>
      <c r="D844" s="21">
        <v>2720</v>
      </c>
      <c r="E844" s="21">
        <v>2720</v>
      </c>
      <c r="F844" s="21">
        <v>708.1</v>
      </c>
      <c r="G844" s="21">
        <v>2011.9</v>
      </c>
      <c r="H844" s="21">
        <v>2011.9</v>
      </c>
      <c r="I844" s="80">
        <f t="shared" si="44"/>
        <v>0.26033088235294116</v>
      </c>
      <c r="J844" s="338"/>
      <c r="K844" s="341"/>
      <c r="L844" s="344"/>
      <c r="M844" s="523"/>
      <c r="N844" s="338"/>
      <c r="O844" s="353"/>
    </row>
    <row r="845" spans="1:16" x14ac:dyDescent="0.25">
      <c r="A845" s="385" t="s">
        <v>1357</v>
      </c>
      <c r="B845" s="336" t="s">
        <v>1358</v>
      </c>
      <c r="C845" s="14"/>
      <c r="D845" s="15">
        <f>SUM(D846:D847)</f>
        <v>126.9</v>
      </c>
      <c r="E845" s="15">
        <f>SUM(E846:E847)</f>
        <v>126.9</v>
      </c>
      <c r="F845" s="15">
        <f>SUM(F846:F847)</f>
        <v>126.6</v>
      </c>
      <c r="G845" s="15">
        <f>SUM(G846:G847)</f>
        <v>0.3</v>
      </c>
      <c r="H845" s="15">
        <f>SUM(H846:H847)</f>
        <v>0.3</v>
      </c>
      <c r="I845" s="79">
        <f t="shared" si="44"/>
        <v>0.99763593380614646</v>
      </c>
      <c r="J845" s="336" t="s">
        <v>1359</v>
      </c>
      <c r="K845" s="339" t="s">
        <v>23</v>
      </c>
      <c r="L845" s="342">
        <v>100</v>
      </c>
      <c r="M845" s="392">
        <v>100</v>
      </c>
      <c r="N845" s="330"/>
      <c r="O845" s="333"/>
      <c r="P845" s="181"/>
    </row>
    <row r="846" spans="1:16" x14ac:dyDescent="0.25">
      <c r="A846" s="386"/>
      <c r="B846" s="337"/>
      <c r="C846" s="20" t="s">
        <v>43</v>
      </c>
      <c r="D846" s="21">
        <v>90</v>
      </c>
      <c r="E846" s="21">
        <v>90</v>
      </c>
      <c r="F846" s="21">
        <v>89.7</v>
      </c>
      <c r="G846" s="21">
        <v>0.3</v>
      </c>
      <c r="H846" s="21">
        <v>0.3</v>
      </c>
      <c r="I846" s="79">
        <f t="shared" si="44"/>
        <v>0.9966666666666667</v>
      </c>
      <c r="J846" s="337"/>
      <c r="K846" s="340"/>
      <c r="L846" s="343"/>
      <c r="M846" s="393"/>
      <c r="N846" s="331"/>
      <c r="O846" s="334"/>
    </row>
    <row r="847" spans="1:16" ht="15.75" thickBot="1" x14ac:dyDescent="0.3">
      <c r="A847" s="387"/>
      <c r="B847" s="338"/>
      <c r="C847" s="20" t="s">
        <v>24</v>
      </c>
      <c r="D847" s="21">
        <v>36.9</v>
      </c>
      <c r="E847" s="21">
        <v>36.9</v>
      </c>
      <c r="F847" s="21">
        <v>36.9</v>
      </c>
      <c r="G847" s="21"/>
      <c r="H847" s="21"/>
      <c r="I847" s="80">
        <f t="shared" si="44"/>
        <v>1</v>
      </c>
      <c r="J847" s="338"/>
      <c r="K847" s="341"/>
      <c r="L847" s="344"/>
      <c r="M847" s="394"/>
      <c r="N847" s="332"/>
      <c r="O847" s="335"/>
    </row>
    <row r="848" spans="1:16" ht="15.75" thickBot="1" x14ac:dyDescent="0.3">
      <c r="A848" s="13" t="s">
        <v>1360</v>
      </c>
      <c r="B848" s="37" t="s">
        <v>1361</v>
      </c>
      <c r="C848" s="14" t="s">
        <v>24</v>
      </c>
      <c r="D848" s="24">
        <v>436.5</v>
      </c>
      <c r="E848" s="24">
        <v>436.5</v>
      </c>
      <c r="F848" s="24">
        <v>412.9</v>
      </c>
      <c r="G848" s="24">
        <v>23.6</v>
      </c>
      <c r="H848" s="24">
        <v>23.6</v>
      </c>
      <c r="I848" s="158">
        <f t="shared" si="44"/>
        <v>0.94593356242840776</v>
      </c>
      <c r="J848" s="41" t="s">
        <v>1362</v>
      </c>
      <c r="K848" s="16" t="s">
        <v>23</v>
      </c>
      <c r="L848" s="17">
        <v>100</v>
      </c>
      <c r="M848" s="136">
        <v>100</v>
      </c>
      <c r="N848" s="41"/>
      <c r="O848" s="42"/>
      <c r="P848" s="181"/>
    </row>
    <row r="849" spans="1:16" ht="39" customHeight="1" thickBot="1" x14ac:dyDescent="0.3">
      <c r="A849" s="13" t="s">
        <v>1363</v>
      </c>
      <c r="B849" s="37" t="s">
        <v>1364</v>
      </c>
      <c r="C849" s="14" t="s">
        <v>24</v>
      </c>
      <c r="D849" s="24">
        <v>43.2</v>
      </c>
      <c r="E849" s="24">
        <v>43.2</v>
      </c>
      <c r="F849" s="24">
        <v>42.1</v>
      </c>
      <c r="G849" s="24">
        <v>1.1000000000000001</v>
      </c>
      <c r="H849" s="24">
        <v>1.1000000000000001</v>
      </c>
      <c r="I849" s="79">
        <f t="shared" si="44"/>
        <v>0.97453703703703698</v>
      </c>
      <c r="J849" s="41" t="s">
        <v>1365</v>
      </c>
      <c r="K849" s="16" t="s">
        <v>23</v>
      </c>
      <c r="L849" s="17">
        <v>100</v>
      </c>
      <c r="M849" s="136">
        <v>100</v>
      </c>
      <c r="N849" s="41"/>
      <c r="O849" s="42"/>
      <c r="P849" s="181"/>
    </row>
    <row r="850" spans="1:16" ht="64.5" hidden="1" thickBot="1" x14ac:dyDescent="0.3">
      <c r="A850" s="13" t="s">
        <v>1366</v>
      </c>
      <c r="B850" s="37" t="s">
        <v>1367</v>
      </c>
      <c r="C850" s="14"/>
      <c r="D850" s="24"/>
      <c r="E850" s="24"/>
      <c r="F850" s="24"/>
      <c r="G850" s="24"/>
      <c r="H850" s="24"/>
      <c r="I850" s="153"/>
      <c r="J850" s="41"/>
      <c r="K850" s="16"/>
      <c r="L850" s="48"/>
      <c r="M850" s="17"/>
      <c r="N850" s="41"/>
      <c r="O850" s="42"/>
    </row>
    <row r="851" spans="1:16" ht="64.5" hidden="1" thickBot="1" x14ac:dyDescent="0.3">
      <c r="A851" s="13" t="s">
        <v>1368</v>
      </c>
      <c r="B851" s="37" t="s">
        <v>1369</v>
      </c>
      <c r="C851" s="14"/>
      <c r="D851" s="24"/>
      <c r="E851" s="24"/>
      <c r="F851" s="24"/>
      <c r="G851" s="24"/>
      <c r="H851" s="24"/>
      <c r="I851" s="153"/>
      <c r="J851" s="41"/>
      <c r="K851" s="16"/>
      <c r="L851" s="48"/>
      <c r="M851" s="17"/>
      <c r="N851" s="41"/>
      <c r="O851" s="42"/>
    </row>
    <row r="852" spans="1:16" ht="51" x14ac:dyDescent="0.25">
      <c r="A852" s="401" t="s">
        <v>1370</v>
      </c>
      <c r="B852" s="404" t="s">
        <v>1371</v>
      </c>
      <c r="C852" s="407"/>
      <c r="D852" s="395">
        <f>D853+D854+D855+D856+D858+D860</f>
        <v>144</v>
      </c>
      <c r="E852" s="395">
        <f>E853+E854+E855+E856+E858+E860</f>
        <v>144</v>
      </c>
      <c r="F852" s="395">
        <f>F853+F854+F855+F856+F858+F860+0.1</f>
        <v>140.19999999999999</v>
      </c>
      <c r="G852" s="395">
        <f>G853+G854+G855+G856+G858+G860-0.1</f>
        <v>3.8000000000000003</v>
      </c>
      <c r="H852" s="395">
        <f>H853+H854+H855+H856+H858+H860-0.1</f>
        <v>3.8000000000000003</v>
      </c>
      <c r="I852" s="398">
        <f>SUM(F852/E852)</f>
        <v>0.97361111111111098</v>
      </c>
      <c r="J852" s="45" t="s">
        <v>2094</v>
      </c>
      <c r="K852" s="12" t="s">
        <v>118</v>
      </c>
      <c r="L852" s="50">
        <v>802.1</v>
      </c>
      <c r="M852" s="50">
        <v>0</v>
      </c>
      <c r="N852" s="422"/>
      <c r="O852" s="52" t="s">
        <v>2114</v>
      </c>
    </row>
    <row r="853" spans="1:16" ht="25.5" x14ac:dyDescent="0.25">
      <c r="A853" s="402"/>
      <c r="B853" s="405"/>
      <c r="C853" s="408"/>
      <c r="D853" s="396"/>
      <c r="E853" s="396"/>
      <c r="F853" s="396"/>
      <c r="G853" s="396"/>
      <c r="H853" s="396"/>
      <c r="I853" s="399"/>
      <c r="J853" s="55" t="s">
        <v>1372</v>
      </c>
      <c r="K853" s="56" t="s">
        <v>23</v>
      </c>
      <c r="L853" s="57">
        <v>8.4</v>
      </c>
      <c r="M853" s="57">
        <v>8.6</v>
      </c>
      <c r="N853" s="483"/>
      <c r="O853" s="66"/>
    </row>
    <row r="854" spans="1:16" ht="26.25" thickBot="1" x14ac:dyDescent="0.3">
      <c r="A854" s="403"/>
      <c r="B854" s="406"/>
      <c r="C854" s="409"/>
      <c r="D854" s="397"/>
      <c r="E854" s="397"/>
      <c r="F854" s="397"/>
      <c r="G854" s="397"/>
      <c r="H854" s="397"/>
      <c r="I854" s="400"/>
      <c r="J854" s="55" t="s">
        <v>1373</v>
      </c>
      <c r="K854" s="56" t="s">
        <v>118</v>
      </c>
      <c r="L854" s="65">
        <v>1482</v>
      </c>
      <c r="M854" s="65">
        <v>1042</v>
      </c>
      <c r="N854" s="423"/>
      <c r="O854" s="66"/>
    </row>
    <row r="855" spans="1:16" ht="51.75" thickBot="1" x14ac:dyDescent="0.3">
      <c r="A855" s="13" t="s">
        <v>1374</v>
      </c>
      <c r="B855" s="37" t="s">
        <v>1375</v>
      </c>
      <c r="C855" s="14" t="s">
        <v>43</v>
      </c>
      <c r="D855" s="24">
        <v>119</v>
      </c>
      <c r="E855" s="24">
        <v>119</v>
      </c>
      <c r="F855" s="24">
        <v>115.8</v>
      </c>
      <c r="G855" s="24">
        <v>3.2</v>
      </c>
      <c r="H855" s="24">
        <v>3.2</v>
      </c>
      <c r="I855" s="153">
        <f>SUM(F855/E855)</f>
        <v>0.97310924369747898</v>
      </c>
      <c r="J855" s="41" t="s">
        <v>1376</v>
      </c>
      <c r="K855" s="16" t="s">
        <v>118</v>
      </c>
      <c r="L855" s="53">
        <v>1100</v>
      </c>
      <c r="M855" s="183">
        <v>1115</v>
      </c>
      <c r="N855" s="41" t="s">
        <v>1377</v>
      </c>
      <c r="O855" s="42"/>
      <c r="P855" s="284"/>
    </row>
    <row r="856" spans="1:16" ht="39" hidden="1" thickBot="1" x14ac:dyDescent="0.3">
      <c r="A856" s="385" t="s">
        <v>1378</v>
      </c>
      <c r="B856" s="336" t="s">
        <v>1379</v>
      </c>
      <c r="C856" s="14" t="s">
        <v>43</v>
      </c>
      <c r="D856" s="15"/>
      <c r="E856" s="15"/>
      <c r="F856" s="15"/>
      <c r="G856" s="15"/>
      <c r="H856" s="15"/>
      <c r="I856" s="153" t="e">
        <f t="shared" ref="I856:I860" si="45">SUM(F856/E856)</f>
        <v>#DIV/0!</v>
      </c>
      <c r="J856" s="41" t="s">
        <v>1380</v>
      </c>
      <c r="K856" s="16" t="s">
        <v>35</v>
      </c>
      <c r="L856" s="53">
        <v>0</v>
      </c>
      <c r="M856" s="183">
        <v>0</v>
      </c>
      <c r="N856" s="41"/>
      <c r="O856" s="42"/>
    </row>
    <row r="857" spans="1:16" ht="26.25" hidden="1" thickBot="1" x14ac:dyDescent="0.3">
      <c r="A857" s="387"/>
      <c r="B857" s="338"/>
      <c r="C857" s="20"/>
      <c r="D857" s="21"/>
      <c r="E857" s="21"/>
      <c r="F857" s="21"/>
      <c r="G857" s="21"/>
      <c r="H857" s="21"/>
      <c r="I857" s="153" t="e">
        <f t="shared" si="45"/>
        <v>#DIV/0!</v>
      </c>
      <c r="J857" s="43" t="s">
        <v>1381</v>
      </c>
      <c r="K857" s="22" t="s">
        <v>35</v>
      </c>
      <c r="L857" s="54">
        <v>0</v>
      </c>
      <c r="M857" s="188">
        <v>0</v>
      </c>
      <c r="N857" s="43"/>
      <c r="O857" s="44"/>
    </row>
    <row r="858" spans="1:16" ht="26.25" hidden="1" thickBot="1" x14ac:dyDescent="0.3">
      <c r="A858" s="385" t="s">
        <v>1382</v>
      </c>
      <c r="B858" s="336" t="s">
        <v>1383</v>
      </c>
      <c r="C858" s="14" t="s">
        <v>43</v>
      </c>
      <c r="D858" s="15"/>
      <c r="E858" s="15"/>
      <c r="F858" s="15"/>
      <c r="G858" s="15"/>
      <c r="H858" s="15"/>
      <c r="I858" s="153" t="e">
        <f t="shared" si="45"/>
        <v>#DIV/0!</v>
      </c>
      <c r="J858" s="41" t="s">
        <v>1384</v>
      </c>
      <c r="K858" s="16" t="s">
        <v>35</v>
      </c>
      <c r="L858" s="53">
        <v>0</v>
      </c>
      <c r="M858" s="183">
        <v>0</v>
      </c>
      <c r="N858" s="41"/>
      <c r="O858" s="42"/>
    </row>
    <row r="859" spans="1:16" ht="26.25" hidden="1" thickBot="1" x14ac:dyDescent="0.3">
      <c r="A859" s="387"/>
      <c r="B859" s="338"/>
      <c r="C859" s="20"/>
      <c r="D859" s="21"/>
      <c r="E859" s="21"/>
      <c r="F859" s="21"/>
      <c r="G859" s="21"/>
      <c r="H859" s="21"/>
      <c r="I859" s="153" t="e">
        <f t="shared" si="45"/>
        <v>#DIV/0!</v>
      </c>
      <c r="J859" s="43" t="s">
        <v>1385</v>
      </c>
      <c r="K859" s="22" t="s">
        <v>35</v>
      </c>
      <c r="L859" s="54">
        <v>0</v>
      </c>
      <c r="M859" s="188">
        <v>0</v>
      </c>
      <c r="N859" s="43"/>
      <c r="O859" s="44"/>
    </row>
    <row r="860" spans="1:16" x14ac:dyDescent="0.25">
      <c r="A860" s="385" t="s">
        <v>1386</v>
      </c>
      <c r="B860" s="336" t="s">
        <v>212</v>
      </c>
      <c r="C860" s="14" t="s">
        <v>43</v>
      </c>
      <c r="D860" s="15">
        <f>SUM(D861:D862)+25</f>
        <v>25</v>
      </c>
      <c r="E860" s="15">
        <f>SUM(E861:E862)+25</f>
        <v>25</v>
      </c>
      <c r="F860" s="15">
        <f>SUM(F861:F862)+24.3</f>
        <v>24.3</v>
      </c>
      <c r="G860" s="15">
        <f>SUM(G861:G862)+0.7</f>
        <v>0.7</v>
      </c>
      <c r="H860" s="15">
        <f>SUM(H861:H862)+0.7</f>
        <v>0.7</v>
      </c>
      <c r="I860" s="153">
        <f t="shared" si="45"/>
        <v>0.97199999999999998</v>
      </c>
      <c r="J860" s="41" t="s">
        <v>1387</v>
      </c>
      <c r="K860" s="16" t="s">
        <v>35</v>
      </c>
      <c r="L860" s="53">
        <v>5</v>
      </c>
      <c r="M860" s="183">
        <v>9</v>
      </c>
      <c r="N860" s="41"/>
      <c r="O860" s="42"/>
      <c r="P860" s="284"/>
    </row>
    <row r="861" spans="1:16" ht="29.25" customHeight="1" x14ac:dyDescent="0.25">
      <c r="A861" s="386"/>
      <c r="B861" s="337"/>
      <c r="C861" s="20"/>
      <c r="D861" s="21"/>
      <c r="E861" s="21"/>
      <c r="F861" s="21"/>
      <c r="G861" s="21"/>
      <c r="H861" s="21"/>
      <c r="I861" s="150"/>
      <c r="J861" s="43" t="s">
        <v>1388</v>
      </c>
      <c r="K861" s="22" t="s">
        <v>118</v>
      </c>
      <c r="L861" s="54">
        <v>1000</v>
      </c>
      <c r="M861" s="188">
        <v>1803</v>
      </c>
      <c r="N861" s="43"/>
      <c r="O861" s="44"/>
    </row>
    <row r="862" spans="1:16" ht="41.25" customHeight="1" thickBot="1" x14ac:dyDescent="0.3">
      <c r="A862" s="387"/>
      <c r="B862" s="338"/>
      <c r="C862" s="20"/>
      <c r="D862" s="21"/>
      <c r="E862" s="21"/>
      <c r="F862" s="21"/>
      <c r="G862" s="21"/>
      <c r="H862" s="21"/>
      <c r="I862" s="150"/>
      <c r="J862" s="43" t="s">
        <v>1389</v>
      </c>
      <c r="K862" s="22" t="s">
        <v>23</v>
      </c>
      <c r="L862" s="23">
        <v>0.6</v>
      </c>
      <c r="M862" s="134">
        <v>10.09</v>
      </c>
      <c r="N862" s="43"/>
      <c r="O862" s="44"/>
    </row>
    <row r="863" spans="1:16" ht="38.25" x14ac:dyDescent="0.25">
      <c r="A863" s="401" t="s">
        <v>1390</v>
      </c>
      <c r="B863" s="404" t="s">
        <v>1391</v>
      </c>
      <c r="C863" s="407"/>
      <c r="D863" s="395">
        <f>D864+D865+D866+D875+D878+D879+D890+D899+D902+D903+D912+D913+D914+D920+D922+D925</f>
        <v>137766.70000000001</v>
      </c>
      <c r="E863" s="395">
        <f>E864+E865+E866+E875+E878+E879+E890+E899+E902+E903+E912+E913+E914+E920+E922+E925</f>
        <v>137766.70000000001</v>
      </c>
      <c r="F863" s="395">
        <f>F864+F865+F866+F875+F878+F879+F890+F899+F902+F903+F912+F913+F914+F920+F922+F925-0.1</f>
        <v>134201.59999999998</v>
      </c>
      <c r="G863" s="395">
        <f>G864+G865+G866+G875+G878+G879+G890+G899+G902+G903+G912+G913+G914+G920+G922+G925+0.2</f>
        <v>3565.1</v>
      </c>
      <c r="H863" s="395">
        <f>H864+H865+H866+H875+H878+H879+H890+H899+H902+H903+H912+H913+H914+H920+H922+H925+0.2</f>
        <v>3565.1</v>
      </c>
      <c r="I863" s="398">
        <f>SUM(F863/E863)</f>
        <v>0.97412219353443152</v>
      </c>
      <c r="J863" s="45" t="s">
        <v>1392</v>
      </c>
      <c r="K863" s="12" t="s">
        <v>23</v>
      </c>
      <c r="L863" s="50">
        <v>73</v>
      </c>
      <c r="M863" s="50">
        <v>96.95</v>
      </c>
      <c r="N863" s="517"/>
      <c r="O863" s="446"/>
    </row>
    <row r="864" spans="1:16" ht="38.25" x14ac:dyDescent="0.25">
      <c r="A864" s="402"/>
      <c r="B864" s="405"/>
      <c r="C864" s="408"/>
      <c r="D864" s="396"/>
      <c r="E864" s="396"/>
      <c r="F864" s="396"/>
      <c r="G864" s="396"/>
      <c r="H864" s="396"/>
      <c r="I864" s="399"/>
      <c r="J864" s="55" t="s">
        <v>1393</v>
      </c>
      <c r="K864" s="56" t="s">
        <v>118</v>
      </c>
      <c r="L864" s="57">
        <v>3</v>
      </c>
      <c r="M864" s="57">
        <v>3</v>
      </c>
      <c r="N864" s="518"/>
      <c r="O864" s="519"/>
    </row>
    <row r="865" spans="1:16" ht="51.75" thickBot="1" x14ac:dyDescent="0.3">
      <c r="A865" s="403"/>
      <c r="B865" s="406"/>
      <c r="C865" s="409"/>
      <c r="D865" s="397"/>
      <c r="E865" s="397"/>
      <c r="F865" s="397"/>
      <c r="G865" s="397"/>
      <c r="H865" s="397"/>
      <c r="I865" s="400"/>
      <c r="J865" s="55" t="s">
        <v>1394</v>
      </c>
      <c r="K865" s="56" t="s">
        <v>23</v>
      </c>
      <c r="L865" s="57">
        <v>81.599999999999994</v>
      </c>
      <c r="M865" s="57">
        <v>84.4</v>
      </c>
      <c r="N865" s="520"/>
      <c r="O865" s="447"/>
    </row>
    <row r="866" spans="1:16" x14ac:dyDescent="0.25">
      <c r="A866" s="385" t="s">
        <v>1395</v>
      </c>
      <c r="B866" s="336" t="s">
        <v>1396</v>
      </c>
      <c r="C866" s="14"/>
      <c r="D866" s="15">
        <f>SUM(D867:D874)-0.1</f>
        <v>90290.3</v>
      </c>
      <c r="E866" s="15">
        <f>SUM(E867:E874)-0.1</f>
        <v>90290.3</v>
      </c>
      <c r="F866" s="15">
        <f>SUM(F867:F874)-0.1</f>
        <v>87785.1</v>
      </c>
      <c r="G866" s="15">
        <f>SUM(G867:G874)+0.1</f>
        <v>2505.2000000000003</v>
      </c>
      <c r="H866" s="261">
        <f>SUM(H867:H874)+0.1</f>
        <v>2505.2000000000003</v>
      </c>
      <c r="I866" s="148">
        <f>SUM(F866/E866)</f>
        <v>0.97225394089952077</v>
      </c>
      <c r="J866" s="41" t="s">
        <v>1397</v>
      </c>
      <c r="K866" s="16" t="s">
        <v>35</v>
      </c>
      <c r="L866" s="17">
        <v>30</v>
      </c>
      <c r="M866" s="136">
        <v>30</v>
      </c>
      <c r="N866" s="41"/>
      <c r="O866" s="42"/>
      <c r="P866" s="181"/>
    </row>
    <row r="867" spans="1:16" ht="25.5" x14ac:dyDescent="0.25">
      <c r="A867" s="386"/>
      <c r="B867" s="337"/>
      <c r="C867" s="20" t="s">
        <v>1398</v>
      </c>
      <c r="D867" s="21">
        <v>56613.7</v>
      </c>
      <c r="E867" s="21">
        <v>56613.7</v>
      </c>
      <c r="F867" s="21">
        <v>56613.7</v>
      </c>
      <c r="G867" s="21"/>
      <c r="H867" s="67"/>
      <c r="I867" s="149">
        <f t="shared" ref="I867:I927" si="46">SUM(F867/E867)</f>
        <v>1</v>
      </c>
      <c r="J867" s="68" t="s">
        <v>1399</v>
      </c>
      <c r="K867" s="22" t="s">
        <v>118</v>
      </c>
      <c r="L867" s="54">
        <v>14700</v>
      </c>
      <c r="M867" s="188">
        <v>14881</v>
      </c>
      <c r="N867" s="43"/>
      <c r="O867" s="44"/>
    </row>
    <row r="868" spans="1:16" ht="25.5" x14ac:dyDescent="0.25">
      <c r="A868" s="386"/>
      <c r="B868" s="337"/>
      <c r="C868" s="20" t="s">
        <v>27</v>
      </c>
      <c r="D868" s="21">
        <v>7385.2</v>
      </c>
      <c r="E868" s="21">
        <v>7385.2</v>
      </c>
      <c r="F868" s="21">
        <v>7381.3</v>
      </c>
      <c r="G868" s="21">
        <v>3.9</v>
      </c>
      <c r="H868" s="67">
        <v>3.9</v>
      </c>
      <c r="I868" s="149">
        <f t="shared" si="46"/>
        <v>0.9994719168065862</v>
      </c>
      <c r="J868" s="68" t="s">
        <v>1400</v>
      </c>
      <c r="K868" s="22" t="s">
        <v>35</v>
      </c>
      <c r="L868" s="54">
        <v>1</v>
      </c>
      <c r="M868" s="260">
        <v>1</v>
      </c>
      <c r="N868" s="43"/>
      <c r="O868" s="44"/>
    </row>
    <row r="869" spans="1:16" ht="38.25" x14ac:dyDescent="0.25">
      <c r="A869" s="386"/>
      <c r="B869" s="337"/>
      <c r="C869" s="20" t="s">
        <v>185</v>
      </c>
      <c r="D869" s="21">
        <v>1077.5999999999999</v>
      </c>
      <c r="E869" s="21">
        <v>1077.5999999999999</v>
      </c>
      <c r="F869" s="21">
        <v>419.5</v>
      </c>
      <c r="G869" s="21">
        <v>658.1</v>
      </c>
      <c r="H869" s="67">
        <v>658.1</v>
      </c>
      <c r="I869" s="149">
        <f t="shared" si="46"/>
        <v>0.38929101707498148</v>
      </c>
      <c r="J869" s="68" t="s">
        <v>1401</v>
      </c>
      <c r="K869" s="22" t="s">
        <v>35</v>
      </c>
      <c r="L869" s="54">
        <v>1</v>
      </c>
      <c r="M869" s="260">
        <v>1</v>
      </c>
      <c r="N869" s="43"/>
      <c r="O869" s="44"/>
    </row>
    <row r="870" spans="1:16" ht="25.5" x14ac:dyDescent="0.25">
      <c r="A870" s="386"/>
      <c r="B870" s="337"/>
      <c r="C870" s="20" t="s">
        <v>935</v>
      </c>
      <c r="D870" s="21">
        <v>2867.5</v>
      </c>
      <c r="E870" s="21">
        <v>2867.5</v>
      </c>
      <c r="F870" s="21">
        <v>1733.6</v>
      </c>
      <c r="G870" s="21">
        <v>1133.9000000000001</v>
      </c>
      <c r="H870" s="67">
        <v>1133.9000000000001</v>
      </c>
      <c r="I870" s="149">
        <f t="shared" si="46"/>
        <v>0.60456843940714911</v>
      </c>
      <c r="J870" s="68" t="s">
        <v>1402</v>
      </c>
      <c r="K870" s="22" t="s">
        <v>35</v>
      </c>
      <c r="L870" s="54">
        <v>30</v>
      </c>
      <c r="M870" s="260">
        <v>30</v>
      </c>
      <c r="N870" s="43"/>
      <c r="O870" s="44"/>
    </row>
    <row r="871" spans="1:16" ht="63.75" x14ac:dyDescent="0.25">
      <c r="A871" s="386"/>
      <c r="B871" s="337"/>
      <c r="C871" s="20" t="s">
        <v>24</v>
      </c>
      <c r="D871" s="21">
        <v>402.9</v>
      </c>
      <c r="E871" s="21">
        <v>402.9</v>
      </c>
      <c r="F871" s="21">
        <v>338.1</v>
      </c>
      <c r="G871" s="21">
        <v>64.7</v>
      </c>
      <c r="H871" s="67">
        <v>64.7</v>
      </c>
      <c r="I871" s="149">
        <f t="shared" si="46"/>
        <v>0.83916604616530166</v>
      </c>
      <c r="J871" s="68" t="s">
        <v>1403</v>
      </c>
      <c r="K871" s="22" t="s">
        <v>118</v>
      </c>
      <c r="L871" s="54">
        <v>14000</v>
      </c>
      <c r="M871" s="206">
        <v>13845</v>
      </c>
      <c r="N871" s="43"/>
      <c r="O871" s="44" t="s">
        <v>1668</v>
      </c>
    </row>
    <row r="872" spans="1:16" ht="51" x14ac:dyDescent="0.25">
      <c r="A872" s="386"/>
      <c r="B872" s="337"/>
      <c r="C872" s="20" t="s">
        <v>43</v>
      </c>
      <c r="D872" s="21">
        <v>19117.599999999999</v>
      </c>
      <c r="E872" s="21">
        <v>19117.599999999999</v>
      </c>
      <c r="F872" s="21">
        <v>18688.099999999999</v>
      </c>
      <c r="G872" s="21">
        <v>429.5</v>
      </c>
      <c r="H872" s="67">
        <v>429.5</v>
      </c>
      <c r="I872" s="149">
        <f t="shared" si="46"/>
        <v>0.97753379085240821</v>
      </c>
      <c r="J872" s="68" t="s">
        <v>1404</v>
      </c>
      <c r="K872" s="22" t="s">
        <v>35</v>
      </c>
      <c r="L872" s="23">
        <v>2</v>
      </c>
      <c r="M872" s="135">
        <v>2</v>
      </c>
      <c r="N872" s="43"/>
      <c r="O872" s="44"/>
    </row>
    <row r="873" spans="1:16" ht="25.5" customHeight="1" x14ac:dyDescent="0.25">
      <c r="A873" s="386"/>
      <c r="B873" s="337"/>
      <c r="C873" s="20" t="s">
        <v>334</v>
      </c>
      <c r="D873" s="21">
        <v>319.3</v>
      </c>
      <c r="E873" s="21">
        <v>319.3</v>
      </c>
      <c r="F873" s="21">
        <v>317</v>
      </c>
      <c r="G873" s="21">
        <v>2.2999999999999998</v>
      </c>
      <c r="H873" s="67">
        <v>2.2999999999999998</v>
      </c>
      <c r="I873" s="149">
        <f t="shared" si="46"/>
        <v>0.99279674287503916</v>
      </c>
      <c r="J873" s="360" t="s">
        <v>1405</v>
      </c>
      <c r="K873" s="362" t="s">
        <v>35</v>
      </c>
      <c r="L873" s="363">
        <v>1</v>
      </c>
      <c r="M873" s="418">
        <v>1</v>
      </c>
      <c r="N873" s="354"/>
      <c r="O873" s="355"/>
    </row>
    <row r="874" spans="1:16" ht="15.75" thickBot="1" x14ac:dyDescent="0.3">
      <c r="A874" s="387"/>
      <c r="B874" s="338"/>
      <c r="C874" s="20" t="s">
        <v>132</v>
      </c>
      <c r="D874" s="21">
        <v>2506.6</v>
      </c>
      <c r="E874" s="21">
        <v>2506.6</v>
      </c>
      <c r="F874" s="21">
        <v>2293.9</v>
      </c>
      <c r="G874" s="21">
        <v>212.7</v>
      </c>
      <c r="H874" s="21">
        <v>212.7</v>
      </c>
      <c r="I874" s="79">
        <f t="shared" si="46"/>
        <v>0.91514401978776039</v>
      </c>
      <c r="J874" s="361"/>
      <c r="K874" s="341"/>
      <c r="L874" s="344"/>
      <c r="M874" s="347"/>
      <c r="N874" s="332"/>
      <c r="O874" s="335"/>
    </row>
    <row r="875" spans="1:16" ht="26.25" thickBot="1" x14ac:dyDescent="0.3">
      <c r="A875" s="13" t="s">
        <v>1406</v>
      </c>
      <c r="B875" s="37" t="s">
        <v>1407</v>
      </c>
      <c r="C875" s="14"/>
      <c r="D875" s="15">
        <f>SUM(D876:D877)</f>
        <v>65.400000000000006</v>
      </c>
      <c r="E875" s="15">
        <f>SUM(E876:E877)</f>
        <v>65.400000000000006</v>
      </c>
      <c r="F875" s="15">
        <f>SUM(F876:F877)</f>
        <v>65.400000000000006</v>
      </c>
      <c r="G875" s="15"/>
      <c r="H875" s="15"/>
      <c r="I875" s="154">
        <f t="shared" si="46"/>
        <v>1</v>
      </c>
      <c r="J875" s="41" t="s">
        <v>1408</v>
      </c>
      <c r="K875" s="16" t="s">
        <v>35</v>
      </c>
      <c r="L875" s="17">
        <v>30</v>
      </c>
      <c r="M875" s="136">
        <v>30</v>
      </c>
      <c r="N875" s="41"/>
      <c r="O875" s="42"/>
      <c r="P875" s="175"/>
    </row>
    <row r="876" spans="1:16" ht="51.75" thickBot="1" x14ac:dyDescent="0.3">
      <c r="A876" s="13" t="s">
        <v>1409</v>
      </c>
      <c r="B876" s="37" t="s">
        <v>1410</v>
      </c>
      <c r="C876" s="14" t="s">
        <v>1398</v>
      </c>
      <c r="D876" s="24">
        <v>65.400000000000006</v>
      </c>
      <c r="E876" s="24">
        <v>65.400000000000006</v>
      </c>
      <c r="F876" s="24">
        <v>65.400000000000006</v>
      </c>
      <c r="G876" s="24"/>
      <c r="H876" s="24"/>
      <c r="I876" s="154">
        <f t="shared" si="46"/>
        <v>1</v>
      </c>
      <c r="J876" s="41" t="s">
        <v>1411</v>
      </c>
      <c r="K876" s="16" t="s">
        <v>108</v>
      </c>
      <c r="L876" s="17">
        <v>730</v>
      </c>
      <c r="M876" s="143">
        <v>536</v>
      </c>
      <c r="N876" s="41"/>
      <c r="O876" s="42" t="s">
        <v>1669</v>
      </c>
    </row>
    <row r="877" spans="1:16" ht="39" thickBot="1" x14ac:dyDescent="0.3">
      <c r="A877" s="13" t="s">
        <v>1412</v>
      </c>
      <c r="B877" s="37" t="s">
        <v>1413</v>
      </c>
      <c r="C877" s="14" t="s">
        <v>1398</v>
      </c>
      <c r="D877" s="24"/>
      <c r="E877" s="24"/>
      <c r="F877" s="24"/>
      <c r="G877" s="24"/>
      <c r="H877" s="24"/>
      <c r="I877" s="154"/>
      <c r="J877" s="41" t="s">
        <v>1414</v>
      </c>
      <c r="K877" s="16" t="s">
        <v>35</v>
      </c>
      <c r="L877" s="17">
        <v>52</v>
      </c>
      <c r="M877" s="136">
        <v>52</v>
      </c>
      <c r="N877" s="41"/>
      <c r="O877" s="42"/>
    </row>
    <row r="878" spans="1:16" ht="26.25" thickBot="1" x14ac:dyDescent="0.3">
      <c r="A878" s="13" t="s">
        <v>1415</v>
      </c>
      <c r="B878" s="37" t="s">
        <v>1416</v>
      </c>
      <c r="C878" s="14" t="s">
        <v>43</v>
      </c>
      <c r="D878" s="24">
        <v>80</v>
      </c>
      <c r="E878" s="24">
        <v>80</v>
      </c>
      <c r="F878" s="24">
        <v>32.700000000000003</v>
      </c>
      <c r="G878" s="24">
        <v>47.3</v>
      </c>
      <c r="H878" s="24">
        <v>47.3</v>
      </c>
      <c r="I878" s="154">
        <f t="shared" si="46"/>
        <v>0.40875000000000006</v>
      </c>
      <c r="J878" s="41" t="s">
        <v>1417</v>
      </c>
      <c r="K878" s="16" t="s">
        <v>118</v>
      </c>
      <c r="L878" s="17">
        <v>650</v>
      </c>
      <c r="M878" s="143">
        <v>441</v>
      </c>
      <c r="N878" s="41" t="s">
        <v>1418</v>
      </c>
      <c r="O878" s="42" t="s">
        <v>1642</v>
      </c>
      <c r="P878" s="175"/>
    </row>
    <row r="879" spans="1:16" ht="77.25" thickBot="1" x14ac:dyDescent="0.3">
      <c r="A879" s="13" t="s">
        <v>1419</v>
      </c>
      <c r="B879" s="37" t="s">
        <v>1420</v>
      </c>
      <c r="C879" s="14"/>
      <c r="D879" s="15">
        <f>D880+D883+D886+D887</f>
        <v>1389.5</v>
      </c>
      <c r="E879" s="15">
        <f>E880+E883+E886+E887</f>
        <v>1389.5</v>
      </c>
      <c r="F879" s="15">
        <f>F880+F883+F886+F887</f>
        <v>1389.5</v>
      </c>
      <c r="G879" s="15"/>
      <c r="H879" s="15"/>
      <c r="I879" s="154">
        <f t="shared" si="46"/>
        <v>1</v>
      </c>
      <c r="J879" s="41"/>
      <c r="K879" s="16"/>
      <c r="L879" s="48"/>
      <c r="M879" s="17"/>
      <c r="N879" s="41"/>
      <c r="O879" s="42"/>
      <c r="P879" s="181"/>
    </row>
    <row r="880" spans="1:16" ht="25.5" customHeight="1" x14ac:dyDescent="0.25">
      <c r="A880" s="385" t="s">
        <v>1421</v>
      </c>
      <c r="B880" s="336" t="s">
        <v>1422</v>
      </c>
      <c r="C880" s="14"/>
      <c r="D880" s="15">
        <f>SUM(D881:D882)</f>
        <v>889</v>
      </c>
      <c r="E880" s="15">
        <f>SUM(E881:E882)</f>
        <v>889</v>
      </c>
      <c r="F880" s="15">
        <f>SUM(F881:F882)</f>
        <v>889</v>
      </c>
      <c r="G880" s="15"/>
      <c r="H880" s="15"/>
      <c r="I880" s="148">
        <f t="shared" si="46"/>
        <v>1</v>
      </c>
      <c r="J880" s="371" t="s">
        <v>1423</v>
      </c>
      <c r="K880" s="339" t="s">
        <v>108</v>
      </c>
      <c r="L880" s="342">
        <v>1</v>
      </c>
      <c r="M880" s="345">
        <v>1</v>
      </c>
      <c r="N880" s="330"/>
      <c r="O880" s="333"/>
    </row>
    <row r="881" spans="1:16" x14ac:dyDescent="0.25">
      <c r="A881" s="386"/>
      <c r="B881" s="337"/>
      <c r="C881" s="20" t="s">
        <v>43</v>
      </c>
      <c r="D881" s="21">
        <v>1</v>
      </c>
      <c r="E881" s="21">
        <v>1</v>
      </c>
      <c r="F881" s="21">
        <v>1</v>
      </c>
      <c r="G881" s="21"/>
      <c r="H881" s="67"/>
      <c r="I881" s="149">
        <f t="shared" si="46"/>
        <v>1</v>
      </c>
      <c r="J881" s="372"/>
      <c r="K881" s="340"/>
      <c r="L881" s="343"/>
      <c r="M881" s="346"/>
      <c r="N881" s="331"/>
      <c r="O881" s="334"/>
    </row>
    <row r="882" spans="1:16" ht="15.75" thickBot="1" x14ac:dyDescent="0.3">
      <c r="A882" s="387"/>
      <c r="B882" s="338"/>
      <c r="C882" s="20" t="s">
        <v>1398</v>
      </c>
      <c r="D882" s="21">
        <v>888</v>
      </c>
      <c r="E882" s="21">
        <v>888</v>
      </c>
      <c r="F882" s="21">
        <v>888</v>
      </c>
      <c r="G882" s="21"/>
      <c r="H882" s="21"/>
      <c r="I882" s="79">
        <f t="shared" si="46"/>
        <v>1</v>
      </c>
      <c r="J882" s="361"/>
      <c r="K882" s="341"/>
      <c r="L882" s="344"/>
      <c r="M882" s="347"/>
      <c r="N882" s="332"/>
      <c r="O882" s="335"/>
    </row>
    <row r="883" spans="1:16" x14ac:dyDescent="0.25">
      <c r="A883" s="385" t="s">
        <v>1424</v>
      </c>
      <c r="B883" s="336" t="s">
        <v>1425</v>
      </c>
      <c r="C883" s="14"/>
      <c r="D883" s="15">
        <f>SUM(D884:D885)</f>
        <v>328.2</v>
      </c>
      <c r="E883" s="15">
        <f>SUM(E884:E885)</f>
        <v>328.2</v>
      </c>
      <c r="F883" s="15">
        <f>SUM(F884:F885)</f>
        <v>328.2</v>
      </c>
      <c r="G883" s="15"/>
      <c r="H883" s="15"/>
      <c r="I883" s="148">
        <f t="shared" si="46"/>
        <v>1</v>
      </c>
      <c r="J883" s="371" t="s">
        <v>1423</v>
      </c>
      <c r="K883" s="339" t="s">
        <v>108</v>
      </c>
      <c r="L883" s="342">
        <v>1</v>
      </c>
      <c r="M883" s="345">
        <v>1</v>
      </c>
      <c r="N883" s="330"/>
      <c r="O883" s="333"/>
    </row>
    <row r="884" spans="1:16" x14ac:dyDescent="0.25">
      <c r="A884" s="386"/>
      <c r="B884" s="337"/>
      <c r="C884" s="20" t="s">
        <v>1398</v>
      </c>
      <c r="D884" s="21">
        <v>328</v>
      </c>
      <c r="E884" s="21">
        <v>328</v>
      </c>
      <c r="F884" s="21">
        <v>328</v>
      </c>
      <c r="G884" s="21"/>
      <c r="H884" s="67"/>
      <c r="I884" s="149">
        <f t="shared" si="46"/>
        <v>1</v>
      </c>
      <c r="J884" s="372"/>
      <c r="K884" s="340"/>
      <c r="L884" s="343"/>
      <c r="M884" s="346"/>
      <c r="N884" s="331"/>
      <c r="O884" s="334"/>
    </row>
    <row r="885" spans="1:16" ht="15.75" thickBot="1" x14ac:dyDescent="0.3">
      <c r="A885" s="387"/>
      <c r="B885" s="338"/>
      <c r="C885" s="20" t="s">
        <v>43</v>
      </c>
      <c r="D885" s="21">
        <v>0.2</v>
      </c>
      <c r="E885" s="21">
        <v>0.2</v>
      </c>
      <c r="F885" s="21">
        <v>0.2</v>
      </c>
      <c r="G885" s="21"/>
      <c r="H885" s="21"/>
      <c r="I885" s="79">
        <f t="shared" si="46"/>
        <v>1</v>
      </c>
      <c r="J885" s="361"/>
      <c r="K885" s="341"/>
      <c r="L885" s="344"/>
      <c r="M885" s="347"/>
      <c r="N885" s="332"/>
      <c r="O885" s="335"/>
    </row>
    <row r="886" spans="1:16" ht="39" thickBot="1" x14ac:dyDescent="0.3">
      <c r="A886" s="13" t="s">
        <v>1426</v>
      </c>
      <c r="B886" s="41" t="s">
        <v>1427</v>
      </c>
      <c r="C886" s="14" t="s">
        <v>43</v>
      </c>
      <c r="D886" s="24">
        <v>35.6</v>
      </c>
      <c r="E886" s="24">
        <v>35.6</v>
      </c>
      <c r="F886" s="24">
        <v>35.6</v>
      </c>
      <c r="G886" s="24"/>
      <c r="H886" s="24"/>
      <c r="I886" s="154">
        <f t="shared" si="46"/>
        <v>1</v>
      </c>
      <c r="J886" s="41" t="s">
        <v>1428</v>
      </c>
      <c r="K886" s="16" t="s">
        <v>108</v>
      </c>
      <c r="L886" s="17">
        <v>1</v>
      </c>
      <c r="M886" s="136">
        <v>1</v>
      </c>
      <c r="N886" s="41"/>
      <c r="O886" s="42"/>
    </row>
    <row r="887" spans="1:16" x14ac:dyDescent="0.25">
      <c r="A887" s="385" t="s">
        <v>1429</v>
      </c>
      <c r="B887" s="336" t="s">
        <v>1430</v>
      </c>
      <c r="C887" s="14"/>
      <c r="D887" s="15">
        <f>SUM(D888:D889)</f>
        <v>136.69999999999999</v>
      </c>
      <c r="E887" s="15">
        <f>SUM(E888:E889)</f>
        <v>136.69999999999999</v>
      </c>
      <c r="F887" s="15">
        <f>SUM(F888:F889)</f>
        <v>136.69999999999999</v>
      </c>
      <c r="G887" s="15"/>
      <c r="H887" s="15"/>
      <c r="I887" s="148">
        <f t="shared" si="46"/>
        <v>1</v>
      </c>
      <c r="J887" s="371" t="s">
        <v>1431</v>
      </c>
      <c r="K887" s="339" t="s">
        <v>108</v>
      </c>
      <c r="L887" s="342">
        <v>1</v>
      </c>
      <c r="M887" s="345">
        <v>1</v>
      </c>
      <c r="N887" s="330"/>
      <c r="O887" s="333"/>
    </row>
    <row r="888" spans="1:16" x14ac:dyDescent="0.25">
      <c r="A888" s="386"/>
      <c r="B888" s="337"/>
      <c r="C888" s="20" t="s">
        <v>1398</v>
      </c>
      <c r="D888" s="21">
        <v>136.6</v>
      </c>
      <c r="E888" s="21">
        <v>136.6</v>
      </c>
      <c r="F888" s="21">
        <v>136.6</v>
      </c>
      <c r="G888" s="21"/>
      <c r="H888" s="67"/>
      <c r="I888" s="149">
        <f t="shared" si="46"/>
        <v>1</v>
      </c>
      <c r="J888" s="372"/>
      <c r="K888" s="340"/>
      <c r="L888" s="343"/>
      <c r="M888" s="346"/>
      <c r="N888" s="331"/>
      <c r="O888" s="334"/>
    </row>
    <row r="889" spans="1:16" ht="15.75" thickBot="1" x14ac:dyDescent="0.3">
      <c r="A889" s="387"/>
      <c r="B889" s="338"/>
      <c r="C889" s="20" t="s">
        <v>43</v>
      </c>
      <c r="D889" s="21">
        <v>0.1</v>
      </c>
      <c r="E889" s="21">
        <v>0.1</v>
      </c>
      <c r="F889" s="21">
        <v>0.1</v>
      </c>
      <c r="G889" s="21"/>
      <c r="H889" s="21"/>
      <c r="I889" s="79">
        <f t="shared" si="46"/>
        <v>1</v>
      </c>
      <c r="J889" s="361"/>
      <c r="K889" s="341"/>
      <c r="L889" s="344"/>
      <c r="M889" s="347"/>
      <c r="N889" s="332"/>
      <c r="O889" s="335"/>
    </row>
    <row r="890" spans="1:16" ht="25.5" x14ac:dyDescent="0.25">
      <c r="A890" s="385" t="s">
        <v>1432</v>
      </c>
      <c r="B890" s="336" t="s">
        <v>1433</v>
      </c>
      <c r="C890" s="14"/>
      <c r="D890" s="15">
        <f>SUM(D891:D898)</f>
        <v>8779.9000000000015</v>
      </c>
      <c r="E890" s="15">
        <f>SUM(E891:E898)</f>
        <v>8779.9000000000015</v>
      </c>
      <c r="F890" s="15">
        <f>SUM(F891:F898)</f>
        <v>8501.4</v>
      </c>
      <c r="G890" s="15">
        <f>SUM(G891:G898)</f>
        <v>278.5</v>
      </c>
      <c r="H890" s="15">
        <f>SUM(H891:H898)</f>
        <v>278.5</v>
      </c>
      <c r="I890" s="148">
        <f t="shared" si="46"/>
        <v>0.96827982095468035</v>
      </c>
      <c r="J890" s="41" t="s">
        <v>1434</v>
      </c>
      <c r="K890" s="16" t="s">
        <v>35</v>
      </c>
      <c r="L890" s="17">
        <v>8</v>
      </c>
      <c r="M890" s="136">
        <v>8</v>
      </c>
      <c r="N890" s="41"/>
      <c r="O890" s="42"/>
      <c r="P890" s="181"/>
    </row>
    <row r="891" spans="1:16" ht="25.5" x14ac:dyDescent="0.25">
      <c r="A891" s="386"/>
      <c r="B891" s="337"/>
      <c r="C891" s="20" t="s">
        <v>27</v>
      </c>
      <c r="D891" s="21">
        <v>207.7</v>
      </c>
      <c r="E891" s="21">
        <v>207.7</v>
      </c>
      <c r="F891" s="21">
        <v>207.7</v>
      </c>
      <c r="G891" s="21"/>
      <c r="H891" s="67"/>
      <c r="I891" s="149">
        <f t="shared" si="46"/>
        <v>1</v>
      </c>
      <c r="J891" s="68" t="s">
        <v>1435</v>
      </c>
      <c r="K891" s="22" t="s">
        <v>118</v>
      </c>
      <c r="L891" s="54">
        <v>4630</v>
      </c>
      <c r="M891" s="188">
        <v>4815</v>
      </c>
      <c r="N891" s="43"/>
      <c r="O891" s="44"/>
    </row>
    <row r="892" spans="1:16" ht="25.5" x14ac:dyDescent="0.25">
      <c r="A892" s="386"/>
      <c r="B892" s="337"/>
      <c r="C892" s="20" t="s">
        <v>1398</v>
      </c>
      <c r="D892" s="21">
        <v>384.2</v>
      </c>
      <c r="E892" s="21">
        <v>384.2</v>
      </c>
      <c r="F892" s="21">
        <v>384.2</v>
      </c>
      <c r="G892" s="21"/>
      <c r="H892" s="67"/>
      <c r="I892" s="149">
        <f t="shared" si="46"/>
        <v>1</v>
      </c>
      <c r="J892" s="68" t="s">
        <v>1436</v>
      </c>
      <c r="K892" s="22" t="s">
        <v>118</v>
      </c>
      <c r="L892" s="54">
        <v>1110</v>
      </c>
      <c r="M892" s="188">
        <v>1118</v>
      </c>
      <c r="N892" s="43"/>
      <c r="O892" s="44"/>
    </row>
    <row r="893" spans="1:16" ht="27.75" customHeight="1" x14ac:dyDescent="0.25">
      <c r="A893" s="386"/>
      <c r="B893" s="337"/>
      <c r="C893" s="20" t="s">
        <v>185</v>
      </c>
      <c r="D893" s="21">
        <v>148.4</v>
      </c>
      <c r="E893" s="21">
        <v>148.4</v>
      </c>
      <c r="F893" s="21">
        <v>37.5</v>
      </c>
      <c r="G893" s="21">
        <v>110.9</v>
      </c>
      <c r="H893" s="67">
        <v>110.9</v>
      </c>
      <c r="I893" s="149">
        <f t="shared" si="46"/>
        <v>0.2526954177897574</v>
      </c>
      <c r="J893" s="68" t="s">
        <v>1437</v>
      </c>
      <c r="K893" s="22" t="s">
        <v>35</v>
      </c>
      <c r="L893" s="23">
        <v>1</v>
      </c>
      <c r="M893" s="135">
        <v>1</v>
      </c>
      <c r="N893" s="43"/>
      <c r="O893" s="44"/>
    </row>
    <row r="894" spans="1:16" ht="25.5" x14ac:dyDescent="0.25">
      <c r="A894" s="386"/>
      <c r="B894" s="337"/>
      <c r="C894" s="20" t="s">
        <v>24</v>
      </c>
      <c r="D894" s="21">
        <v>152.4</v>
      </c>
      <c r="E894" s="21">
        <v>152.4</v>
      </c>
      <c r="F894" s="21">
        <v>152.4</v>
      </c>
      <c r="G894" s="21"/>
      <c r="H894" s="67"/>
      <c r="I894" s="149">
        <f t="shared" si="46"/>
        <v>1</v>
      </c>
      <c r="J894" s="68" t="s">
        <v>1438</v>
      </c>
      <c r="K894" s="22" t="s">
        <v>35</v>
      </c>
      <c r="L894" s="23">
        <v>12</v>
      </c>
      <c r="M894" s="135">
        <v>12</v>
      </c>
      <c r="N894" s="43"/>
      <c r="O894" s="44"/>
    </row>
    <row r="895" spans="1:16" ht="24" customHeight="1" x14ac:dyDescent="0.25">
      <c r="A895" s="386"/>
      <c r="B895" s="337"/>
      <c r="C895" s="20" t="s">
        <v>132</v>
      </c>
      <c r="D895" s="21">
        <v>517.29999999999995</v>
      </c>
      <c r="E895" s="21">
        <v>517.29999999999995</v>
      </c>
      <c r="F895" s="21">
        <v>475.7</v>
      </c>
      <c r="G895" s="21">
        <v>41.6</v>
      </c>
      <c r="H895" s="21">
        <v>41.6</v>
      </c>
      <c r="I895" s="79">
        <f t="shared" si="46"/>
        <v>0.91958244732263683</v>
      </c>
      <c r="J895" s="365" t="s">
        <v>1439</v>
      </c>
      <c r="K895" s="362" t="s">
        <v>35</v>
      </c>
      <c r="L895" s="363">
        <v>12</v>
      </c>
      <c r="M895" s="418">
        <v>12</v>
      </c>
      <c r="N895" s="354"/>
      <c r="O895" s="355"/>
    </row>
    <row r="896" spans="1:16" x14ac:dyDescent="0.25">
      <c r="A896" s="386"/>
      <c r="B896" s="337"/>
      <c r="C896" s="20" t="s">
        <v>43</v>
      </c>
      <c r="D896" s="21">
        <v>7056.2</v>
      </c>
      <c r="E896" s="21">
        <v>7056.2</v>
      </c>
      <c r="F896" s="21">
        <v>7027.1</v>
      </c>
      <c r="G896" s="21">
        <v>29.1</v>
      </c>
      <c r="H896" s="21">
        <v>29.1</v>
      </c>
      <c r="I896" s="79">
        <f t="shared" si="46"/>
        <v>0.9958759672344889</v>
      </c>
      <c r="J896" s="337"/>
      <c r="K896" s="340"/>
      <c r="L896" s="343"/>
      <c r="M896" s="346"/>
      <c r="N896" s="331"/>
      <c r="O896" s="334"/>
    </row>
    <row r="897" spans="1:16" x14ac:dyDescent="0.25">
      <c r="A897" s="386"/>
      <c r="B897" s="337"/>
      <c r="C897" s="20" t="s">
        <v>935</v>
      </c>
      <c r="D897" s="21">
        <v>296.7</v>
      </c>
      <c r="E897" s="21">
        <v>296.7</v>
      </c>
      <c r="F897" s="21">
        <v>210.4</v>
      </c>
      <c r="G897" s="21">
        <v>86.3</v>
      </c>
      <c r="H897" s="21">
        <v>86.3</v>
      </c>
      <c r="I897" s="79">
        <f t="shared" si="46"/>
        <v>0.70913380519042812</v>
      </c>
      <c r="J897" s="337"/>
      <c r="K897" s="340"/>
      <c r="L897" s="343"/>
      <c r="M897" s="346"/>
      <c r="N897" s="331"/>
      <c r="O897" s="334"/>
    </row>
    <row r="898" spans="1:16" ht="15.75" thickBot="1" x14ac:dyDescent="0.3">
      <c r="A898" s="387"/>
      <c r="B898" s="338"/>
      <c r="C898" s="20" t="s">
        <v>334</v>
      </c>
      <c r="D898" s="21">
        <v>17</v>
      </c>
      <c r="E898" s="21">
        <v>17</v>
      </c>
      <c r="F898" s="21">
        <v>6.4</v>
      </c>
      <c r="G898" s="21">
        <v>10.6</v>
      </c>
      <c r="H898" s="21">
        <v>10.6</v>
      </c>
      <c r="I898" s="80">
        <f t="shared" si="46"/>
        <v>0.37647058823529411</v>
      </c>
      <c r="J898" s="338"/>
      <c r="K898" s="341"/>
      <c r="L898" s="344"/>
      <c r="M898" s="347"/>
      <c r="N898" s="332"/>
      <c r="O898" s="335"/>
    </row>
    <row r="899" spans="1:16" ht="51.75" customHeight="1" x14ac:dyDescent="0.25">
      <c r="A899" s="385" t="s">
        <v>1440</v>
      </c>
      <c r="B899" s="336" t="s">
        <v>1441</v>
      </c>
      <c r="C899" s="14" t="s">
        <v>27</v>
      </c>
      <c r="D899" s="15">
        <f>SUM(D900:D901)+1055.5</f>
        <v>1055.5</v>
      </c>
      <c r="E899" s="15">
        <f>SUM(E900:E901)+1055.5</f>
        <v>1055.5</v>
      </c>
      <c r="F899" s="15">
        <f>SUM(F900:F901)+976.5</f>
        <v>976.5</v>
      </c>
      <c r="G899" s="15">
        <f>SUM(G900:G901)+79</f>
        <v>79</v>
      </c>
      <c r="H899" s="15">
        <f>SUM(H900:H901)+79</f>
        <v>79</v>
      </c>
      <c r="I899" s="79">
        <f t="shared" si="46"/>
        <v>0.92515395547134061</v>
      </c>
      <c r="J899" s="41" t="s">
        <v>1442</v>
      </c>
      <c r="K899" s="16" t="s">
        <v>35</v>
      </c>
      <c r="L899" s="17">
        <v>120</v>
      </c>
      <c r="M899" s="176">
        <v>139</v>
      </c>
      <c r="N899" s="41" t="s">
        <v>1995</v>
      </c>
      <c r="O899" s="42"/>
      <c r="P899" s="284"/>
    </row>
    <row r="900" spans="1:16" ht="25.5" x14ac:dyDescent="0.25">
      <c r="A900" s="386"/>
      <c r="B900" s="337"/>
      <c r="C900" s="20"/>
      <c r="D900" s="21"/>
      <c r="E900" s="21"/>
      <c r="F900" s="21"/>
      <c r="G900" s="21"/>
      <c r="H900" s="21"/>
      <c r="I900" s="79"/>
      <c r="J900" s="43" t="s">
        <v>1443</v>
      </c>
      <c r="K900" s="22" t="s">
        <v>35</v>
      </c>
      <c r="L900" s="23">
        <v>55</v>
      </c>
      <c r="M900" s="134">
        <v>65</v>
      </c>
      <c r="N900" s="43"/>
      <c r="O900" s="44"/>
    </row>
    <row r="901" spans="1:16" ht="51.75" thickBot="1" x14ac:dyDescent="0.3">
      <c r="A901" s="387"/>
      <c r="B901" s="338"/>
      <c r="C901" s="20"/>
      <c r="D901" s="21"/>
      <c r="E901" s="21"/>
      <c r="F901" s="21"/>
      <c r="G901" s="21"/>
      <c r="H901" s="21"/>
      <c r="I901" s="80"/>
      <c r="J901" s="43" t="s">
        <v>1444</v>
      </c>
      <c r="K901" s="22" t="s">
        <v>118</v>
      </c>
      <c r="L901" s="54">
        <v>3500</v>
      </c>
      <c r="M901" s="188">
        <v>4000</v>
      </c>
      <c r="N901" s="43"/>
      <c r="O901" s="44"/>
    </row>
    <row r="902" spans="1:16" ht="39" thickBot="1" x14ac:dyDescent="0.3">
      <c r="A902" s="13" t="s">
        <v>1445</v>
      </c>
      <c r="B902" s="37" t="s">
        <v>1446</v>
      </c>
      <c r="C902" s="14" t="s">
        <v>43</v>
      </c>
      <c r="D902" s="24">
        <v>15</v>
      </c>
      <c r="E902" s="24">
        <v>15</v>
      </c>
      <c r="F902" s="24">
        <v>13.7</v>
      </c>
      <c r="G902" s="24">
        <v>1.3</v>
      </c>
      <c r="H902" s="24">
        <v>1.3</v>
      </c>
      <c r="I902" s="158">
        <f t="shared" si="46"/>
        <v>0.91333333333333333</v>
      </c>
      <c r="J902" s="41" t="s">
        <v>1447</v>
      </c>
      <c r="K902" s="16" t="s">
        <v>118</v>
      </c>
      <c r="L902" s="17">
        <v>70</v>
      </c>
      <c r="M902" s="176">
        <v>141</v>
      </c>
      <c r="N902" s="41"/>
      <c r="O902" s="42"/>
      <c r="P902" s="284"/>
    </row>
    <row r="903" spans="1:16" x14ac:dyDescent="0.25">
      <c r="A903" s="385" t="s">
        <v>1448</v>
      </c>
      <c r="B903" s="336" t="s">
        <v>1449</v>
      </c>
      <c r="C903" s="14"/>
      <c r="D903" s="15">
        <f>SUM(D904:D911)</f>
        <v>33807.399999999994</v>
      </c>
      <c r="E903" s="15">
        <f>SUM(E904:E911)</f>
        <v>33807.399999999994</v>
      </c>
      <c r="F903" s="15">
        <f>SUM(F904:F911)+0.1</f>
        <v>33208.5</v>
      </c>
      <c r="G903" s="15">
        <f>SUM(G904:G911)-0.2</f>
        <v>598.79999999999995</v>
      </c>
      <c r="H903" s="15">
        <f>SUM(H904:H911)-0.2</f>
        <v>598.79999999999995</v>
      </c>
      <c r="I903" s="79">
        <f t="shared" si="46"/>
        <v>0.98228494353307283</v>
      </c>
      <c r="J903" s="41" t="s">
        <v>1450</v>
      </c>
      <c r="K903" s="16" t="s">
        <v>35</v>
      </c>
      <c r="L903" s="17">
        <v>22</v>
      </c>
      <c r="M903" s="136">
        <v>22</v>
      </c>
      <c r="N903" s="41"/>
      <c r="O903" s="42"/>
      <c r="P903" s="181"/>
    </row>
    <row r="904" spans="1:16" ht="25.5" x14ac:dyDescent="0.25">
      <c r="A904" s="386"/>
      <c r="B904" s="337"/>
      <c r="C904" s="20" t="s">
        <v>1398</v>
      </c>
      <c r="D904" s="21">
        <v>13973.4</v>
      </c>
      <c r="E904" s="21">
        <v>13973.4</v>
      </c>
      <c r="F904" s="21">
        <v>13973.4</v>
      </c>
      <c r="G904" s="21">
        <v>0</v>
      </c>
      <c r="H904" s="21">
        <v>0</v>
      </c>
      <c r="I904" s="79">
        <f t="shared" si="46"/>
        <v>1</v>
      </c>
      <c r="J904" s="43" t="s">
        <v>1451</v>
      </c>
      <c r="K904" s="22" t="s">
        <v>118</v>
      </c>
      <c r="L904" s="54">
        <v>3300</v>
      </c>
      <c r="M904" s="188">
        <v>3675</v>
      </c>
      <c r="N904" s="43"/>
      <c r="O904" s="44"/>
    </row>
    <row r="905" spans="1:16" ht="25.5" x14ac:dyDescent="0.25">
      <c r="A905" s="386"/>
      <c r="B905" s="337"/>
      <c r="C905" s="20" t="s">
        <v>27</v>
      </c>
      <c r="D905" s="21">
        <v>921.3</v>
      </c>
      <c r="E905" s="21">
        <v>921.3</v>
      </c>
      <c r="F905" s="21">
        <v>912.3</v>
      </c>
      <c r="G905" s="21">
        <v>9</v>
      </c>
      <c r="H905" s="21">
        <v>9</v>
      </c>
      <c r="I905" s="79">
        <f t="shared" si="46"/>
        <v>0.99023119505047219</v>
      </c>
      <c r="J905" s="43" t="s">
        <v>1452</v>
      </c>
      <c r="K905" s="22" t="s">
        <v>35</v>
      </c>
      <c r="L905" s="23">
        <v>4</v>
      </c>
      <c r="M905" s="135">
        <v>4</v>
      </c>
      <c r="N905" s="43"/>
      <c r="O905" s="44"/>
    </row>
    <row r="906" spans="1:16" ht="16.5" customHeight="1" x14ac:dyDescent="0.25">
      <c r="A906" s="386"/>
      <c r="B906" s="337"/>
      <c r="C906" s="20" t="s">
        <v>132</v>
      </c>
      <c r="D906" s="21">
        <v>2644</v>
      </c>
      <c r="E906" s="21">
        <v>2644</v>
      </c>
      <c r="F906" s="21">
        <v>2452.9</v>
      </c>
      <c r="G906" s="21">
        <v>191.1</v>
      </c>
      <c r="H906" s="21">
        <v>191.1</v>
      </c>
      <c r="I906" s="79">
        <f t="shared" si="46"/>
        <v>0.92772314674735257</v>
      </c>
      <c r="J906" s="365" t="s">
        <v>1453</v>
      </c>
      <c r="K906" s="362" t="s">
        <v>35</v>
      </c>
      <c r="L906" s="363">
        <v>2</v>
      </c>
      <c r="M906" s="418">
        <v>2</v>
      </c>
      <c r="N906" s="354"/>
      <c r="O906" s="355"/>
    </row>
    <row r="907" spans="1:16" x14ac:dyDescent="0.25">
      <c r="A907" s="386"/>
      <c r="B907" s="337"/>
      <c r="C907" s="20" t="s">
        <v>43</v>
      </c>
      <c r="D907" s="21">
        <v>15498.2</v>
      </c>
      <c r="E907" s="21">
        <v>15498.2</v>
      </c>
      <c r="F907" s="21">
        <v>15398.2</v>
      </c>
      <c r="G907" s="21">
        <v>100</v>
      </c>
      <c r="H907" s="21">
        <v>100</v>
      </c>
      <c r="I907" s="79">
        <f t="shared" si="46"/>
        <v>0.99354763779019495</v>
      </c>
      <c r="J907" s="337"/>
      <c r="K907" s="340"/>
      <c r="L907" s="343"/>
      <c r="M907" s="346"/>
      <c r="N907" s="331"/>
      <c r="O907" s="334"/>
    </row>
    <row r="908" spans="1:16" x14ac:dyDescent="0.25">
      <c r="A908" s="386"/>
      <c r="B908" s="337"/>
      <c r="C908" s="20" t="s">
        <v>185</v>
      </c>
      <c r="D908" s="21">
        <v>107.1</v>
      </c>
      <c r="E908" s="21">
        <v>107.1</v>
      </c>
      <c r="F908" s="21">
        <v>19.2</v>
      </c>
      <c r="G908" s="21">
        <v>87.9</v>
      </c>
      <c r="H908" s="21">
        <v>87.9</v>
      </c>
      <c r="I908" s="79">
        <f t="shared" si="46"/>
        <v>0.17927170868347339</v>
      </c>
      <c r="J908" s="337"/>
      <c r="K908" s="340"/>
      <c r="L908" s="343"/>
      <c r="M908" s="346"/>
      <c r="N908" s="331"/>
      <c r="O908" s="334"/>
    </row>
    <row r="909" spans="1:16" x14ac:dyDescent="0.25">
      <c r="A909" s="386"/>
      <c r="B909" s="337"/>
      <c r="C909" s="20" t="s">
        <v>334</v>
      </c>
      <c r="D909" s="21">
        <v>295.39999999999998</v>
      </c>
      <c r="E909" s="21">
        <v>295.39999999999998</v>
      </c>
      <c r="F909" s="21">
        <v>187</v>
      </c>
      <c r="G909" s="21">
        <v>108.4</v>
      </c>
      <c r="H909" s="21">
        <v>108.4</v>
      </c>
      <c r="I909" s="79">
        <f t="shared" si="46"/>
        <v>0.63303994583615442</v>
      </c>
      <c r="J909" s="337"/>
      <c r="K909" s="340"/>
      <c r="L909" s="343"/>
      <c r="M909" s="346"/>
      <c r="N909" s="331"/>
      <c r="O909" s="334"/>
    </row>
    <row r="910" spans="1:16" x14ac:dyDescent="0.25">
      <c r="A910" s="386"/>
      <c r="B910" s="337"/>
      <c r="C910" s="20" t="s">
        <v>24</v>
      </c>
      <c r="D910" s="21">
        <v>140.80000000000001</v>
      </c>
      <c r="E910" s="21">
        <v>140.80000000000001</v>
      </c>
      <c r="F910" s="21">
        <v>140.80000000000001</v>
      </c>
      <c r="G910" s="21"/>
      <c r="H910" s="21"/>
      <c r="I910" s="79">
        <f t="shared" si="46"/>
        <v>1</v>
      </c>
      <c r="J910" s="337"/>
      <c r="K910" s="340"/>
      <c r="L910" s="343"/>
      <c r="M910" s="346"/>
      <c r="N910" s="331"/>
      <c r="O910" s="334"/>
    </row>
    <row r="911" spans="1:16" ht="15.75" thickBot="1" x14ac:dyDescent="0.3">
      <c r="A911" s="387"/>
      <c r="B911" s="338"/>
      <c r="C911" s="20" t="s">
        <v>935</v>
      </c>
      <c r="D911" s="21">
        <v>227.2</v>
      </c>
      <c r="E911" s="21">
        <v>227.2</v>
      </c>
      <c r="F911" s="21">
        <v>124.6</v>
      </c>
      <c r="G911" s="21">
        <v>102.6</v>
      </c>
      <c r="H911" s="21">
        <v>102.6</v>
      </c>
      <c r="I911" s="80">
        <f t="shared" si="46"/>
        <v>0.5484154929577465</v>
      </c>
      <c r="J911" s="338"/>
      <c r="K911" s="341"/>
      <c r="L911" s="344"/>
      <c r="M911" s="347"/>
      <c r="N911" s="332"/>
      <c r="O911" s="335"/>
    </row>
    <row r="912" spans="1:16" ht="26.25" thickBot="1" x14ac:dyDescent="0.3">
      <c r="A912" s="13" t="s">
        <v>1454</v>
      </c>
      <c r="B912" s="37" t="s">
        <v>1455</v>
      </c>
      <c r="C912" s="14" t="s">
        <v>43</v>
      </c>
      <c r="D912" s="24">
        <v>340</v>
      </c>
      <c r="E912" s="24">
        <v>340</v>
      </c>
      <c r="F912" s="24">
        <v>340</v>
      </c>
      <c r="G912" s="24"/>
      <c r="H912" s="24"/>
      <c r="I912" s="158">
        <f t="shared" si="46"/>
        <v>1</v>
      </c>
      <c r="J912" s="41" t="s">
        <v>1456</v>
      </c>
      <c r="K912" s="16" t="s">
        <v>118</v>
      </c>
      <c r="L912" s="53">
        <v>1150</v>
      </c>
      <c r="M912" s="183">
        <v>1325</v>
      </c>
      <c r="N912" s="41"/>
      <c r="O912" s="42"/>
      <c r="P912" s="284"/>
    </row>
    <row r="913" spans="1:19" ht="51.75" thickBot="1" x14ac:dyDescent="0.3">
      <c r="A913" s="13" t="s">
        <v>1457</v>
      </c>
      <c r="B913" s="37" t="s">
        <v>1458</v>
      </c>
      <c r="C913" s="14" t="s">
        <v>43</v>
      </c>
      <c r="D913" s="24">
        <v>187.2</v>
      </c>
      <c r="E913" s="24">
        <v>187.2</v>
      </c>
      <c r="F913" s="24">
        <v>150.6</v>
      </c>
      <c r="G913" s="24">
        <v>36.6</v>
      </c>
      <c r="H913" s="24">
        <v>36.6</v>
      </c>
      <c r="I913" s="158">
        <f t="shared" si="46"/>
        <v>0.80448717948717952</v>
      </c>
      <c r="J913" s="41" t="s">
        <v>1459</v>
      </c>
      <c r="K913" s="16" t="s">
        <v>118</v>
      </c>
      <c r="L913" s="17">
        <v>360</v>
      </c>
      <c r="M913" s="143">
        <v>287</v>
      </c>
      <c r="N913" s="41"/>
      <c r="O913" s="42" t="s">
        <v>1643</v>
      </c>
      <c r="P913" s="175"/>
    </row>
    <row r="914" spans="1:19" ht="39" thickBot="1" x14ac:dyDescent="0.3">
      <c r="A914" s="13" t="s">
        <v>1460</v>
      </c>
      <c r="B914" s="37" t="s">
        <v>1461</v>
      </c>
      <c r="C914" s="14"/>
      <c r="D914" s="15">
        <f>SUM(D915:D919)</f>
        <v>1117.3</v>
      </c>
      <c r="E914" s="15">
        <f>SUM(E915:E919)</f>
        <v>1117.3</v>
      </c>
      <c r="F914" s="15">
        <f>SUM(F915:F919)</f>
        <v>1116.8</v>
      </c>
      <c r="G914" s="15">
        <f>SUM(G915:G919)</f>
        <v>0.5</v>
      </c>
      <c r="H914" s="15">
        <f>SUM(H915:H919)</f>
        <v>0.5</v>
      </c>
      <c r="I914" s="158">
        <f t="shared" si="46"/>
        <v>0.99955249261612822</v>
      </c>
      <c r="J914" s="41"/>
      <c r="K914" s="16"/>
      <c r="L914" s="48"/>
      <c r="M914" s="17"/>
      <c r="N914" s="41"/>
      <c r="O914" s="42"/>
      <c r="P914" s="181"/>
    </row>
    <row r="915" spans="1:19" ht="15.75" thickBot="1" x14ac:dyDescent="0.3">
      <c r="A915" s="13" t="s">
        <v>1462</v>
      </c>
      <c r="B915" s="37" t="s">
        <v>1463</v>
      </c>
      <c r="C915" s="14" t="s">
        <v>1398</v>
      </c>
      <c r="D915" s="24">
        <v>296</v>
      </c>
      <c r="E915" s="24">
        <v>296</v>
      </c>
      <c r="F915" s="24">
        <v>296</v>
      </c>
      <c r="G915" s="24"/>
      <c r="H915" s="24"/>
      <c r="I915" s="158">
        <f t="shared" si="46"/>
        <v>1</v>
      </c>
      <c r="J915" s="41" t="s">
        <v>1423</v>
      </c>
      <c r="K915" s="16" t="s">
        <v>108</v>
      </c>
      <c r="L915" s="17">
        <v>1</v>
      </c>
      <c r="M915" s="136">
        <v>1</v>
      </c>
      <c r="N915" s="41"/>
      <c r="O915" s="42"/>
    </row>
    <row r="916" spans="1:19" ht="15.75" thickBot="1" x14ac:dyDescent="0.3">
      <c r="A916" s="13" t="s">
        <v>1464</v>
      </c>
      <c r="B916" s="37" t="s">
        <v>1465</v>
      </c>
      <c r="C916" s="14" t="s">
        <v>1398</v>
      </c>
      <c r="D916" s="24">
        <v>377.9</v>
      </c>
      <c r="E916" s="24">
        <v>377.9</v>
      </c>
      <c r="F916" s="24">
        <v>377.4</v>
      </c>
      <c r="G916" s="24">
        <v>0.5</v>
      </c>
      <c r="H916" s="24">
        <v>0.5</v>
      </c>
      <c r="I916" s="158">
        <f t="shared" si="46"/>
        <v>0.99867689865043663</v>
      </c>
      <c r="J916" s="41" t="s">
        <v>1423</v>
      </c>
      <c r="K916" s="16" t="s">
        <v>108</v>
      </c>
      <c r="L916" s="17">
        <v>1</v>
      </c>
      <c r="M916" s="136">
        <v>1</v>
      </c>
      <c r="N916" s="41"/>
      <c r="O916" s="42"/>
    </row>
    <row r="917" spans="1:19" ht="15.75" thickBot="1" x14ac:dyDescent="0.3">
      <c r="A917" s="13" t="s">
        <v>1466</v>
      </c>
      <c r="B917" s="37" t="s">
        <v>1467</v>
      </c>
      <c r="C917" s="14" t="s">
        <v>1398</v>
      </c>
      <c r="D917" s="24">
        <v>276.8</v>
      </c>
      <c r="E917" s="24">
        <v>276.8</v>
      </c>
      <c r="F917" s="24">
        <v>276.8</v>
      </c>
      <c r="G917" s="24"/>
      <c r="H917" s="24"/>
      <c r="I917" s="158">
        <f t="shared" si="46"/>
        <v>1</v>
      </c>
      <c r="J917" s="41" t="s">
        <v>1423</v>
      </c>
      <c r="K917" s="16" t="s">
        <v>108</v>
      </c>
      <c r="L917" s="17">
        <v>1</v>
      </c>
      <c r="M917" s="136">
        <v>1</v>
      </c>
      <c r="N917" s="41"/>
      <c r="O917" s="42"/>
    </row>
    <row r="918" spans="1:19" ht="26.25" thickBot="1" x14ac:dyDescent="0.3">
      <c r="A918" s="13" t="s">
        <v>1468</v>
      </c>
      <c r="B918" s="37" t="s">
        <v>1469</v>
      </c>
      <c r="C918" s="14" t="s">
        <v>1398</v>
      </c>
      <c r="D918" s="24">
        <v>71</v>
      </c>
      <c r="E918" s="24">
        <v>71</v>
      </c>
      <c r="F918" s="24">
        <v>71</v>
      </c>
      <c r="G918" s="24"/>
      <c r="H918" s="24"/>
      <c r="I918" s="158">
        <f t="shared" si="46"/>
        <v>1</v>
      </c>
      <c r="J918" s="41" t="s">
        <v>1423</v>
      </c>
      <c r="K918" s="16" t="s">
        <v>108</v>
      </c>
      <c r="L918" s="17">
        <v>1</v>
      </c>
      <c r="M918" s="136">
        <v>1</v>
      </c>
      <c r="N918" s="41"/>
      <c r="O918" s="42"/>
    </row>
    <row r="919" spans="1:19" ht="15.75" thickBot="1" x14ac:dyDescent="0.3">
      <c r="A919" s="13" t="s">
        <v>1470</v>
      </c>
      <c r="B919" s="37" t="s">
        <v>1471</v>
      </c>
      <c r="C919" s="14" t="s">
        <v>1398</v>
      </c>
      <c r="D919" s="24">
        <v>95.6</v>
      </c>
      <c r="E919" s="24">
        <v>95.6</v>
      </c>
      <c r="F919" s="24">
        <v>95.6</v>
      </c>
      <c r="G919" s="24"/>
      <c r="H919" s="24"/>
      <c r="I919" s="158">
        <f t="shared" si="46"/>
        <v>1</v>
      </c>
      <c r="J919" s="41" t="s">
        <v>1423</v>
      </c>
      <c r="K919" s="16" t="s">
        <v>108</v>
      </c>
      <c r="L919" s="17">
        <v>1</v>
      </c>
      <c r="M919" s="136">
        <v>1</v>
      </c>
      <c r="N919" s="41"/>
      <c r="O919" s="42"/>
    </row>
    <row r="920" spans="1:19" ht="27" customHeight="1" x14ac:dyDescent="0.25">
      <c r="A920" s="385" t="s">
        <v>1472</v>
      </c>
      <c r="B920" s="336" t="s">
        <v>1473</v>
      </c>
      <c r="C920" s="14" t="s">
        <v>27</v>
      </c>
      <c r="D920" s="15">
        <f>SUM(D921:D921)+397.7</f>
        <v>397.7</v>
      </c>
      <c r="E920" s="15">
        <f>SUM(E921:E921)+397.7</f>
        <v>397.7</v>
      </c>
      <c r="F920" s="15">
        <f>SUM(F921:F921)+397.7</f>
        <v>397.7</v>
      </c>
      <c r="G920" s="15"/>
      <c r="H920" s="15"/>
      <c r="I920" s="79">
        <f t="shared" si="46"/>
        <v>1</v>
      </c>
      <c r="J920" s="41" t="s">
        <v>1474</v>
      </c>
      <c r="K920" s="16" t="s">
        <v>35</v>
      </c>
      <c r="L920" s="17">
        <v>30</v>
      </c>
      <c r="M920" s="136">
        <v>30</v>
      </c>
      <c r="N920" s="41"/>
      <c r="O920" s="42"/>
      <c r="P920" s="181"/>
    </row>
    <row r="921" spans="1:19" ht="26.25" thickBot="1" x14ac:dyDescent="0.3">
      <c r="A921" s="387"/>
      <c r="B921" s="338"/>
      <c r="C921" s="20"/>
      <c r="D921" s="21"/>
      <c r="E921" s="21"/>
      <c r="F921" s="21"/>
      <c r="G921" s="21"/>
      <c r="H921" s="21"/>
      <c r="I921" s="80"/>
      <c r="J921" s="43" t="s">
        <v>1475</v>
      </c>
      <c r="K921" s="22" t="s">
        <v>35</v>
      </c>
      <c r="L921" s="23">
        <v>27</v>
      </c>
      <c r="M921" s="262">
        <v>27.27</v>
      </c>
      <c r="N921" s="43"/>
      <c r="O921" s="44"/>
    </row>
    <row r="922" spans="1:19" ht="29.25" customHeight="1" x14ac:dyDescent="0.25">
      <c r="A922" s="385" t="s">
        <v>1476</v>
      </c>
      <c r="B922" s="336" t="s">
        <v>1477</v>
      </c>
      <c r="C922" s="14"/>
      <c r="D922" s="15">
        <f>SUM(D923:D924)</f>
        <v>185</v>
      </c>
      <c r="E922" s="15">
        <f>SUM(E923:E924)</f>
        <v>185</v>
      </c>
      <c r="F922" s="15">
        <f>SUM(F923:F924)</f>
        <v>185</v>
      </c>
      <c r="G922" s="15"/>
      <c r="H922" s="15"/>
      <c r="I922" s="79">
        <f t="shared" si="46"/>
        <v>1</v>
      </c>
      <c r="J922" s="41" t="s">
        <v>1478</v>
      </c>
      <c r="K922" s="16" t="s">
        <v>35</v>
      </c>
      <c r="L922" s="17">
        <v>30</v>
      </c>
      <c r="M922" s="136">
        <v>30</v>
      </c>
      <c r="N922" s="41"/>
      <c r="O922" s="42"/>
      <c r="P922" s="181"/>
    </row>
    <row r="923" spans="1:19" ht="38.25" customHeight="1" x14ac:dyDescent="0.25">
      <c r="A923" s="386"/>
      <c r="B923" s="337"/>
      <c r="C923" s="20" t="s">
        <v>24</v>
      </c>
      <c r="D923" s="21">
        <v>45</v>
      </c>
      <c r="E923" s="21">
        <v>45</v>
      </c>
      <c r="F923" s="21">
        <v>45</v>
      </c>
      <c r="G923" s="21"/>
      <c r="H923" s="21"/>
      <c r="I923" s="79">
        <f t="shared" si="46"/>
        <v>1</v>
      </c>
      <c r="J923" s="365" t="s">
        <v>1479</v>
      </c>
      <c r="K923" s="362" t="s">
        <v>108</v>
      </c>
      <c r="L923" s="363">
        <v>28</v>
      </c>
      <c r="M923" s="418">
        <v>28</v>
      </c>
      <c r="N923" s="354"/>
      <c r="O923" s="355"/>
    </row>
    <row r="924" spans="1:19" ht="15.75" thickBot="1" x14ac:dyDescent="0.3">
      <c r="A924" s="387"/>
      <c r="B924" s="338"/>
      <c r="C924" s="20" t="s">
        <v>43</v>
      </c>
      <c r="D924" s="21">
        <v>140</v>
      </c>
      <c r="E924" s="21">
        <v>140</v>
      </c>
      <c r="F924" s="21">
        <v>140</v>
      </c>
      <c r="G924" s="21"/>
      <c r="H924" s="21"/>
      <c r="I924" s="80">
        <f t="shared" si="46"/>
        <v>1</v>
      </c>
      <c r="J924" s="338"/>
      <c r="K924" s="341"/>
      <c r="L924" s="344"/>
      <c r="M924" s="347"/>
      <c r="N924" s="332"/>
      <c r="O924" s="335"/>
    </row>
    <row r="925" spans="1:19" ht="19.5" customHeight="1" x14ac:dyDescent="0.25">
      <c r="A925" s="385" t="s">
        <v>1480</v>
      </c>
      <c r="B925" s="336" t="s">
        <v>1481</v>
      </c>
      <c r="C925" s="14"/>
      <c r="D925" s="15">
        <f>SUM(D926:D927)</f>
        <v>56.5</v>
      </c>
      <c r="E925" s="15">
        <f>SUM(E926:E927)</f>
        <v>56.5</v>
      </c>
      <c r="F925" s="15">
        <f>SUM(F926:F927)</f>
        <v>38.799999999999997</v>
      </c>
      <c r="G925" s="15">
        <f>SUM(G926:G927)</f>
        <v>17.7</v>
      </c>
      <c r="H925" s="15">
        <f>SUM(H926:H927)</f>
        <v>17.7</v>
      </c>
      <c r="I925" s="79">
        <f t="shared" si="46"/>
        <v>0.68672566371681409</v>
      </c>
      <c r="J925" s="336" t="s">
        <v>1482</v>
      </c>
      <c r="K925" s="339" t="s">
        <v>23</v>
      </c>
      <c r="L925" s="342">
        <v>33</v>
      </c>
      <c r="M925" s="521">
        <v>13</v>
      </c>
      <c r="N925" s="336" t="s">
        <v>1996</v>
      </c>
      <c r="O925" s="351" t="s">
        <v>1997</v>
      </c>
      <c r="P925" s="290"/>
    </row>
    <row r="926" spans="1:19" x14ac:dyDescent="0.25">
      <c r="A926" s="386"/>
      <c r="B926" s="337"/>
      <c r="C926" s="20" t="s">
        <v>27</v>
      </c>
      <c r="D926" s="21">
        <v>20</v>
      </c>
      <c r="E926" s="21">
        <v>20</v>
      </c>
      <c r="F926" s="21">
        <v>20</v>
      </c>
      <c r="G926" s="21"/>
      <c r="H926" s="21"/>
      <c r="I926" s="79">
        <f t="shared" si="46"/>
        <v>1</v>
      </c>
      <c r="J926" s="337"/>
      <c r="K926" s="340"/>
      <c r="L926" s="343"/>
      <c r="M926" s="522"/>
      <c r="N926" s="337"/>
      <c r="O926" s="352"/>
    </row>
    <row r="927" spans="1:19" ht="15.75" thickBot="1" x14ac:dyDescent="0.3">
      <c r="A927" s="387"/>
      <c r="B927" s="338"/>
      <c r="C927" s="20" t="s">
        <v>29</v>
      </c>
      <c r="D927" s="21">
        <v>36.5</v>
      </c>
      <c r="E927" s="21">
        <v>36.5</v>
      </c>
      <c r="F927" s="21">
        <v>18.8</v>
      </c>
      <c r="G927" s="21">
        <v>17.7</v>
      </c>
      <c r="H927" s="21">
        <v>17.7</v>
      </c>
      <c r="I927" s="79">
        <f t="shared" si="46"/>
        <v>0.51506849315068493</v>
      </c>
      <c r="J927" s="338"/>
      <c r="K927" s="341"/>
      <c r="L927" s="344"/>
      <c r="M927" s="523"/>
      <c r="N927" s="338"/>
      <c r="O927" s="353"/>
    </row>
    <row r="928" spans="1:19" ht="16.5" thickBot="1" x14ac:dyDescent="0.3">
      <c r="A928" s="118" t="s">
        <v>1483</v>
      </c>
      <c r="B928" s="119" t="s">
        <v>1484</v>
      </c>
      <c r="C928" s="120"/>
      <c r="D928" s="121">
        <f>D929+D965</f>
        <v>7475.1</v>
      </c>
      <c r="E928" s="121">
        <f>E929+E965</f>
        <v>7475.1</v>
      </c>
      <c r="F928" s="121">
        <f>F929+F965-0.1</f>
        <v>4740.3999999999996</v>
      </c>
      <c r="G928" s="121">
        <f>G929+G965</f>
        <v>2734.6</v>
      </c>
      <c r="H928" s="121">
        <f>H929+H965</f>
        <v>2734.6</v>
      </c>
      <c r="I928" s="172">
        <f>SUM(F928/E928)</f>
        <v>0.6341587403512996</v>
      </c>
      <c r="J928" s="428"/>
      <c r="K928" s="429"/>
      <c r="L928" s="429"/>
      <c r="M928" s="429"/>
      <c r="N928" s="429"/>
      <c r="O928" s="430"/>
      <c r="Q928" s="312"/>
      <c r="R928" s="313" t="s">
        <v>1</v>
      </c>
      <c r="S928" s="314" t="s">
        <v>2109</v>
      </c>
    </row>
    <row r="929" spans="1:19" ht="167.25" customHeight="1" x14ac:dyDescent="0.25">
      <c r="A929" s="431" t="s">
        <v>1485</v>
      </c>
      <c r="B929" s="433" t="s">
        <v>1486</v>
      </c>
      <c r="C929" s="435"/>
      <c r="D929" s="426">
        <f>D930+D931+D932+D939+D945+D951+D952+D953+D955+D963+0.1</f>
        <v>2647.1000000000004</v>
      </c>
      <c r="E929" s="426">
        <f>E930+E931+E932+E939+E945+E951+E952+E953+E955+E963+0.1</f>
        <v>2647.1000000000004</v>
      </c>
      <c r="F929" s="426">
        <f>F930+F931+F932+F939+F945+F951+F952+F953+F955+F963+0.1</f>
        <v>2350.5</v>
      </c>
      <c r="G929" s="426">
        <f>G930+G931+G932+G939+G945+G951+G952+G953+G955+G963</f>
        <v>296.60000000000002</v>
      </c>
      <c r="H929" s="426">
        <f>H930+H931+H932+H939+H945+H951+H952+H953+H955+H963</f>
        <v>296.60000000000002</v>
      </c>
      <c r="I929" s="437">
        <f>SUM(F929/E929)</f>
        <v>0.88795285406671443</v>
      </c>
      <c r="J929" s="102" t="s">
        <v>1487</v>
      </c>
      <c r="K929" s="103" t="s">
        <v>35</v>
      </c>
      <c r="L929" s="104">
        <v>2.2000000000000002</v>
      </c>
      <c r="M929" s="105">
        <v>1.7</v>
      </c>
      <c r="N929" s="128"/>
      <c r="O929" s="129" t="s">
        <v>1998</v>
      </c>
      <c r="Q929" s="315"/>
      <c r="R929" s="316" t="s">
        <v>2096</v>
      </c>
      <c r="S929" s="317">
        <v>2</v>
      </c>
    </row>
    <row r="930" spans="1:19" ht="39" customHeight="1" x14ac:dyDescent="0.25">
      <c r="A930" s="442"/>
      <c r="B930" s="405"/>
      <c r="C930" s="408"/>
      <c r="D930" s="396"/>
      <c r="E930" s="396"/>
      <c r="F930" s="396"/>
      <c r="G930" s="396"/>
      <c r="H930" s="396"/>
      <c r="I930" s="399"/>
      <c r="J930" s="55" t="s">
        <v>1488</v>
      </c>
      <c r="K930" s="56" t="s">
        <v>23</v>
      </c>
      <c r="L930" s="57">
        <v>80.2</v>
      </c>
      <c r="M930" s="83">
        <v>83.4</v>
      </c>
      <c r="N930" s="91" t="s">
        <v>1670</v>
      </c>
      <c r="O930" s="263"/>
      <c r="Q930" s="318"/>
      <c r="R930" s="316" t="s">
        <v>2097</v>
      </c>
      <c r="S930" s="317">
        <v>1</v>
      </c>
    </row>
    <row r="931" spans="1:19" ht="64.5" thickBot="1" x14ac:dyDescent="0.3">
      <c r="A931" s="432"/>
      <c r="B931" s="434"/>
      <c r="C931" s="436"/>
      <c r="D931" s="427"/>
      <c r="E931" s="427"/>
      <c r="F931" s="427"/>
      <c r="G931" s="427"/>
      <c r="H931" s="427"/>
      <c r="I931" s="438"/>
      <c r="J931" s="108" t="s">
        <v>1489</v>
      </c>
      <c r="K931" s="109" t="s">
        <v>118</v>
      </c>
      <c r="L931" s="110">
        <v>14.5</v>
      </c>
      <c r="M931" s="111">
        <v>16.2</v>
      </c>
      <c r="N931" s="87" t="s">
        <v>1671</v>
      </c>
      <c r="O931" s="264"/>
      <c r="Q931" s="319"/>
      <c r="R931" s="316" t="s">
        <v>2098</v>
      </c>
      <c r="S931" s="320">
        <v>5</v>
      </c>
    </row>
    <row r="932" spans="1:19" ht="28.5" customHeight="1" x14ac:dyDescent="0.25">
      <c r="A932" s="386" t="s">
        <v>1490</v>
      </c>
      <c r="B932" s="337" t="s">
        <v>1491</v>
      </c>
      <c r="C932" s="98"/>
      <c r="D932" s="99">
        <f>SUM(D933:D938)</f>
        <v>247.69999999999996</v>
      </c>
      <c r="E932" s="99">
        <f>SUM(E933:E938)</f>
        <v>247.69999999999996</v>
      </c>
      <c r="F932" s="99">
        <f>SUM(F933:F938)+0.1</f>
        <v>230.00000000000003</v>
      </c>
      <c r="G932" s="99">
        <f>SUM(G933:G938)-0.1</f>
        <v>17.7</v>
      </c>
      <c r="H932" s="99">
        <f>SUM(H933:H938)-0.1</f>
        <v>17.7</v>
      </c>
      <c r="I932" s="152">
        <f>SUM(F932/E932)</f>
        <v>0.92854259184497401</v>
      </c>
      <c r="J932" s="337" t="s">
        <v>1492</v>
      </c>
      <c r="K932" s="340" t="s">
        <v>118</v>
      </c>
      <c r="L932" s="343">
        <v>150</v>
      </c>
      <c r="M932" s="349">
        <v>281</v>
      </c>
      <c r="N932" s="337" t="s">
        <v>1493</v>
      </c>
      <c r="O932" s="352" t="s">
        <v>1644</v>
      </c>
      <c r="P932" s="284"/>
      <c r="Q932" s="321"/>
      <c r="R932" s="316" t="s">
        <v>2099</v>
      </c>
      <c r="S932" s="320">
        <v>6</v>
      </c>
    </row>
    <row r="933" spans="1:19" ht="31.5" x14ac:dyDescent="0.25">
      <c r="A933" s="386"/>
      <c r="B933" s="337"/>
      <c r="C933" s="20" t="s">
        <v>185</v>
      </c>
      <c r="D933" s="21">
        <v>6.3</v>
      </c>
      <c r="E933" s="21">
        <v>6.3</v>
      </c>
      <c r="F933" s="21">
        <v>1.6</v>
      </c>
      <c r="G933" s="21">
        <v>4.7</v>
      </c>
      <c r="H933" s="67">
        <v>4.7</v>
      </c>
      <c r="I933" s="149">
        <f t="shared" ref="I933:I941" si="47">SUM(F933/E933)</f>
        <v>0.25396825396825401</v>
      </c>
      <c r="J933" s="372"/>
      <c r="K933" s="340"/>
      <c r="L933" s="343"/>
      <c r="M933" s="349"/>
      <c r="N933" s="337"/>
      <c r="O933" s="352"/>
      <c r="Q933" s="322"/>
      <c r="R933" s="316" t="s">
        <v>2100</v>
      </c>
      <c r="S933" s="320">
        <v>1</v>
      </c>
    </row>
    <row r="934" spans="1:19" ht="15.75" x14ac:dyDescent="0.25">
      <c r="A934" s="386"/>
      <c r="B934" s="337"/>
      <c r="C934" s="20" t="s">
        <v>24</v>
      </c>
      <c r="D934" s="21">
        <v>1.9</v>
      </c>
      <c r="E934" s="21">
        <v>1.9</v>
      </c>
      <c r="F934" s="21">
        <v>1.9</v>
      </c>
      <c r="G934" s="21"/>
      <c r="H934" s="67"/>
      <c r="I934" s="149">
        <f t="shared" si="47"/>
        <v>1</v>
      </c>
      <c r="J934" s="372"/>
      <c r="K934" s="340"/>
      <c r="L934" s="343"/>
      <c r="M934" s="349"/>
      <c r="N934" s="337"/>
      <c r="O934" s="352"/>
      <c r="Q934" s="312"/>
      <c r="R934" s="323" t="s">
        <v>2101</v>
      </c>
      <c r="S934" s="320">
        <f>+SUM(S929:S933)</f>
        <v>15</v>
      </c>
    </row>
    <row r="935" spans="1:19" x14ac:dyDescent="0.25">
      <c r="A935" s="386"/>
      <c r="B935" s="337"/>
      <c r="C935" s="20" t="s">
        <v>43</v>
      </c>
      <c r="D935" s="21">
        <v>162.19999999999999</v>
      </c>
      <c r="E935" s="21">
        <v>162.19999999999999</v>
      </c>
      <c r="F935" s="21">
        <v>157.30000000000001</v>
      </c>
      <c r="G935" s="21">
        <v>4.9000000000000004</v>
      </c>
      <c r="H935" s="67">
        <v>4.9000000000000004</v>
      </c>
      <c r="I935" s="149">
        <f t="shared" si="47"/>
        <v>0.96979038224414316</v>
      </c>
      <c r="J935" s="372"/>
      <c r="K935" s="340"/>
      <c r="L935" s="343"/>
      <c r="M935" s="349"/>
      <c r="N935" s="337"/>
      <c r="O935" s="352"/>
    </row>
    <row r="936" spans="1:19" x14ac:dyDescent="0.25">
      <c r="A936" s="386"/>
      <c r="B936" s="337"/>
      <c r="C936" s="20" t="s">
        <v>334</v>
      </c>
      <c r="D936" s="21">
        <v>37</v>
      </c>
      <c r="E936" s="21">
        <v>37</v>
      </c>
      <c r="F936" s="21">
        <v>34.299999999999997</v>
      </c>
      <c r="G936" s="21">
        <v>2.7</v>
      </c>
      <c r="H936" s="67">
        <v>2.7</v>
      </c>
      <c r="I936" s="149">
        <f t="shared" si="47"/>
        <v>0.927027027027027</v>
      </c>
      <c r="J936" s="372"/>
      <c r="K936" s="340"/>
      <c r="L936" s="343"/>
      <c r="M936" s="349"/>
      <c r="N936" s="337"/>
      <c r="O936" s="352"/>
    </row>
    <row r="937" spans="1:19" x14ac:dyDescent="0.25">
      <c r="A937" s="386"/>
      <c r="B937" s="337"/>
      <c r="C937" s="20" t="s">
        <v>132</v>
      </c>
      <c r="D937" s="21">
        <v>5.2</v>
      </c>
      <c r="E937" s="21">
        <v>5.2</v>
      </c>
      <c r="F937" s="21">
        <v>5</v>
      </c>
      <c r="G937" s="21">
        <v>0.2</v>
      </c>
      <c r="H937" s="67">
        <v>0.2</v>
      </c>
      <c r="I937" s="149">
        <f t="shared" si="47"/>
        <v>0.96153846153846145</v>
      </c>
      <c r="J937" s="372"/>
      <c r="K937" s="340"/>
      <c r="L937" s="343"/>
      <c r="M937" s="349"/>
      <c r="N937" s="337"/>
      <c r="O937" s="352"/>
    </row>
    <row r="938" spans="1:19" ht="15.75" thickBot="1" x14ac:dyDescent="0.3">
      <c r="A938" s="387"/>
      <c r="B938" s="338"/>
      <c r="C938" s="20" t="s">
        <v>935</v>
      </c>
      <c r="D938" s="21">
        <v>35.1</v>
      </c>
      <c r="E938" s="21">
        <v>35.1</v>
      </c>
      <c r="F938" s="21">
        <v>29.8</v>
      </c>
      <c r="G938" s="21">
        <v>5.3</v>
      </c>
      <c r="H938" s="21">
        <v>5.3</v>
      </c>
      <c r="I938" s="79">
        <f t="shared" si="47"/>
        <v>0.84900284900284895</v>
      </c>
      <c r="J938" s="338"/>
      <c r="K938" s="341"/>
      <c r="L938" s="344"/>
      <c r="M938" s="350"/>
      <c r="N938" s="338"/>
      <c r="O938" s="353"/>
    </row>
    <row r="939" spans="1:19" ht="38.25" x14ac:dyDescent="0.25">
      <c r="A939" s="385" t="s">
        <v>1494</v>
      </c>
      <c r="B939" s="336" t="s">
        <v>1495</v>
      </c>
      <c r="C939" s="14"/>
      <c r="D939" s="15">
        <f>SUM(D940:D944)</f>
        <v>1652.8000000000002</v>
      </c>
      <c r="E939" s="15">
        <f>SUM(E940:E944)</f>
        <v>1652.8000000000002</v>
      </c>
      <c r="F939" s="15">
        <f>SUM(F940:F944)</f>
        <v>1490.8000000000002</v>
      </c>
      <c r="G939" s="15">
        <f>SUM(G940:G944)</f>
        <v>162</v>
      </c>
      <c r="H939" s="15">
        <f>SUM(H940:H944)</f>
        <v>162</v>
      </c>
      <c r="I939" s="148">
        <f t="shared" si="47"/>
        <v>0.90198451113262346</v>
      </c>
      <c r="J939" s="41" t="s">
        <v>1496</v>
      </c>
      <c r="K939" s="16" t="s">
        <v>35</v>
      </c>
      <c r="L939" s="17">
        <v>60</v>
      </c>
      <c r="M939" s="176">
        <v>62</v>
      </c>
      <c r="N939" s="41" t="s">
        <v>1497</v>
      </c>
      <c r="O939" s="42" t="s">
        <v>1678</v>
      </c>
      <c r="P939" s="284"/>
    </row>
    <row r="940" spans="1:19" ht="63.75" x14ac:dyDescent="0.25">
      <c r="A940" s="386"/>
      <c r="B940" s="337"/>
      <c r="C940" s="20" t="s">
        <v>43</v>
      </c>
      <c r="D940" s="21">
        <v>548.9</v>
      </c>
      <c r="E940" s="21">
        <v>548.9</v>
      </c>
      <c r="F940" s="21">
        <v>386.9</v>
      </c>
      <c r="G940" s="21">
        <v>162</v>
      </c>
      <c r="H940" s="67">
        <v>162</v>
      </c>
      <c r="I940" s="149">
        <f t="shared" si="47"/>
        <v>0.70486427400255058</v>
      </c>
      <c r="J940" s="68" t="s">
        <v>1498</v>
      </c>
      <c r="K940" s="22" t="s">
        <v>118</v>
      </c>
      <c r="L940" s="54">
        <v>30000</v>
      </c>
      <c r="M940" s="188">
        <v>95905</v>
      </c>
      <c r="N940" s="43" t="s">
        <v>2023</v>
      </c>
      <c r="O940" s="44" t="s">
        <v>1645</v>
      </c>
    </row>
    <row r="941" spans="1:19" ht="38.25" x14ac:dyDescent="0.25">
      <c r="A941" s="386"/>
      <c r="B941" s="337"/>
      <c r="C941" s="20" t="s">
        <v>200</v>
      </c>
      <c r="D941" s="21">
        <v>1103.9000000000001</v>
      </c>
      <c r="E941" s="21">
        <v>1103.9000000000001</v>
      </c>
      <c r="F941" s="21">
        <v>1103.9000000000001</v>
      </c>
      <c r="G941" s="21"/>
      <c r="H941" s="21"/>
      <c r="I941" s="79">
        <f t="shared" si="47"/>
        <v>1</v>
      </c>
      <c r="J941" s="43" t="s">
        <v>1499</v>
      </c>
      <c r="K941" s="22" t="s">
        <v>35</v>
      </c>
      <c r="L941" s="54">
        <v>1</v>
      </c>
      <c r="M941" s="260">
        <v>1</v>
      </c>
      <c r="N941" s="43"/>
      <c r="O941" s="44"/>
    </row>
    <row r="942" spans="1:19" ht="30" customHeight="1" x14ac:dyDescent="0.25">
      <c r="A942" s="386"/>
      <c r="B942" s="337"/>
      <c r="C942" s="20"/>
      <c r="D942" s="21"/>
      <c r="E942" s="21"/>
      <c r="F942" s="21"/>
      <c r="G942" s="21"/>
      <c r="H942" s="21"/>
      <c r="I942" s="150"/>
      <c r="J942" s="43" t="s">
        <v>1500</v>
      </c>
      <c r="K942" s="22" t="s">
        <v>118</v>
      </c>
      <c r="L942" s="54">
        <v>17000</v>
      </c>
      <c r="M942" s="188">
        <v>29676</v>
      </c>
      <c r="N942" s="43" t="s">
        <v>2022</v>
      </c>
      <c r="O942" s="44" t="s">
        <v>1646</v>
      </c>
    </row>
    <row r="943" spans="1:19" ht="25.5" x14ac:dyDescent="0.25">
      <c r="A943" s="386"/>
      <c r="B943" s="337"/>
      <c r="C943" s="20"/>
      <c r="D943" s="21"/>
      <c r="E943" s="21"/>
      <c r="F943" s="21"/>
      <c r="G943" s="21"/>
      <c r="H943" s="21"/>
      <c r="I943" s="150"/>
      <c r="J943" s="43" t="s">
        <v>1501</v>
      </c>
      <c r="K943" s="22" t="s">
        <v>118</v>
      </c>
      <c r="L943" s="23">
        <v>400</v>
      </c>
      <c r="M943" s="138">
        <v>0</v>
      </c>
      <c r="N943" s="43" t="s">
        <v>1999</v>
      </c>
      <c r="O943" s="44" t="s">
        <v>2000</v>
      </c>
    </row>
    <row r="944" spans="1:19" ht="64.5" thickBot="1" x14ac:dyDescent="0.3">
      <c r="A944" s="386"/>
      <c r="B944" s="337"/>
      <c r="C944" s="113"/>
      <c r="D944" s="114"/>
      <c r="E944" s="114"/>
      <c r="F944" s="114"/>
      <c r="G944" s="114"/>
      <c r="H944" s="114"/>
      <c r="I944" s="269"/>
      <c r="J944" s="71" t="s">
        <v>1502</v>
      </c>
      <c r="K944" s="75" t="s">
        <v>118</v>
      </c>
      <c r="L944" s="76">
        <v>65</v>
      </c>
      <c r="M944" s="214">
        <v>144</v>
      </c>
      <c r="N944" s="71" t="s">
        <v>2021</v>
      </c>
      <c r="O944" s="259" t="s">
        <v>1647</v>
      </c>
    </row>
    <row r="945" spans="1:16" ht="38.25" x14ac:dyDescent="0.25">
      <c r="A945" s="388" t="s">
        <v>1503</v>
      </c>
      <c r="B945" s="390" t="s">
        <v>1504</v>
      </c>
      <c r="C945" s="195" t="s">
        <v>200</v>
      </c>
      <c r="D945" s="196">
        <f>SUM(D946:D950)+153.7</f>
        <v>153.69999999999999</v>
      </c>
      <c r="E945" s="196">
        <f>SUM(E946:E950)+153.7</f>
        <v>153.69999999999999</v>
      </c>
      <c r="F945" s="196">
        <f>SUM(F946:F950)+153.7</f>
        <v>153.69999999999999</v>
      </c>
      <c r="G945" s="196"/>
      <c r="H945" s="196"/>
      <c r="I945" s="197">
        <f t="shared" ref="I945" si="48">SUM(F945/E945)</f>
        <v>1</v>
      </c>
      <c r="J945" s="198" t="s">
        <v>1505</v>
      </c>
      <c r="K945" s="199" t="s">
        <v>118</v>
      </c>
      <c r="L945" s="200">
        <v>18190</v>
      </c>
      <c r="M945" s="201">
        <v>24719</v>
      </c>
      <c r="N945" s="198"/>
      <c r="O945" s="202"/>
      <c r="P945" s="284"/>
    </row>
    <row r="946" spans="1:16" ht="25.5" x14ac:dyDescent="0.25">
      <c r="A946" s="439"/>
      <c r="B946" s="337"/>
      <c r="C946" s="20"/>
      <c r="D946" s="21"/>
      <c r="E946" s="21"/>
      <c r="F946" s="21"/>
      <c r="G946" s="21"/>
      <c r="H946" s="21"/>
      <c r="I946" s="150"/>
      <c r="J946" s="43" t="s">
        <v>1506</v>
      </c>
      <c r="K946" s="22" t="s">
        <v>118</v>
      </c>
      <c r="L946" s="54">
        <v>2820</v>
      </c>
      <c r="M946" s="188">
        <v>3451</v>
      </c>
      <c r="N946" s="43" t="s">
        <v>2024</v>
      </c>
      <c r="O946" s="253" t="s">
        <v>1648</v>
      </c>
    </row>
    <row r="947" spans="1:16" ht="25.5" x14ac:dyDescent="0.25">
      <c r="A947" s="439"/>
      <c r="B947" s="337"/>
      <c r="C947" s="20"/>
      <c r="D947" s="21"/>
      <c r="E947" s="21"/>
      <c r="F947" s="21"/>
      <c r="G947" s="21"/>
      <c r="H947" s="21"/>
      <c r="I947" s="150"/>
      <c r="J947" s="43" t="s">
        <v>1507</v>
      </c>
      <c r="K947" s="22" t="s">
        <v>118</v>
      </c>
      <c r="L947" s="54">
        <v>8500</v>
      </c>
      <c r="M947" s="260">
        <v>8500</v>
      </c>
      <c r="N947" s="43" t="s">
        <v>2025</v>
      </c>
      <c r="O947" s="253"/>
    </row>
    <row r="948" spans="1:16" ht="25.5" x14ac:dyDescent="0.25">
      <c r="A948" s="439"/>
      <c r="B948" s="337"/>
      <c r="C948" s="20"/>
      <c r="D948" s="21"/>
      <c r="E948" s="21"/>
      <c r="F948" s="21"/>
      <c r="G948" s="21"/>
      <c r="H948" s="21"/>
      <c r="I948" s="150"/>
      <c r="J948" s="43" t="s">
        <v>1508</v>
      </c>
      <c r="K948" s="22" t="s">
        <v>118</v>
      </c>
      <c r="L948" s="54">
        <v>6700</v>
      </c>
      <c r="M948" s="188">
        <v>12479</v>
      </c>
      <c r="N948" s="43" t="s">
        <v>2026</v>
      </c>
      <c r="O948" s="253"/>
    </row>
    <row r="949" spans="1:16" ht="25.5" x14ac:dyDescent="0.25">
      <c r="A949" s="439"/>
      <c r="B949" s="337"/>
      <c r="C949" s="20"/>
      <c r="D949" s="21"/>
      <c r="E949" s="21"/>
      <c r="F949" s="21"/>
      <c r="G949" s="21"/>
      <c r="H949" s="21"/>
      <c r="I949" s="150"/>
      <c r="J949" s="43" t="s">
        <v>1509</v>
      </c>
      <c r="K949" s="22" t="s">
        <v>118</v>
      </c>
      <c r="L949" s="23">
        <v>160</v>
      </c>
      <c r="M949" s="134">
        <v>289</v>
      </c>
      <c r="N949" s="43" t="s">
        <v>1510</v>
      </c>
      <c r="O949" s="253" t="s">
        <v>1649</v>
      </c>
    </row>
    <row r="950" spans="1:16" ht="26.25" thickBot="1" x14ac:dyDescent="0.3">
      <c r="A950" s="389"/>
      <c r="B950" s="391"/>
      <c r="C950" s="58"/>
      <c r="D950" s="59"/>
      <c r="E950" s="59"/>
      <c r="F950" s="59"/>
      <c r="G950" s="59"/>
      <c r="H950" s="59"/>
      <c r="I950" s="173"/>
      <c r="J950" s="60" t="s">
        <v>1511</v>
      </c>
      <c r="K950" s="61" t="s">
        <v>35</v>
      </c>
      <c r="L950" s="62">
        <v>10</v>
      </c>
      <c r="M950" s="270">
        <v>10</v>
      </c>
      <c r="N950" s="60" t="s">
        <v>1512</v>
      </c>
      <c r="O950" s="204"/>
    </row>
    <row r="951" spans="1:16" ht="51.75" thickBot="1" x14ac:dyDescent="0.3">
      <c r="A951" s="96" t="s">
        <v>1513</v>
      </c>
      <c r="B951" s="97" t="s">
        <v>1514</v>
      </c>
      <c r="C951" s="98" t="s">
        <v>43</v>
      </c>
      <c r="D951" s="194">
        <v>3</v>
      </c>
      <c r="E951" s="194">
        <v>3</v>
      </c>
      <c r="F951" s="194">
        <v>2.6</v>
      </c>
      <c r="G951" s="194">
        <v>0.4</v>
      </c>
      <c r="H951" s="194">
        <v>0.4</v>
      </c>
      <c r="I951" s="156">
        <f t="shared" ref="I951:I963" si="49">SUM(F951/E951)</f>
        <v>0.8666666666666667</v>
      </c>
      <c r="J951" s="84" t="s">
        <v>1515</v>
      </c>
      <c r="K951" s="100" t="s">
        <v>118</v>
      </c>
      <c r="L951" s="101">
        <v>15</v>
      </c>
      <c r="M951" s="223">
        <v>25</v>
      </c>
      <c r="N951" s="84" t="s">
        <v>1516</v>
      </c>
      <c r="O951" s="85"/>
      <c r="P951" s="284"/>
    </row>
    <row r="952" spans="1:16" ht="39" thickBot="1" x14ac:dyDescent="0.3">
      <c r="A952" s="13" t="s">
        <v>1517</v>
      </c>
      <c r="B952" s="37" t="s">
        <v>1518</v>
      </c>
      <c r="C952" s="14" t="s">
        <v>43</v>
      </c>
      <c r="D952" s="24">
        <v>15</v>
      </c>
      <c r="E952" s="24">
        <v>15</v>
      </c>
      <c r="F952" s="24">
        <v>15</v>
      </c>
      <c r="G952" s="24"/>
      <c r="H952" s="24"/>
      <c r="I952" s="158">
        <f t="shared" si="49"/>
        <v>1</v>
      </c>
      <c r="J952" s="41" t="s">
        <v>1519</v>
      </c>
      <c r="K952" s="16" t="s">
        <v>35</v>
      </c>
      <c r="L952" s="17">
        <v>800</v>
      </c>
      <c r="M952" s="176">
        <v>818</v>
      </c>
      <c r="N952" s="41" t="s">
        <v>1520</v>
      </c>
      <c r="O952" s="42" t="s">
        <v>1677</v>
      </c>
      <c r="P952" s="284"/>
    </row>
    <row r="953" spans="1:16" ht="93" customHeight="1" x14ac:dyDescent="0.25">
      <c r="A953" s="385" t="s">
        <v>1521</v>
      </c>
      <c r="B953" s="336" t="s">
        <v>1522</v>
      </c>
      <c r="C953" s="14" t="s">
        <v>43</v>
      </c>
      <c r="D953" s="15">
        <f>SUM(D954:D954)+316</f>
        <v>316</v>
      </c>
      <c r="E953" s="15">
        <f>SUM(E954:E954)+316</f>
        <v>316</v>
      </c>
      <c r="F953" s="15">
        <f>SUM(F954:F954)+212.7</f>
        <v>212.7</v>
      </c>
      <c r="G953" s="15">
        <f>SUM(G954:G954)+103.3</f>
        <v>103.3</v>
      </c>
      <c r="H953" s="15">
        <f>SUM(H954:H954)+103.3</f>
        <v>103.3</v>
      </c>
      <c r="I953" s="79">
        <f t="shared" si="49"/>
        <v>0.67310126582278473</v>
      </c>
      <c r="J953" s="41" t="s">
        <v>1523</v>
      </c>
      <c r="K953" s="16" t="s">
        <v>118</v>
      </c>
      <c r="L953" s="17">
        <v>14</v>
      </c>
      <c r="M953" s="143">
        <v>10</v>
      </c>
      <c r="N953" s="41" t="s">
        <v>1524</v>
      </c>
      <c r="O953" s="125" t="s">
        <v>2072</v>
      </c>
      <c r="P953" s="181"/>
    </row>
    <row r="954" spans="1:16" ht="31.5" customHeight="1" thickBot="1" x14ac:dyDescent="0.3">
      <c r="A954" s="387"/>
      <c r="B954" s="338"/>
      <c r="C954" s="20"/>
      <c r="D954" s="21"/>
      <c r="E954" s="21"/>
      <c r="F954" s="21"/>
      <c r="G954" s="21"/>
      <c r="H954" s="21"/>
      <c r="I954" s="150"/>
      <c r="J954" s="43" t="s">
        <v>1525</v>
      </c>
      <c r="K954" s="22" t="s">
        <v>118</v>
      </c>
      <c r="L954" s="23">
        <v>8</v>
      </c>
      <c r="M954" s="134">
        <v>16</v>
      </c>
      <c r="N954" s="43" t="s">
        <v>2027</v>
      </c>
      <c r="O954" s="44"/>
    </row>
    <row r="955" spans="1:16" ht="26.25" thickBot="1" x14ac:dyDescent="0.3">
      <c r="A955" s="13" t="s">
        <v>1526</v>
      </c>
      <c r="B955" s="37" t="s">
        <v>1527</v>
      </c>
      <c r="C955" s="14"/>
      <c r="D955" s="15">
        <f>D956+D959+D960+D961+D962</f>
        <v>243.8</v>
      </c>
      <c r="E955" s="15">
        <f>E956+E959+E960+E961+E962</f>
        <v>243.8</v>
      </c>
      <c r="F955" s="15">
        <f>F956+F959+F960+F961+F962</f>
        <v>230.7</v>
      </c>
      <c r="G955" s="15">
        <f>G956+G959+G960+G961+G962</f>
        <v>13.1</v>
      </c>
      <c r="H955" s="15">
        <f>H956+H959+H960+H961+H962</f>
        <v>13.1</v>
      </c>
      <c r="I955" s="158">
        <f t="shared" si="49"/>
        <v>0.94626743232157495</v>
      </c>
      <c r="J955" s="41"/>
      <c r="K955" s="16"/>
      <c r="L955" s="48"/>
      <c r="M955" s="17"/>
      <c r="N955" s="41"/>
      <c r="O955" s="42"/>
    </row>
    <row r="956" spans="1:16" ht="25.5" customHeight="1" x14ac:dyDescent="0.25">
      <c r="A956" s="385" t="s">
        <v>1528</v>
      </c>
      <c r="B956" s="336" t="s">
        <v>1529</v>
      </c>
      <c r="C956" s="14"/>
      <c r="D956" s="15">
        <f>SUM(D957:D958)</f>
        <v>159.80000000000001</v>
      </c>
      <c r="E956" s="15">
        <f>SUM(E957:E958)</f>
        <v>159.80000000000001</v>
      </c>
      <c r="F956" s="15">
        <f>SUM(F957:F958)</f>
        <v>159.6</v>
      </c>
      <c r="G956" s="15">
        <f>SUM(G957:G958)</f>
        <v>0.2</v>
      </c>
      <c r="H956" s="15">
        <f>SUM(H957:H958)</f>
        <v>0.2</v>
      </c>
      <c r="I956" s="159">
        <f t="shared" si="49"/>
        <v>0.99874843554443038</v>
      </c>
      <c r="J956" s="371" t="s">
        <v>1530</v>
      </c>
      <c r="K956" s="339" t="s">
        <v>118</v>
      </c>
      <c r="L956" s="410">
        <v>7000</v>
      </c>
      <c r="M956" s="492">
        <v>9561</v>
      </c>
      <c r="N956" s="336" t="s">
        <v>2028</v>
      </c>
      <c r="O956" s="333"/>
      <c r="P956" s="175"/>
    </row>
    <row r="957" spans="1:16" x14ac:dyDescent="0.25">
      <c r="A957" s="386"/>
      <c r="B957" s="337"/>
      <c r="C957" s="20" t="s">
        <v>457</v>
      </c>
      <c r="D957" s="21">
        <v>54.8</v>
      </c>
      <c r="E957" s="21">
        <v>54.8</v>
      </c>
      <c r="F957" s="21">
        <v>54.6</v>
      </c>
      <c r="G957" s="21">
        <v>0.2</v>
      </c>
      <c r="H957" s="67">
        <v>0.2</v>
      </c>
      <c r="I957" s="149">
        <f t="shared" si="49"/>
        <v>0.99635036496350371</v>
      </c>
      <c r="J957" s="372"/>
      <c r="K957" s="340"/>
      <c r="L957" s="411"/>
      <c r="M957" s="493"/>
      <c r="N957" s="337"/>
      <c r="O957" s="334"/>
    </row>
    <row r="958" spans="1:16" ht="15.75" thickBot="1" x14ac:dyDescent="0.3">
      <c r="A958" s="387"/>
      <c r="B958" s="338"/>
      <c r="C958" s="20" t="s">
        <v>436</v>
      </c>
      <c r="D958" s="21">
        <v>105</v>
      </c>
      <c r="E958" s="21">
        <v>105</v>
      </c>
      <c r="F958" s="21">
        <v>105</v>
      </c>
      <c r="G958" s="21"/>
      <c r="H958" s="21"/>
      <c r="I958" s="156">
        <f t="shared" si="49"/>
        <v>1</v>
      </c>
      <c r="J958" s="361"/>
      <c r="K958" s="341"/>
      <c r="L958" s="412"/>
      <c r="M958" s="494"/>
      <c r="N958" s="338"/>
      <c r="O958" s="335"/>
    </row>
    <row r="959" spans="1:16" ht="39" thickBot="1" x14ac:dyDescent="0.3">
      <c r="A959" s="13" t="s">
        <v>1531</v>
      </c>
      <c r="B959" s="37" t="s">
        <v>1532</v>
      </c>
      <c r="C959" s="14" t="s">
        <v>436</v>
      </c>
      <c r="D959" s="24">
        <v>15</v>
      </c>
      <c r="E959" s="24">
        <v>15</v>
      </c>
      <c r="F959" s="24">
        <v>9.6999999999999993</v>
      </c>
      <c r="G959" s="24">
        <v>5.3</v>
      </c>
      <c r="H959" s="24">
        <v>5.3</v>
      </c>
      <c r="I959" s="158">
        <f t="shared" si="49"/>
        <v>0.64666666666666661</v>
      </c>
      <c r="J959" s="41" t="s">
        <v>1533</v>
      </c>
      <c r="K959" s="16" t="s">
        <v>118</v>
      </c>
      <c r="L959" s="17">
        <v>5</v>
      </c>
      <c r="M959" s="143">
        <v>3</v>
      </c>
      <c r="N959" s="41" t="s">
        <v>2030</v>
      </c>
      <c r="O959" s="42" t="s">
        <v>2029</v>
      </c>
    </row>
    <row r="960" spans="1:16" ht="51.75" thickBot="1" x14ac:dyDescent="0.3">
      <c r="A960" s="13" t="s">
        <v>1534</v>
      </c>
      <c r="B960" s="37" t="s">
        <v>1535</v>
      </c>
      <c r="C960" s="14"/>
      <c r="D960" s="24"/>
      <c r="E960" s="24"/>
      <c r="F960" s="24"/>
      <c r="G960" s="24"/>
      <c r="H960" s="24"/>
      <c r="I960" s="158"/>
      <c r="J960" s="41" t="s">
        <v>1536</v>
      </c>
      <c r="K960" s="16" t="s">
        <v>108</v>
      </c>
      <c r="L960" s="17">
        <v>2</v>
      </c>
      <c r="M960" s="136">
        <v>2</v>
      </c>
      <c r="N960" s="41" t="s">
        <v>2031</v>
      </c>
      <c r="O960" s="42"/>
    </row>
    <row r="961" spans="1:16" ht="39" thickBot="1" x14ac:dyDescent="0.3">
      <c r="A961" s="13" t="s">
        <v>1537</v>
      </c>
      <c r="B961" s="37" t="s">
        <v>1538</v>
      </c>
      <c r="C961" s="14" t="s">
        <v>43</v>
      </c>
      <c r="D961" s="24">
        <v>4</v>
      </c>
      <c r="E961" s="24">
        <v>4</v>
      </c>
      <c r="F961" s="24">
        <v>1</v>
      </c>
      <c r="G961" s="24">
        <v>3</v>
      </c>
      <c r="H961" s="24">
        <v>3</v>
      </c>
      <c r="I961" s="158">
        <f t="shared" si="49"/>
        <v>0.25</v>
      </c>
      <c r="J961" s="41" t="s">
        <v>1539</v>
      </c>
      <c r="K961" s="16" t="s">
        <v>35</v>
      </c>
      <c r="L961" s="17">
        <v>2</v>
      </c>
      <c r="M961" s="143">
        <v>1</v>
      </c>
      <c r="N961" s="41" t="s">
        <v>1540</v>
      </c>
      <c r="O961" s="42" t="s">
        <v>2029</v>
      </c>
    </row>
    <row r="962" spans="1:16" ht="39" thickBot="1" x14ac:dyDescent="0.3">
      <c r="A962" s="13" t="s">
        <v>1541</v>
      </c>
      <c r="B962" s="37" t="s">
        <v>1542</v>
      </c>
      <c r="C962" s="14" t="s">
        <v>43</v>
      </c>
      <c r="D962" s="24">
        <v>65</v>
      </c>
      <c r="E962" s="24">
        <v>65</v>
      </c>
      <c r="F962" s="24">
        <v>60.4</v>
      </c>
      <c r="G962" s="24">
        <v>4.5999999999999996</v>
      </c>
      <c r="H962" s="24">
        <v>4.5999999999999996</v>
      </c>
      <c r="I962" s="158">
        <f t="shared" si="49"/>
        <v>0.92923076923076919</v>
      </c>
      <c r="J962" s="41" t="s">
        <v>1543</v>
      </c>
      <c r="K962" s="16" t="s">
        <v>35</v>
      </c>
      <c r="L962" s="53">
        <v>3008</v>
      </c>
      <c r="M962" s="250">
        <v>3006</v>
      </c>
      <c r="N962" s="41" t="s">
        <v>2033</v>
      </c>
      <c r="O962" s="42" t="s">
        <v>2032</v>
      </c>
    </row>
    <row r="963" spans="1:16" ht="51" x14ac:dyDescent="0.25">
      <c r="A963" s="385" t="s">
        <v>1544</v>
      </c>
      <c r="B963" s="336" t="s">
        <v>1545</v>
      </c>
      <c r="C963" s="14" t="s">
        <v>43</v>
      </c>
      <c r="D963" s="15">
        <f>SUM(D964:D964)+15</f>
        <v>15</v>
      </c>
      <c r="E963" s="15">
        <f>SUM(E964:E964)+15</f>
        <v>15</v>
      </c>
      <c r="F963" s="15">
        <f>SUM(F964:F964)+14.9</f>
        <v>14.9</v>
      </c>
      <c r="G963" s="15">
        <f>SUM(G964:G964)+0.1</f>
        <v>0.1</v>
      </c>
      <c r="H963" s="15">
        <f>SUM(H964:H964)+0.1</f>
        <v>0.1</v>
      </c>
      <c r="I963" s="160">
        <f t="shared" si="49"/>
        <v>0.9933333333333334</v>
      </c>
      <c r="J963" s="41" t="s">
        <v>1546</v>
      </c>
      <c r="K963" s="16" t="s">
        <v>35</v>
      </c>
      <c r="L963" s="17">
        <v>5</v>
      </c>
      <c r="M963" s="176">
        <v>17</v>
      </c>
      <c r="N963" s="41" t="s">
        <v>2034</v>
      </c>
      <c r="O963" s="42"/>
      <c r="P963" s="284"/>
    </row>
    <row r="964" spans="1:16" ht="68.25" customHeight="1" thickBot="1" x14ac:dyDescent="0.3">
      <c r="A964" s="387"/>
      <c r="B964" s="338"/>
      <c r="C964" s="20"/>
      <c r="D964" s="21"/>
      <c r="E964" s="21"/>
      <c r="F964" s="21"/>
      <c r="G964" s="21"/>
      <c r="H964" s="21"/>
      <c r="I964" s="169"/>
      <c r="J964" s="43" t="s">
        <v>1547</v>
      </c>
      <c r="K964" s="22" t="s">
        <v>35</v>
      </c>
      <c r="L964" s="23">
        <v>15</v>
      </c>
      <c r="M964" s="134">
        <v>20</v>
      </c>
      <c r="N964" s="60" t="s">
        <v>2035</v>
      </c>
      <c r="O964" s="63"/>
    </row>
    <row r="965" spans="1:16" ht="31.5" customHeight="1" x14ac:dyDescent="0.25">
      <c r="A965" s="401" t="s">
        <v>1548</v>
      </c>
      <c r="B965" s="404" t="s">
        <v>1549</v>
      </c>
      <c r="C965" s="407"/>
      <c r="D965" s="395">
        <f>D966+D967+D970+D971+D974+D977+D982+D985</f>
        <v>4828</v>
      </c>
      <c r="E965" s="395">
        <f>E966+E967+E970+E971+E974+E977+E982+E985</f>
        <v>4828</v>
      </c>
      <c r="F965" s="395">
        <f>F966+F967+F970+F971+F974+F977+F982+F985</f>
        <v>2390</v>
      </c>
      <c r="G965" s="395">
        <f>G966+G967+G970+G971+G974+G977+G982+G985</f>
        <v>2438</v>
      </c>
      <c r="H965" s="395">
        <f>H966+H967+H970+H971+H974+H977+H982+H985</f>
        <v>2438</v>
      </c>
      <c r="I965" s="398">
        <f>SUM(F965/E965)</f>
        <v>0.49502899751449875</v>
      </c>
      <c r="J965" s="45" t="s">
        <v>1550</v>
      </c>
      <c r="K965" s="12" t="s">
        <v>35</v>
      </c>
      <c r="L965" s="50">
        <v>4</v>
      </c>
      <c r="M965" s="82">
        <v>1</v>
      </c>
      <c r="N965" s="86"/>
      <c r="O965" s="86" t="s">
        <v>1672</v>
      </c>
    </row>
    <row r="966" spans="1:16" ht="26.25" thickBot="1" x14ac:dyDescent="0.3">
      <c r="A966" s="403"/>
      <c r="B966" s="406"/>
      <c r="C966" s="409"/>
      <c r="D966" s="397"/>
      <c r="E966" s="397"/>
      <c r="F966" s="397"/>
      <c r="G966" s="397"/>
      <c r="H966" s="397"/>
      <c r="I966" s="400"/>
      <c r="J966" s="55" t="s">
        <v>1551</v>
      </c>
      <c r="K966" s="56" t="s">
        <v>35</v>
      </c>
      <c r="L966" s="57">
        <v>9</v>
      </c>
      <c r="M966" s="83">
        <v>8</v>
      </c>
      <c r="N966" s="87"/>
      <c r="O966" s="87" t="s">
        <v>1673</v>
      </c>
    </row>
    <row r="967" spans="1:16" ht="117.75" customHeight="1" x14ac:dyDescent="0.25">
      <c r="A967" s="385" t="s">
        <v>1552</v>
      </c>
      <c r="B967" s="336" t="s">
        <v>1553</v>
      </c>
      <c r="C967" s="14"/>
      <c r="D967" s="15">
        <f>SUM(D968:D969)</f>
        <v>753.7</v>
      </c>
      <c r="E967" s="15">
        <f>SUM(E968:E969)</f>
        <v>753.7</v>
      </c>
      <c r="F967" s="15">
        <f>SUM(F968:F969)</f>
        <v>615.20000000000005</v>
      </c>
      <c r="G967" s="15">
        <f>SUM(G968:G969)</f>
        <v>138.5</v>
      </c>
      <c r="H967" s="15">
        <f>SUM(H968:H969)</f>
        <v>138.5</v>
      </c>
      <c r="I967" s="148">
        <f>SUM(F967/E967)</f>
        <v>0.8162398832426695</v>
      </c>
      <c r="J967" s="41" t="s">
        <v>1554</v>
      </c>
      <c r="K967" s="16" t="s">
        <v>23</v>
      </c>
      <c r="L967" s="17">
        <v>100</v>
      </c>
      <c r="M967" s="143">
        <v>90</v>
      </c>
      <c r="N967" s="84" t="s">
        <v>2044</v>
      </c>
      <c r="O967" s="85" t="s">
        <v>2043</v>
      </c>
      <c r="P967" s="175"/>
    </row>
    <row r="968" spans="1:16" ht="23.25" customHeight="1" x14ac:dyDescent="0.25">
      <c r="A968" s="386"/>
      <c r="B968" s="337"/>
      <c r="C968" s="20" t="s">
        <v>24</v>
      </c>
      <c r="D968" s="21">
        <v>373.7</v>
      </c>
      <c r="E968" s="21">
        <v>373.7</v>
      </c>
      <c r="F968" s="21">
        <v>369.2</v>
      </c>
      <c r="G968" s="21">
        <v>4.5</v>
      </c>
      <c r="H968" s="67">
        <v>4.5</v>
      </c>
      <c r="I968" s="149">
        <f t="shared" ref="I968:I972" si="50">SUM(F968/E968)</f>
        <v>0.98795825528498793</v>
      </c>
      <c r="J968" s="360" t="s">
        <v>1555</v>
      </c>
      <c r="K968" s="362" t="s">
        <v>35</v>
      </c>
      <c r="L968" s="363">
        <v>1</v>
      </c>
      <c r="M968" s="418">
        <v>1</v>
      </c>
      <c r="N968" s="365" t="s">
        <v>2045</v>
      </c>
      <c r="O968" s="355"/>
    </row>
    <row r="969" spans="1:16" ht="15.75" thickBot="1" x14ac:dyDescent="0.3">
      <c r="A969" s="387"/>
      <c r="B969" s="338"/>
      <c r="C969" s="20" t="s">
        <v>43</v>
      </c>
      <c r="D969" s="21">
        <v>380</v>
      </c>
      <c r="E969" s="21">
        <v>380</v>
      </c>
      <c r="F969" s="21">
        <v>246</v>
      </c>
      <c r="G969" s="21">
        <v>134</v>
      </c>
      <c r="H969" s="21">
        <v>134</v>
      </c>
      <c r="I969" s="79">
        <f t="shared" si="50"/>
        <v>0.64736842105263159</v>
      </c>
      <c r="J969" s="361"/>
      <c r="K969" s="341"/>
      <c r="L969" s="344"/>
      <c r="M969" s="347"/>
      <c r="N969" s="338"/>
      <c r="O969" s="335"/>
    </row>
    <row r="970" spans="1:16" ht="42.75" customHeight="1" thickBot="1" x14ac:dyDescent="0.3">
      <c r="A970" s="13" t="s">
        <v>1556</v>
      </c>
      <c r="B970" s="37" t="s">
        <v>1557</v>
      </c>
      <c r="C970" s="14" t="s">
        <v>43</v>
      </c>
      <c r="D970" s="24">
        <v>300</v>
      </c>
      <c r="E970" s="24">
        <v>300</v>
      </c>
      <c r="F970" s="24">
        <v>300</v>
      </c>
      <c r="G970" s="24"/>
      <c r="H970" s="24"/>
      <c r="I970" s="154">
        <f t="shared" si="50"/>
        <v>1</v>
      </c>
      <c r="J970" s="41" t="s">
        <v>1558</v>
      </c>
      <c r="K970" s="16" t="s">
        <v>23</v>
      </c>
      <c r="L970" s="17">
        <v>100</v>
      </c>
      <c r="M970" s="136">
        <v>100</v>
      </c>
      <c r="N970" s="41"/>
      <c r="O970" s="42"/>
      <c r="P970" s="181"/>
    </row>
    <row r="971" spans="1:16" ht="51" x14ac:dyDescent="0.25">
      <c r="A971" s="385" t="s">
        <v>1559</v>
      </c>
      <c r="B971" s="336" t="s">
        <v>1560</v>
      </c>
      <c r="C971" s="14"/>
      <c r="D971" s="15">
        <f>SUM(D972:D973)</f>
        <v>602.70000000000005</v>
      </c>
      <c r="E971" s="15">
        <f>SUM(E972:E973)</f>
        <v>602.70000000000005</v>
      </c>
      <c r="F971" s="15">
        <f>SUM(F972:F973)</f>
        <v>30.3</v>
      </c>
      <c r="G971" s="15">
        <f>SUM(G972:G973)</f>
        <v>572.4</v>
      </c>
      <c r="H971" s="15">
        <f>SUM(H972:H973)</f>
        <v>572.4</v>
      </c>
      <c r="I971" s="148">
        <f t="shared" si="50"/>
        <v>5.0273768043802881E-2</v>
      </c>
      <c r="J971" s="41" t="s">
        <v>1561</v>
      </c>
      <c r="K971" s="16" t="s">
        <v>23</v>
      </c>
      <c r="L971" s="17">
        <v>100</v>
      </c>
      <c r="M971" s="137">
        <v>0</v>
      </c>
      <c r="N971" s="41" t="s">
        <v>2046</v>
      </c>
      <c r="O971" s="42" t="s">
        <v>2047</v>
      </c>
      <c r="P971" s="139"/>
    </row>
    <row r="972" spans="1:16" ht="51.75" customHeight="1" x14ac:dyDescent="0.25">
      <c r="A972" s="386"/>
      <c r="B972" s="337"/>
      <c r="C972" s="20" t="s">
        <v>43</v>
      </c>
      <c r="D972" s="21">
        <v>8</v>
      </c>
      <c r="E972" s="21">
        <v>8</v>
      </c>
      <c r="F972" s="21"/>
      <c r="G972" s="21">
        <v>8</v>
      </c>
      <c r="H972" s="67">
        <v>8</v>
      </c>
      <c r="I972" s="149">
        <f t="shared" si="50"/>
        <v>0</v>
      </c>
      <c r="J972" s="68" t="s">
        <v>1562</v>
      </c>
      <c r="K972" s="22" t="s">
        <v>429</v>
      </c>
      <c r="L972" s="23">
        <v>80</v>
      </c>
      <c r="M972" s="138">
        <v>0</v>
      </c>
      <c r="N972" s="43"/>
      <c r="O972" s="44" t="s">
        <v>2048</v>
      </c>
    </row>
    <row r="973" spans="1:16" ht="39" thickBot="1" x14ac:dyDescent="0.3">
      <c r="A973" s="387"/>
      <c r="B973" s="338"/>
      <c r="C973" s="20" t="s">
        <v>24</v>
      </c>
      <c r="D973" s="21">
        <v>594.70000000000005</v>
      </c>
      <c r="E973" s="21">
        <v>594.70000000000005</v>
      </c>
      <c r="F973" s="21">
        <v>30.3</v>
      </c>
      <c r="G973" s="21">
        <v>564.4</v>
      </c>
      <c r="H973" s="21">
        <v>564.4</v>
      </c>
      <c r="I973" s="155">
        <f>SUM(F973/E973)</f>
        <v>5.0950058853203292E-2</v>
      </c>
      <c r="J973" s="43" t="s">
        <v>1211</v>
      </c>
      <c r="K973" s="22" t="s">
        <v>108</v>
      </c>
      <c r="L973" s="23">
        <v>1</v>
      </c>
      <c r="M973" s="138">
        <v>0</v>
      </c>
      <c r="N973" s="43" t="s">
        <v>2050</v>
      </c>
      <c r="O973" s="44" t="s">
        <v>2049</v>
      </c>
    </row>
    <row r="974" spans="1:16" ht="33" customHeight="1" x14ac:dyDescent="0.25">
      <c r="A974" s="385" t="s">
        <v>1563</v>
      </c>
      <c r="B974" s="336" t="s">
        <v>1564</v>
      </c>
      <c r="C974" s="14"/>
      <c r="D974" s="15">
        <f>SUM(D975:D976)</f>
        <v>1618.7</v>
      </c>
      <c r="E974" s="15">
        <f>SUM(E975:E976)</f>
        <v>1618.7</v>
      </c>
      <c r="F974" s="15">
        <f>SUM(F975:F976)</f>
        <v>603.20000000000005</v>
      </c>
      <c r="G974" s="15">
        <f>SUM(G975:G976)</f>
        <v>1015.5</v>
      </c>
      <c r="H974" s="15">
        <f>SUM(H975:H976)</f>
        <v>1015.5</v>
      </c>
      <c r="I974" s="79">
        <f t="shared" ref="I974:I987" si="51">SUM(F974/E974)</f>
        <v>0.3726447148946686</v>
      </c>
      <c r="J974" s="41" t="s">
        <v>1565</v>
      </c>
      <c r="K974" s="16" t="s">
        <v>23</v>
      </c>
      <c r="L974" s="17">
        <v>38.5</v>
      </c>
      <c r="M974" s="143">
        <v>28.2</v>
      </c>
      <c r="N974" s="41" t="s">
        <v>2042</v>
      </c>
      <c r="O974" s="42" t="s">
        <v>2041</v>
      </c>
      <c r="P974" s="175"/>
    </row>
    <row r="975" spans="1:16" ht="54.75" customHeight="1" x14ac:dyDescent="0.25">
      <c r="A975" s="386"/>
      <c r="B975" s="337"/>
      <c r="C975" s="20" t="s">
        <v>29</v>
      </c>
      <c r="D975" s="21">
        <v>1375.9</v>
      </c>
      <c r="E975" s="21">
        <v>1375.9</v>
      </c>
      <c r="F975" s="21">
        <v>512.70000000000005</v>
      </c>
      <c r="G975" s="21">
        <v>863.2</v>
      </c>
      <c r="H975" s="21">
        <v>863.2</v>
      </c>
      <c r="I975" s="79">
        <f t="shared" si="51"/>
        <v>0.37262882476924197</v>
      </c>
      <c r="J975" s="43" t="s">
        <v>766</v>
      </c>
      <c r="K975" s="22" t="s">
        <v>23</v>
      </c>
      <c r="L975" s="23">
        <v>38.5</v>
      </c>
      <c r="M975" s="272">
        <v>6.6</v>
      </c>
      <c r="N975" s="43" t="s">
        <v>2040</v>
      </c>
      <c r="O975" s="44" t="s">
        <v>1650</v>
      </c>
    </row>
    <row r="976" spans="1:16" ht="29.25" customHeight="1" thickBot="1" x14ac:dyDescent="0.3">
      <c r="A976" s="387"/>
      <c r="B976" s="338"/>
      <c r="C976" s="20" t="s">
        <v>27</v>
      </c>
      <c r="D976" s="21">
        <v>242.8</v>
      </c>
      <c r="E976" s="21">
        <v>242.8</v>
      </c>
      <c r="F976" s="21">
        <v>90.5</v>
      </c>
      <c r="G976" s="21">
        <v>152.30000000000001</v>
      </c>
      <c r="H976" s="21">
        <v>152.30000000000001</v>
      </c>
      <c r="I976" s="80">
        <f t="shared" si="51"/>
        <v>0.37273476112026355</v>
      </c>
      <c r="J976" s="43" t="s">
        <v>1566</v>
      </c>
      <c r="K976" s="22" t="s">
        <v>35</v>
      </c>
      <c r="L976" s="23">
        <v>2</v>
      </c>
      <c r="M976" s="135">
        <v>2</v>
      </c>
      <c r="N976" s="43" t="s">
        <v>1567</v>
      </c>
      <c r="O976" s="44"/>
    </row>
    <row r="977" spans="1:16" ht="77.25" customHeight="1" x14ac:dyDescent="0.25">
      <c r="A977" s="385" t="s">
        <v>1568</v>
      </c>
      <c r="B977" s="336" t="s">
        <v>1569</v>
      </c>
      <c r="C977" s="14"/>
      <c r="D977" s="15">
        <f>SUM(D978:D981)</f>
        <v>970.7</v>
      </c>
      <c r="E977" s="15">
        <f>SUM(E978:E981)</f>
        <v>970.7</v>
      </c>
      <c r="F977" s="15">
        <f>SUM(F978:F981)+0.1</f>
        <v>819.30000000000007</v>
      </c>
      <c r="G977" s="15">
        <f>SUM(G978:G981)-0.1</f>
        <v>151.4</v>
      </c>
      <c r="H977" s="15">
        <f>SUM(H978:H981)-0.1</f>
        <v>151.4</v>
      </c>
      <c r="I977" s="79">
        <f t="shared" si="51"/>
        <v>0.84403008138456792</v>
      </c>
      <c r="J977" s="41" t="s">
        <v>1570</v>
      </c>
      <c r="K977" s="16" t="s">
        <v>35</v>
      </c>
      <c r="L977" s="17">
        <v>1</v>
      </c>
      <c r="M977" s="137">
        <v>0</v>
      </c>
      <c r="N977" s="41" t="s">
        <v>2039</v>
      </c>
      <c r="O977" s="42" t="s">
        <v>2038</v>
      </c>
      <c r="P977" s="175"/>
    </row>
    <row r="978" spans="1:16" x14ac:dyDescent="0.25">
      <c r="A978" s="386"/>
      <c r="B978" s="337"/>
      <c r="C978" s="20" t="s">
        <v>29</v>
      </c>
      <c r="D978" s="21">
        <v>592.5</v>
      </c>
      <c r="E978" s="21">
        <v>592.5</v>
      </c>
      <c r="F978" s="21">
        <v>565.70000000000005</v>
      </c>
      <c r="G978" s="21">
        <v>26.8</v>
      </c>
      <c r="H978" s="21">
        <v>26.8</v>
      </c>
      <c r="I978" s="79">
        <f t="shared" si="51"/>
        <v>0.95476793248945158</v>
      </c>
      <c r="J978" s="43" t="s">
        <v>1571</v>
      </c>
      <c r="K978" s="22" t="s">
        <v>35</v>
      </c>
      <c r="L978" s="23">
        <v>3</v>
      </c>
      <c r="M978" s="135">
        <v>3</v>
      </c>
      <c r="N978" s="43"/>
      <c r="O978" s="44"/>
    </row>
    <row r="979" spans="1:16" x14ac:dyDescent="0.25">
      <c r="A979" s="386"/>
      <c r="B979" s="337"/>
      <c r="C979" s="20" t="s">
        <v>27</v>
      </c>
      <c r="D979" s="21">
        <v>124.6</v>
      </c>
      <c r="E979" s="21">
        <v>124.6</v>
      </c>
      <c r="F979" s="21">
        <v>114.9</v>
      </c>
      <c r="G979" s="21">
        <v>9.6999999999999993</v>
      </c>
      <c r="H979" s="21">
        <v>9.6999999999999993</v>
      </c>
      <c r="I979" s="79">
        <f t="shared" si="51"/>
        <v>0.92215088282504021</v>
      </c>
      <c r="J979" s="43" t="s">
        <v>1572</v>
      </c>
      <c r="K979" s="22" t="s">
        <v>418</v>
      </c>
      <c r="L979" s="23">
        <v>1</v>
      </c>
      <c r="M979" s="135">
        <v>1</v>
      </c>
      <c r="N979" s="43"/>
      <c r="O979" s="44"/>
    </row>
    <row r="980" spans="1:16" ht="18.75" customHeight="1" x14ac:dyDescent="0.25">
      <c r="A980" s="386"/>
      <c r="B980" s="337"/>
      <c r="C980" s="20" t="s">
        <v>43</v>
      </c>
      <c r="D980" s="21">
        <v>238.1</v>
      </c>
      <c r="E980" s="21">
        <v>238.1</v>
      </c>
      <c r="F980" s="21">
        <v>123.1</v>
      </c>
      <c r="G980" s="21">
        <v>115</v>
      </c>
      <c r="H980" s="21">
        <v>115</v>
      </c>
      <c r="I980" s="79">
        <f t="shared" si="51"/>
        <v>0.5170096598068038</v>
      </c>
      <c r="J980" s="365" t="s">
        <v>1573</v>
      </c>
      <c r="K980" s="362" t="s">
        <v>118</v>
      </c>
      <c r="L980" s="363">
        <v>8</v>
      </c>
      <c r="M980" s="381">
        <v>0</v>
      </c>
      <c r="N980" s="354"/>
      <c r="O980" s="380" t="s">
        <v>1651</v>
      </c>
    </row>
    <row r="981" spans="1:16" ht="15.75" thickBot="1" x14ac:dyDescent="0.3">
      <c r="A981" s="387"/>
      <c r="B981" s="338"/>
      <c r="C981" s="20" t="s">
        <v>24</v>
      </c>
      <c r="D981" s="21">
        <v>15.5</v>
      </c>
      <c r="E981" s="21">
        <v>15.5</v>
      </c>
      <c r="F981" s="21">
        <v>15.5</v>
      </c>
      <c r="G981" s="21"/>
      <c r="H981" s="21"/>
      <c r="I981" s="80">
        <f t="shared" si="51"/>
        <v>1</v>
      </c>
      <c r="J981" s="338"/>
      <c r="K981" s="341"/>
      <c r="L981" s="344"/>
      <c r="M981" s="370"/>
      <c r="N981" s="332"/>
      <c r="O981" s="353"/>
    </row>
    <row r="982" spans="1:16" ht="17.25" customHeight="1" x14ac:dyDescent="0.25">
      <c r="A982" s="385" t="s">
        <v>1574</v>
      </c>
      <c r="B982" s="336" t="s">
        <v>1575</v>
      </c>
      <c r="C982" s="14"/>
      <c r="D982" s="15">
        <f>SUM(D983:D984)</f>
        <v>102.2</v>
      </c>
      <c r="E982" s="15">
        <f>SUM(E983:E984)</f>
        <v>102.2</v>
      </c>
      <c r="F982" s="15">
        <f>SUM(F983:F984)</f>
        <v>22</v>
      </c>
      <c r="G982" s="15">
        <f>SUM(G983:G984)</f>
        <v>80.2</v>
      </c>
      <c r="H982" s="15">
        <f>SUM(H983:H984)</f>
        <v>80.2</v>
      </c>
      <c r="I982" s="79">
        <f t="shared" si="51"/>
        <v>0.21526418786692758</v>
      </c>
      <c r="J982" s="336" t="s">
        <v>1576</v>
      </c>
      <c r="K982" s="339" t="s">
        <v>118</v>
      </c>
      <c r="L982" s="342">
        <v>8</v>
      </c>
      <c r="M982" s="440">
        <v>7</v>
      </c>
      <c r="N982" s="374"/>
      <c r="O982" s="443" t="s">
        <v>2073</v>
      </c>
      <c r="P982" s="175"/>
    </row>
    <row r="983" spans="1:16" x14ac:dyDescent="0.25">
      <c r="A983" s="386"/>
      <c r="B983" s="337"/>
      <c r="C983" s="20" t="s">
        <v>29</v>
      </c>
      <c r="D983" s="21">
        <v>86.9</v>
      </c>
      <c r="E983" s="21">
        <v>86.9</v>
      </c>
      <c r="F983" s="21">
        <v>18.7</v>
      </c>
      <c r="G983" s="21">
        <v>68.2</v>
      </c>
      <c r="H983" s="21">
        <v>68.2</v>
      </c>
      <c r="I983" s="79">
        <f t="shared" si="51"/>
        <v>0.2151898734177215</v>
      </c>
      <c r="J983" s="337"/>
      <c r="K983" s="340"/>
      <c r="L983" s="343"/>
      <c r="M983" s="358"/>
      <c r="N983" s="375"/>
      <c r="O983" s="383"/>
    </row>
    <row r="984" spans="1:16" ht="17.25" customHeight="1" thickBot="1" x14ac:dyDescent="0.3">
      <c r="A984" s="387"/>
      <c r="B984" s="338"/>
      <c r="C984" s="20" t="s">
        <v>27</v>
      </c>
      <c r="D984" s="21">
        <v>15.3</v>
      </c>
      <c r="E984" s="21">
        <v>15.3</v>
      </c>
      <c r="F984" s="21">
        <v>3.3</v>
      </c>
      <c r="G984" s="21">
        <v>12</v>
      </c>
      <c r="H984" s="21">
        <v>12</v>
      </c>
      <c r="I984" s="80">
        <f t="shared" si="51"/>
        <v>0.2156862745098039</v>
      </c>
      <c r="J984" s="338"/>
      <c r="K984" s="341"/>
      <c r="L984" s="344"/>
      <c r="M984" s="359"/>
      <c r="N984" s="376"/>
      <c r="O984" s="384"/>
    </row>
    <row r="985" spans="1:16" ht="54" customHeight="1" x14ac:dyDescent="0.25">
      <c r="A985" s="385" t="s">
        <v>1577</v>
      </c>
      <c r="B985" s="336" t="s">
        <v>1578</v>
      </c>
      <c r="C985" s="14"/>
      <c r="D985" s="15">
        <f>SUM(D986:D987)</f>
        <v>480</v>
      </c>
      <c r="E985" s="15">
        <f>SUM(E986:E987)</f>
        <v>480</v>
      </c>
      <c r="F985" s="15"/>
      <c r="G985" s="15">
        <f>SUM(G986:G987)</f>
        <v>480</v>
      </c>
      <c r="H985" s="15">
        <f>SUM(H986:H987)</f>
        <v>480</v>
      </c>
      <c r="I985" s="79">
        <f t="shared" si="51"/>
        <v>0</v>
      </c>
      <c r="J985" s="41" t="s">
        <v>1579</v>
      </c>
      <c r="K985" s="16" t="s">
        <v>23</v>
      </c>
      <c r="L985" s="17">
        <v>40</v>
      </c>
      <c r="M985" s="216">
        <v>18</v>
      </c>
      <c r="N985" s="124" t="s">
        <v>2082</v>
      </c>
      <c r="O985" s="42" t="s">
        <v>2036</v>
      </c>
      <c r="P985" s="290"/>
    </row>
    <row r="986" spans="1:16" ht="30" customHeight="1" x14ac:dyDescent="0.25">
      <c r="A986" s="386"/>
      <c r="B986" s="337"/>
      <c r="C986" s="20" t="s">
        <v>29</v>
      </c>
      <c r="D986" s="21">
        <v>408</v>
      </c>
      <c r="E986" s="21">
        <v>408</v>
      </c>
      <c r="F986" s="21"/>
      <c r="G986" s="21">
        <v>408</v>
      </c>
      <c r="H986" s="21">
        <v>408</v>
      </c>
      <c r="I986" s="79">
        <f t="shared" si="51"/>
        <v>0</v>
      </c>
      <c r="J986" s="43" t="s">
        <v>1580</v>
      </c>
      <c r="K986" s="22" t="s">
        <v>118</v>
      </c>
      <c r="L986" s="23">
        <v>20</v>
      </c>
      <c r="M986" s="138">
        <v>0</v>
      </c>
      <c r="N986" s="43"/>
      <c r="O986" s="44" t="s">
        <v>1610</v>
      </c>
    </row>
    <row r="987" spans="1:16" ht="26.25" thickBot="1" x14ac:dyDescent="0.3">
      <c r="A987" s="441"/>
      <c r="B987" s="391"/>
      <c r="C987" s="58" t="s">
        <v>27</v>
      </c>
      <c r="D987" s="59">
        <v>72</v>
      </c>
      <c r="E987" s="59">
        <v>72</v>
      </c>
      <c r="F987" s="59"/>
      <c r="G987" s="59">
        <v>72</v>
      </c>
      <c r="H987" s="59">
        <v>72</v>
      </c>
      <c r="I987" s="80">
        <f t="shared" si="51"/>
        <v>0</v>
      </c>
      <c r="J987" s="60" t="s">
        <v>1581</v>
      </c>
      <c r="K987" s="61" t="s">
        <v>118</v>
      </c>
      <c r="L987" s="62">
        <v>50</v>
      </c>
      <c r="M987" s="271">
        <v>0</v>
      </c>
      <c r="N987" s="60"/>
      <c r="O987" s="63" t="s">
        <v>2037</v>
      </c>
    </row>
    <row r="988" spans="1:16" s="30" customFormat="1" x14ac:dyDescent="0.25">
      <c r="A988" s="25"/>
      <c r="B988" s="39"/>
      <c r="C988" s="26"/>
      <c r="D988" s="27"/>
      <c r="E988" s="27"/>
      <c r="F988" s="27"/>
      <c r="G988" s="27"/>
      <c r="H988" s="27"/>
      <c r="I988" s="174"/>
      <c r="J988" s="26"/>
      <c r="K988" s="28"/>
      <c r="L988" s="49"/>
      <c r="M988" s="29"/>
      <c r="N988" s="26"/>
      <c r="O988" s="26"/>
    </row>
    <row r="989" spans="1:16" s="30" customFormat="1" x14ac:dyDescent="0.25">
      <c r="A989" s="25"/>
      <c r="B989" s="39"/>
      <c r="C989" s="26"/>
      <c r="D989" s="27"/>
      <c r="E989" s="27"/>
      <c r="F989" s="27"/>
      <c r="G989" s="27"/>
      <c r="H989" s="27"/>
      <c r="I989" s="174"/>
      <c r="J989" s="26"/>
      <c r="K989" s="28"/>
      <c r="L989" s="49"/>
      <c r="M989" s="29"/>
      <c r="N989" s="26"/>
      <c r="O989" s="26"/>
    </row>
    <row r="990" spans="1:16" s="30" customFormat="1" x14ac:dyDescent="0.25">
      <c r="A990" s="25"/>
      <c r="B990" s="39"/>
      <c r="C990" s="26"/>
      <c r="D990" s="27"/>
      <c r="E990" s="27"/>
      <c r="F990" s="27"/>
      <c r="G990" s="27"/>
      <c r="H990" s="27"/>
      <c r="I990" s="174"/>
      <c r="J990" s="26"/>
      <c r="K990" s="28"/>
      <c r="L990" s="49"/>
      <c r="M990" s="29"/>
      <c r="N990" s="26"/>
      <c r="O990" s="26"/>
    </row>
    <row r="991" spans="1:16" s="30" customFormat="1" x14ac:dyDescent="0.25">
      <c r="A991" s="25"/>
      <c r="B991" s="39"/>
      <c r="C991" s="26"/>
      <c r="D991" s="27"/>
      <c r="E991" s="27"/>
      <c r="F991" s="27"/>
      <c r="G991" s="27"/>
      <c r="H991" s="27"/>
      <c r="I991" s="174"/>
      <c r="J991" s="26"/>
      <c r="K991" s="28"/>
      <c r="L991" s="49"/>
      <c r="M991" s="29"/>
      <c r="N991" s="26"/>
      <c r="O991" s="26"/>
    </row>
    <row r="992" spans="1:16" s="30" customFormat="1" x14ac:dyDescent="0.25">
      <c r="A992" s="25"/>
      <c r="B992" s="39"/>
      <c r="C992" s="26"/>
      <c r="D992" s="27"/>
      <c r="E992" s="27"/>
      <c r="F992" s="27"/>
      <c r="G992" s="27"/>
      <c r="H992" s="27"/>
      <c r="I992" s="174"/>
      <c r="J992" s="26"/>
      <c r="K992" s="28"/>
      <c r="L992" s="49"/>
      <c r="M992" s="29"/>
      <c r="N992" s="26"/>
      <c r="O992" s="26"/>
    </row>
    <row r="993" spans="1:7" ht="81.75" customHeight="1" x14ac:dyDescent="0.25">
      <c r="A993" s="329" t="s">
        <v>0</v>
      </c>
      <c r="B993" s="328" t="s">
        <v>1</v>
      </c>
      <c r="C993" s="456" t="s">
        <v>2112</v>
      </c>
      <c r="D993" s="457"/>
      <c r="E993" s="328" t="s">
        <v>4</v>
      </c>
      <c r="F993" s="456" t="s">
        <v>2113</v>
      </c>
      <c r="G993" s="458"/>
    </row>
    <row r="994" spans="1:7" ht="25.5" x14ac:dyDescent="0.25">
      <c r="A994" s="19" t="s">
        <v>1582</v>
      </c>
      <c r="B994" s="38" t="s">
        <v>1583</v>
      </c>
      <c r="C994" s="31">
        <f>SUM(C995:C1005)</f>
        <v>330738.59999999998</v>
      </c>
      <c r="D994" s="31">
        <f>SUM(D995:D1005)</f>
        <v>330738.59999999998</v>
      </c>
      <c r="E994" s="31">
        <f>SUM(E995:E1005)</f>
        <v>294979.40000000008</v>
      </c>
      <c r="F994" s="31">
        <f>SUM(F995:F1005)</f>
        <v>35759.1</v>
      </c>
      <c r="G994" s="31">
        <f>SUM(G995:G1005)</f>
        <v>35759.1</v>
      </c>
    </row>
    <row r="995" spans="1:7" x14ac:dyDescent="0.25">
      <c r="A995" s="19" t="s">
        <v>43</v>
      </c>
      <c r="B995" s="38" t="s">
        <v>1584</v>
      </c>
      <c r="C995" s="21">
        <v>137857.9</v>
      </c>
      <c r="D995" s="21">
        <v>137857.9</v>
      </c>
      <c r="E995" s="21">
        <v>128716.1</v>
      </c>
      <c r="F995" s="21">
        <v>9141.7999999999993</v>
      </c>
      <c r="G995" s="21">
        <v>9141.7999999999993</v>
      </c>
    </row>
    <row r="996" spans="1:7" x14ac:dyDescent="0.25">
      <c r="A996" s="19" t="s">
        <v>624</v>
      </c>
      <c r="B996" s="38" t="s">
        <v>1585</v>
      </c>
      <c r="C996" s="21">
        <v>8000</v>
      </c>
      <c r="D996" s="21">
        <v>8000</v>
      </c>
      <c r="E996" s="21">
        <v>8000</v>
      </c>
      <c r="F996" s="21">
        <v>0</v>
      </c>
      <c r="G996" s="21">
        <v>0</v>
      </c>
    </row>
    <row r="997" spans="1:7" x14ac:dyDescent="0.25">
      <c r="A997" s="19" t="s">
        <v>1398</v>
      </c>
      <c r="B997" s="38" t="s">
        <v>1586</v>
      </c>
      <c r="C997" s="21">
        <v>73506.600000000006</v>
      </c>
      <c r="D997" s="21">
        <v>73506.600000000006</v>
      </c>
      <c r="E997" s="21">
        <v>73506.100000000006</v>
      </c>
      <c r="F997" s="21">
        <v>0.5</v>
      </c>
      <c r="G997" s="21">
        <v>0.5</v>
      </c>
    </row>
    <row r="998" spans="1:7" ht="25.5" x14ac:dyDescent="0.25">
      <c r="A998" s="19" t="s">
        <v>200</v>
      </c>
      <c r="B998" s="38" t="s">
        <v>1587</v>
      </c>
      <c r="C998" s="21">
        <v>10300.200000000001</v>
      </c>
      <c r="D998" s="21">
        <v>10300.200000000001</v>
      </c>
      <c r="E998" s="21">
        <v>9909.5</v>
      </c>
      <c r="F998" s="21">
        <v>390.7</v>
      </c>
      <c r="G998" s="21">
        <v>390.7</v>
      </c>
    </row>
    <row r="999" spans="1:7" x14ac:dyDescent="0.25">
      <c r="A999" s="19" t="s">
        <v>27</v>
      </c>
      <c r="B999" s="38" t="s">
        <v>1588</v>
      </c>
      <c r="C999" s="21">
        <v>17927.099999999999</v>
      </c>
      <c r="D999" s="21">
        <v>17927.099999999999</v>
      </c>
      <c r="E999" s="21">
        <v>15072.7</v>
      </c>
      <c r="F999" s="21">
        <v>2854.4</v>
      </c>
      <c r="G999" s="21">
        <v>2854.4</v>
      </c>
    </row>
    <row r="1000" spans="1:7" ht="25.5" x14ac:dyDescent="0.25">
      <c r="A1000" s="19" t="s">
        <v>612</v>
      </c>
      <c r="B1000" s="38" t="s">
        <v>1589</v>
      </c>
      <c r="C1000" s="21">
        <v>9319.2000000000007</v>
      </c>
      <c r="D1000" s="21">
        <v>9319.2000000000007</v>
      </c>
      <c r="E1000" s="21">
        <v>9319.2000000000007</v>
      </c>
      <c r="F1000" s="21">
        <v>0</v>
      </c>
      <c r="G1000" s="21">
        <v>0</v>
      </c>
    </row>
    <row r="1001" spans="1:7" x14ac:dyDescent="0.25">
      <c r="A1001" s="19" t="s">
        <v>29</v>
      </c>
      <c r="B1001" s="38" t="s">
        <v>1590</v>
      </c>
      <c r="C1001" s="21">
        <v>29168.5</v>
      </c>
      <c r="D1001" s="21">
        <v>29168.5</v>
      </c>
      <c r="E1001" s="21">
        <v>10609.3</v>
      </c>
      <c r="F1001" s="21">
        <v>18559.099999999999</v>
      </c>
      <c r="G1001" s="21">
        <v>18559.099999999999</v>
      </c>
    </row>
    <row r="1002" spans="1:7" x14ac:dyDescent="0.25">
      <c r="A1002" s="19" t="s">
        <v>132</v>
      </c>
      <c r="B1002" s="38" t="s">
        <v>1591</v>
      </c>
      <c r="C1002" s="21">
        <v>8155.1</v>
      </c>
      <c r="D1002" s="21">
        <v>8155.1</v>
      </c>
      <c r="E1002" s="21">
        <v>7643.4</v>
      </c>
      <c r="F1002" s="21">
        <v>511.7</v>
      </c>
      <c r="G1002" s="21">
        <v>511.7</v>
      </c>
    </row>
    <row r="1003" spans="1:7" x14ac:dyDescent="0.25">
      <c r="A1003" s="19" t="s">
        <v>24</v>
      </c>
      <c r="B1003" s="38" t="s">
        <v>1592</v>
      </c>
      <c r="C1003" s="21">
        <v>35453.1</v>
      </c>
      <c r="D1003" s="21">
        <v>35453.1</v>
      </c>
      <c r="E1003" s="21">
        <v>31183.7</v>
      </c>
      <c r="F1003" s="21">
        <v>4269.3999999999996</v>
      </c>
      <c r="G1003" s="21">
        <v>4269.3999999999996</v>
      </c>
    </row>
    <row r="1004" spans="1:7" ht="38.25" x14ac:dyDescent="0.25">
      <c r="A1004" s="19" t="s">
        <v>436</v>
      </c>
      <c r="B1004" s="38" t="s">
        <v>1593</v>
      </c>
      <c r="C1004" s="21">
        <v>600</v>
      </c>
      <c r="D1004" s="21">
        <v>600</v>
      </c>
      <c r="E1004" s="21">
        <v>574</v>
      </c>
      <c r="F1004" s="21">
        <v>26</v>
      </c>
      <c r="G1004" s="21">
        <v>26</v>
      </c>
    </row>
    <row r="1005" spans="1:7" ht="38.25" x14ac:dyDescent="0.25">
      <c r="A1005" s="19" t="s">
        <v>457</v>
      </c>
      <c r="B1005" s="38" t="s">
        <v>1594</v>
      </c>
      <c r="C1005" s="21">
        <v>450.9</v>
      </c>
      <c r="D1005" s="21">
        <v>450.9</v>
      </c>
      <c r="E1005" s="21">
        <v>445.4</v>
      </c>
      <c r="F1005" s="21">
        <v>5.5</v>
      </c>
      <c r="G1005" s="21">
        <v>5.5</v>
      </c>
    </row>
    <row r="1006" spans="1:7" x14ac:dyDescent="0.25">
      <c r="A1006" s="19" t="s">
        <v>1595</v>
      </c>
      <c r="B1006" s="38" t="s">
        <v>1596</v>
      </c>
      <c r="C1006" s="31">
        <f>SUM(C1007:C1009)</f>
        <v>55191</v>
      </c>
      <c r="D1006" s="31">
        <f>SUM(D1007:D1009)</f>
        <v>55191</v>
      </c>
      <c r="E1006" s="31">
        <f>SUM(E1007:E1009)</f>
        <v>52039.1</v>
      </c>
      <c r="F1006" s="31">
        <f>SUM(F1007:F1009)-0.1</f>
        <v>3151.7999999999997</v>
      </c>
      <c r="G1006" s="31">
        <f>SUM(G1007:G1009)-0.1</f>
        <v>3151.7999999999997</v>
      </c>
    </row>
    <row r="1007" spans="1:7" x14ac:dyDescent="0.25">
      <c r="A1007" s="19" t="s">
        <v>334</v>
      </c>
      <c r="B1007" s="38" t="s">
        <v>1597</v>
      </c>
      <c r="C1007" s="21">
        <v>49306.9</v>
      </c>
      <c r="D1007" s="21">
        <v>49306.9</v>
      </c>
      <c r="E1007" s="21">
        <v>48581.599999999999</v>
      </c>
      <c r="F1007" s="21">
        <v>725.3</v>
      </c>
      <c r="G1007" s="21">
        <v>725.3</v>
      </c>
    </row>
    <row r="1008" spans="1:7" x14ac:dyDescent="0.25">
      <c r="A1008" s="19" t="s">
        <v>935</v>
      </c>
      <c r="B1008" s="38" t="s">
        <v>1598</v>
      </c>
      <c r="C1008" s="21">
        <v>4035.9</v>
      </c>
      <c r="D1008" s="21">
        <v>4035.9</v>
      </c>
      <c r="E1008" s="21">
        <v>2665.3</v>
      </c>
      <c r="F1008" s="21">
        <v>1370.6</v>
      </c>
      <c r="G1008" s="21">
        <v>1370.6</v>
      </c>
    </row>
    <row r="1009" spans="1:7" x14ac:dyDescent="0.25">
      <c r="A1009" s="19" t="s">
        <v>185</v>
      </c>
      <c r="B1009" s="38" t="s">
        <v>1599</v>
      </c>
      <c r="C1009" s="21">
        <v>1848.2</v>
      </c>
      <c r="D1009" s="21">
        <v>1848.2</v>
      </c>
      <c r="E1009" s="21">
        <v>792.2</v>
      </c>
      <c r="F1009" s="21">
        <v>1056</v>
      </c>
      <c r="G1009" s="21">
        <v>1056</v>
      </c>
    </row>
    <row r="1010" spans="1:7" ht="25.5" x14ac:dyDescent="0.25">
      <c r="A1010" s="32"/>
      <c r="B1010" s="40" t="s">
        <v>1600</v>
      </c>
      <c r="C1010" s="33">
        <f>C994+C1006</f>
        <v>385929.6</v>
      </c>
      <c r="D1010" s="33">
        <f>D994+D1006</f>
        <v>385929.6</v>
      </c>
      <c r="E1010" s="33">
        <f>E994+E1006</f>
        <v>347018.50000000006</v>
      </c>
      <c r="F1010" s="33">
        <f>F994+F1006</f>
        <v>38910.9</v>
      </c>
      <c r="G1010" s="33">
        <f>G994+G1006</f>
        <v>38910.9</v>
      </c>
    </row>
  </sheetData>
  <mergeCells count="1252">
    <mergeCell ref="N509:O509"/>
    <mergeCell ref="N545:O545"/>
    <mergeCell ref="N602:O604"/>
    <mergeCell ref="N731:O731"/>
    <mergeCell ref="N733:O733"/>
    <mergeCell ref="N781:O786"/>
    <mergeCell ref="J980:J981"/>
    <mergeCell ref="K980:K981"/>
    <mergeCell ref="L980:L981"/>
    <mergeCell ref="M980:M981"/>
    <mergeCell ref="O980:O981"/>
    <mergeCell ref="N980:N981"/>
    <mergeCell ref="J923:J924"/>
    <mergeCell ref="K923:K924"/>
    <mergeCell ref="L923:L924"/>
    <mergeCell ref="M923:M924"/>
    <mergeCell ref="N923:N924"/>
    <mergeCell ref="O923:O924"/>
    <mergeCell ref="J925:J927"/>
    <mergeCell ref="K925:K927"/>
    <mergeCell ref="L925:L927"/>
    <mergeCell ref="M925:M927"/>
    <mergeCell ref="N925:N927"/>
    <mergeCell ref="O925:O927"/>
    <mergeCell ref="J956:J958"/>
    <mergeCell ref="K956:K958"/>
    <mergeCell ref="L956:L958"/>
    <mergeCell ref="M956:M958"/>
    <mergeCell ref="N956:N958"/>
    <mergeCell ref="O956:O958"/>
    <mergeCell ref="J895:J898"/>
    <mergeCell ref="K895:K898"/>
    <mergeCell ref="L895:L898"/>
    <mergeCell ref="M895:M898"/>
    <mergeCell ref="N895:N898"/>
    <mergeCell ref="O895:O898"/>
    <mergeCell ref="J906:J911"/>
    <mergeCell ref="K906:K911"/>
    <mergeCell ref="L906:L911"/>
    <mergeCell ref="M906:M911"/>
    <mergeCell ref="N906:N911"/>
    <mergeCell ref="O906:O911"/>
    <mergeCell ref="J968:J969"/>
    <mergeCell ref="K968:K969"/>
    <mergeCell ref="L968:L969"/>
    <mergeCell ref="M968:M969"/>
    <mergeCell ref="N968:N969"/>
    <mergeCell ref="O968:O969"/>
    <mergeCell ref="J883:J885"/>
    <mergeCell ref="K883:K885"/>
    <mergeCell ref="L883:L885"/>
    <mergeCell ref="M883:M885"/>
    <mergeCell ref="N932:N938"/>
    <mergeCell ref="N883:N885"/>
    <mergeCell ref="O880:O882"/>
    <mergeCell ref="O883:O885"/>
    <mergeCell ref="N873:N874"/>
    <mergeCell ref="O873:O874"/>
    <mergeCell ref="N863:O865"/>
    <mergeCell ref="J887:J889"/>
    <mergeCell ref="K887:K889"/>
    <mergeCell ref="L887:L889"/>
    <mergeCell ref="M887:M889"/>
    <mergeCell ref="N887:N889"/>
    <mergeCell ref="O887:O889"/>
    <mergeCell ref="J842:J844"/>
    <mergeCell ref="K842:K844"/>
    <mergeCell ref="L842:L844"/>
    <mergeCell ref="M842:M844"/>
    <mergeCell ref="N842:N844"/>
    <mergeCell ref="O842:O844"/>
    <mergeCell ref="J845:J847"/>
    <mergeCell ref="K845:K847"/>
    <mergeCell ref="L845:L847"/>
    <mergeCell ref="M845:M847"/>
    <mergeCell ref="N845:N847"/>
    <mergeCell ref="O845:O847"/>
    <mergeCell ref="J873:J874"/>
    <mergeCell ref="K873:K874"/>
    <mergeCell ref="L873:L874"/>
    <mergeCell ref="M873:M874"/>
    <mergeCell ref="J880:J882"/>
    <mergeCell ref="K880:K882"/>
    <mergeCell ref="L880:L882"/>
    <mergeCell ref="M880:M882"/>
    <mergeCell ref="N880:N882"/>
    <mergeCell ref="L823:L825"/>
    <mergeCell ref="M823:M825"/>
    <mergeCell ref="N823:N825"/>
    <mergeCell ref="O823:O825"/>
    <mergeCell ref="J833:J835"/>
    <mergeCell ref="K833:K835"/>
    <mergeCell ref="L833:L835"/>
    <mergeCell ref="M833:M835"/>
    <mergeCell ref="N832:N835"/>
    <mergeCell ref="O832:O835"/>
    <mergeCell ref="J837:J838"/>
    <mergeCell ref="K837:K838"/>
    <mergeCell ref="L837:L838"/>
    <mergeCell ref="M837:M838"/>
    <mergeCell ref="N836:N838"/>
    <mergeCell ref="O836:O838"/>
    <mergeCell ref="J840:J841"/>
    <mergeCell ref="K840:K841"/>
    <mergeCell ref="L840:L841"/>
    <mergeCell ref="M840:M841"/>
    <mergeCell ref="N839:N841"/>
    <mergeCell ref="O839:O841"/>
    <mergeCell ref="N708:O710"/>
    <mergeCell ref="J719:J720"/>
    <mergeCell ref="K719:K720"/>
    <mergeCell ref="L719:L720"/>
    <mergeCell ref="M719:M720"/>
    <mergeCell ref="N719:N720"/>
    <mergeCell ref="O719:O720"/>
    <mergeCell ref="J723:J725"/>
    <mergeCell ref="J726:J728"/>
    <mergeCell ref="K723:K725"/>
    <mergeCell ref="K726:K728"/>
    <mergeCell ref="L723:L725"/>
    <mergeCell ref="M723:M725"/>
    <mergeCell ref="L726:L728"/>
    <mergeCell ref="M726:M728"/>
    <mergeCell ref="N723:N725"/>
    <mergeCell ref="N726:N728"/>
    <mergeCell ref="O723:O725"/>
    <mergeCell ref="O726:O728"/>
    <mergeCell ref="J711:J716"/>
    <mergeCell ref="K711:K716"/>
    <mergeCell ref="J699:J701"/>
    <mergeCell ref="K699:K701"/>
    <mergeCell ref="L699:L701"/>
    <mergeCell ref="M699:M701"/>
    <mergeCell ref="N699:N701"/>
    <mergeCell ref="O699:O701"/>
    <mergeCell ref="N626:N627"/>
    <mergeCell ref="N628:N629"/>
    <mergeCell ref="N630:N632"/>
    <mergeCell ref="N633:N634"/>
    <mergeCell ref="J705:J707"/>
    <mergeCell ref="K705:K707"/>
    <mergeCell ref="L705:L707"/>
    <mergeCell ref="M705:M707"/>
    <mergeCell ref="N705:N707"/>
    <mergeCell ref="O705:O707"/>
    <mergeCell ref="J658:J660"/>
    <mergeCell ref="K658:K660"/>
    <mergeCell ref="L658:L660"/>
    <mergeCell ref="M658:M660"/>
    <mergeCell ref="N658:N660"/>
    <mergeCell ref="O658:O660"/>
    <mergeCell ref="J633:J634"/>
    <mergeCell ref="K630:K632"/>
    <mergeCell ref="K633:K634"/>
    <mergeCell ref="L626:L627"/>
    <mergeCell ref="M626:M627"/>
    <mergeCell ref="L628:L629"/>
    <mergeCell ref="M628:M629"/>
    <mergeCell ref="L630:L632"/>
    <mergeCell ref="M630:M632"/>
    <mergeCell ref="K512:K515"/>
    <mergeCell ref="L512:L515"/>
    <mergeCell ref="M512:M515"/>
    <mergeCell ref="L670:L671"/>
    <mergeCell ref="M670:M671"/>
    <mergeCell ref="O512:O515"/>
    <mergeCell ref="L633:L634"/>
    <mergeCell ref="M633:M634"/>
    <mergeCell ref="O633:O634"/>
    <mergeCell ref="K595:K597"/>
    <mergeCell ref="L595:L597"/>
    <mergeCell ref="M595:M597"/>
    <mergeCell ref="N595:N597"/>
    <mergeCell ref="N670:N671"/>
    <mergeCell ref="O670:O671"/>
    <mergeCell ref="J610:J613"/>
    <mergeCell ref="K610:K613"/>
    <mergeCell ref="L610:L613"/>
    <mergeCell ref="M610:M613"/>
    <mergeCell ref="N610:N613"/>
    <mergeCell ref="O610:O613"/>
    <mergeCell ref="J619:J621"/>
    <mergeCell ref="K619:K621"/>
    <mergeCell ref="L619:L621"/>
    <mergeCell ref="M619:M621"/>
    <mergeCell ref="N619:N621"/>
    <mergeCell ref="O619:O621"/>
    <mergeCell ref="J622:J623"/>
    <mergeCell ref="J624:J625"/>
    <mergeCell ref="J626:J627"/>
    <mergeCell ref="J628:J629"/>
    <mergeCell ref="J630:J632"/>
    <mergeCell ref="N622:N623"/>
    <mergeCell ref="N624:N625"/>
    <mergeCell ref="O622:O623"/>
    <mergeCell ref="O624:O625"/>
    <mergeCell ref="O626:O627"/>
    <mergeCell ref="O628:O629"/>
    <mergeCell ref="O630:O632"/>
    <mergeCell ref="K622:K623"/>
    <mergeCell ref="K624:K625"/>
    <mergeCell ref="K626:K627"/>
    <mergeCell ref="K628:K629"/>
    <mergeCell ref="L622:L623"/>
    <mergeCell ref="M622:M623"/>
    <mergeCell ref="L624:L625"/>
    <mergeCell ref="M624:M625"/>
    <mergeCell ref="J414:J415"/>
    <mergeCell ref="K414:K415"/>
    <mergeCell ref="L414:L415"/>
    <mergeCell ref="M414:M415"/>
    <mergeCell ref="N414:N415"/>
    <mergeCell ref="O414:O415"/>
    <mergeCell ref="J443:J445"/>
    <mergeCell ref="K443:K445"/>
    <mergeCell ref="L443:L445"/>
    <mergeCell ref="M443:M445"/>
    <mergeCell ref="N443:N445"/>
    <mergeCell ref="O443:O445"/>
    <mergeCell ref="J418:J420"/>
    <mergeCell ref="K418:K420"/>
    <mergeCell ref="K487:K489"/>
    <mergeCell ref="L487:L489"/>
    <mergeCell ref="M487:M489"/>
    <mergeCell ref="N487:N489"/>
    <mergeCell ref="O487:O489"/>
    <mergeCell ref="L418:L420"/>
    <mergeCell ref="M418:M420"/>
    <mergeCell ref="J425:J427"/>
    <mergeCell ref="K425:K427"/>
    <mergeCell ref="L425:L427"/>
    <mergeCell ref="M425:M427"/>
    <mergeCell ref="N425:N427"/>
    <mergeCell ref="J435:J437"/>
    <mergeCell ref="K435:K437"/>
    <mergeCell ref="L435:L437"/>
    <mergeCell ref="J457:J459"/>
    <mergeCell ref="K457:K459"/>
    <mergeCell ref="J460:J462"/>
    <mergeCell ref="N377:N379"/>
    <mergeCell ref="O377:O379"/>
    <mergeCell ref="J389:J391"/>
    <mergeCell ref="K389:K391"/>
    <mergeCell ref="L389:L391"/>
    <mergeCell ref="M389:M391"/>
    <mergeCell ref="N389:N391"/>
    <mergeCell ref="O389:O391"/>
    <mergeCell ref="J382:J383"/>
    <mergeCell ref="K382:K383"/>
    <mergeCell ref="L382:L383"/>
    <mergeCell ref="M382:M383"/>
    <mergeCell ref="N382:N383"/>
    <mergeCell ref="O382:O383"/>
    <mergeCell ref="J384:J386"/>
    <mergeCell ref="K384:K386"/>
    <mergeCell ref="L384:L386"/>
    <mergeCell ref="M384:M386"/>
    <mergeCell ref="N384:N386"/>
    <mergeCell ref="O384:O386"/>
    <mergeCell ref="J377:J379"/>
    <mergeCell ref="K377:K379"/>
    <mergeCell ref="L377:L379"/>
    <mergeCell ref="M377:M379"/>
    <mergeCell ref="O345:O347"/>
    <mergeCell ref="J356:J358"/>
    <mergeCell ref="K356:K358"/>
    <mergeCell ref="L356:L358"/>
    <mergeCell ref="M356:M358"/>
    <mergeCell ref="N356:N358"/>
    <mergeCell ref="O356:O358"/>
    <mergeCell ref="O350:O355"/>
    <mergeCell ref="J360:J363"/>
    <mergeCell ref="K360:K363"/>
    <mergeCell ref="L360:L363"/>
    <mergeCell ref="M360:M363"/>
    <mergeCell ref="N360:N363"/>
    <mergeCell ref="O360:O363"/>
    <mergeCell ref="O366:O368"/>
    <mergeCell ref="J369:J371"/>
    <mergeCell ref="M374:M376"/>
    <mergeCell ref="M345:M347"/>
    <mergeCell ref="N345:N347"/>
    <mergeCell ref="N374:N376"/>
    <mergeCell ref="J366:J368"/>
    <mergeCell ref="K366:K368"/>
    <mergeCell ref="L366:L368"/>
    <mergeCell ref="M366:M368"/>
    <mergeCell ref="N366:N368"/>
    <mergeCell ref="O374:O376"/>
    <mergeCell ref="O369:O371"/>
    <mergeCell ref="J374:J376"/>
    <mergeCell ref="K374:K376"/>
    <mergeCell ref="L374:L376"/>
    <mergeCell ref="N94:N95"/>
    <mergeCell ref="O94:O95"/>
    <mergeCell ref="N99:N100"/>
    <mergeCell ref="O99:O100"/>
    <mergeCell ref="N109:O109"/>
    <mergeCell ref="J127:J129"/>
    <mergeCell ref="K127:K129"/>
    <mergeCell ref="L127:L129"/>
    <mergeCell ref="M127:M129"/>
    <mergeCell ref="N127:N129"/>
    <mergeCell ref="O127:O129"/>
    <mergeCell ref="K339:K341"/>
    <mergeCell ref="L339:L341"/>
    <mergeCell ref="M339:M341"/>
    <mergeCell ref="N339:N341"/>
    <mergeCell ref="O339:O341"/>
    <mergeCell ref="J342:J344"/>
    <mergeCell ref="K342:K344"/>
    <mergeCell ref="L342:L344"/>
    <mergeCell ref="M342:M344"/>
    <mergeCell ref="N342:N344"/>
    <mergeCell ref="O342:O344"/>
    <mergeCell ref="J124:J126"/>
    <mergeCell ref="K124:K126"/>
    <mergeCell ref="L124:L126"/>
    <mergeCell ref="M124:M126"/>
    <mergeCell ref="N124:N126"/>
    <mergeCell ref="O124:O126"/>
    <mergeCell ref="J167:J168"/>
    <mergeCell ref="K167:K168"/>
    <mergeCell ref="L167:L168"/>
    <mergeCell ref="M167:M168"/>
    <mergeCell ref="M336:M338"/>
    <mergeCell ref="N336:N338"/>
    <mergeCell ref="O336:O338"/>
    <mergeCell ref="J339:J341"/>
    <mergeCell ref="N199:O199"/>
    <mergeCell ref="N232:N234"/>
    <mergeCell ref="O232:O234"/>
    <mergeCell ref="K300:K301"/>
    <mergeCell ref="L300:L301"/>
    <mergeCell ref="O258:O259"/>
    <mergeCell ref="O308:O309"/>
    <mergeCell ref="M203:M205"/>
    <mergeCell ref="N311:N313"/>
    <mergeCell ref="O311:O313"/>
    <mergeCell ref="O254:O257"/>
    <mergeCell ref="O251:O252"/>
    <mergeCell ref="J249:J250"/>
    <mergeCell ref="K249:K250"/>
    <mergeCell ref="L249:L250"/>
    <mergeCell ref="M249:M250"/>
    <mergeCell ref="N249:N250"/>
    <mergeCell ref="O249:O250"/>
    <mergeCell ref="J317:J319"/>
    <mergeCell ref="K317:K319"/>
    <mergeCell ref="L317:L319"/>
    <mergeCell ref="M317:M319"/>
    <mergeCell ref="N317:N319"/>
    <mergeCell ref="O317:O319"/>
    <mergeCell ref="N269:O269"/>
    <mergeCell ref="K814:K818"/>
    <mergeCell ref="L814:L818"/>
    <mergeCell ref="M814:M818"/>
    <mergeCell ref="N814:N818"/>
    <mergeCell ref="O814:O818"/>
    <mergeCell ref="J798:J799"/>
    <mergeCell ref="K798:K799"/>
    <mergeCell ref="L798:L799"/>
    <mergeCell ref="M798:M799"/>
    <mergeCell ref="N798:N799"/>
    <mergeCell ref="O798:O799"/>
    <mergeCell ref="J806:J807"/>
    <mergeCell ref="K806:K807"/>
    <mergeCell ref="L806:L807"/>
    <mergeCell ref="M806:M807"/>
    <mergeCell ref="N806:N807"/>
    <mergeCell ref="O806:O807"/>
    <mergeCell ref="J808:J810"/>
    <mergeCell ref="K808:K810"/>
    <mergeCell ref="L808:L810"/>
    <mergeCell ref="M808:M810"/>
    <mergeCell ref="J811:J813"/>
    <mergeCell ref="K811:K813"/>
    <mergeCell ref="L811:L813"/>
    <mergeCell ref="M811:M813"/>
    <mergeCell ref="N811:N813"/>
    <mergeCell ref="O811:O813"/>
    <mergeCell ref="N808:N810"/>
    <mergeCell ref="O808:O810"/>
    <mergeCell ref="L772:L775"/>
    <mergeCell ref="B805:B807"/>
    <mergeCell ref="A808:A810"/>
    <mergeCell ref="B808:B810"/>
    <mergeCell ref="A811:A813"/>
    <mergeCell ref="B811:B813"/>
    <mergeCell ref="A814:A818"/>
    <mergeCell ref="B814:B818"/>
    <mergeCell ref="A819:A822"/>
    <mergeCell ref="B819:B822"/>
    <mergeCell ref="A823:A825"/>
    <mergeCell ref="B823:B825"/>
    <mergeCell ref="B858:B859"/>
    <mergeCell ref="A860:A862"/>
    <mergeCell ref="A826:A831"/>
    <mergeCell ref="B826:B831"/>
    <mergeCell ref="B832:B835"/>
    <mergeCell ref="A836:A838"/>
    <mergeCell ref="B836:B838"/>
    <mergeCell ref="A839:A841"/>
    <mergeCell ref="B839:B841"/>
    <mergeCell ref="A842:A844"/>
    <mergeCell ref="B842:B844"/>
    <mergeCell ref="A845:A847"/>
    <mergeCell ref="B845:B847"/>
    <mergeCell ref="A852:A854"/>
    <mergeCell ref="B852:B854"/>
    <mergeCell ref="J820:J822"/>
    <mergeCell ref="K820:K822"/>
    <mergeCell ref="L820:L822"/>
    <mergeCell ref="M820:M822"/>
    <mergeCell ref="N820:N822"/>
    <mergeCell ref="O820:O822"/>
    <mergeCell ref="J823:J825"/>
    <mergeCell ref="K823:K825"/>
    <mergeCell ref="K460:K462"/>
    <mergeCell ref="J670:J671"/>
    <mergeCell ref="K670:K671"/>
    <mergeCell ref="J605:J607"/>
    <mergeCell ref="K605:K607"/>
    <mergeCell ref="J768:J771"/>
    <mergeCell ref="K768:K771"/>
    <mergeCell ref="J730:O730"/>
    <mergeCell ref="J772:J775"/>
    <mergeCell ref="K772:K775"/>
    <mergeCell ref="N768:N771"/>
    <mergeCell ref="O768:O771"/>
    <mergeCell ref="N605:N607"/>
    <mergeCell ref="O605:O607"/>
    <mergeCell ref="J569:J571"/>
    <mergeCell ref="K569:K571"/>
    <mergeCell ref="L569:L571"/>
    <mergeCell ref="M569:M571"/>
    <mergeCell ref="N569:N571"/>
    <mergeCell ref="O569:O571"/>
    <mergeCell ref="J595:J597"/>
    <mergeCell ref="J814:J818"/>
    <mergeCell ref="M467:M469"/>
    <mergeCell ref="N467:N469"/>
    <mergeCell ref="M772:M775"/>
    <mergeCell ref="N772:N775"/>
    <mergeCell ref="O772:O775"/>
    <mergeCell ref="N512:N515"/>
    <mergeCell ref="A922:A924"/>
    <mergeCell ref="B922:B924"/>
    <mergeCell ref="A866:A874"/>
    <mergeCell ref="B866:B874"/>
    <mergeCell ref="A880:A882"/>
    <mergeCell ref="B880:B882"/>
    <mergeCell ref="A883:A885"/>
    <mergeCell ref="B883:B885"/>
    <mergeCell ref="A887:A889"/>
    <mergeCell ref="B887:B889"/>
    <mergeCell ref="A890:A898"/>
    <mergeCell ref="B890:B898"/>
    <mergeCell ref="A899:A901"/>
    <mergeCell ref="B899:B901"/>
    <mergeCell ref="A903:A911"/>
    <mergeCell ref="B903:B911"/>
    <mergeCell ref="A920:A921"/>
    <mergeCell ref="A863:A865"/>
    <mergeCell ref="B863:B865"/>
    <mergeCell ref="B920:B921"/>
    <mergeCell ref="N852:N854"/>
    <mergeCell ref="D852:D854"/>
    <mergeCell ref="E852:E854"/>
    <mergeCell ref="F852:F854"/>
    <mergeCell ref="G852:G854"/>
    <mergeCell ref="H852:H854"/>
    <mergeCell ref="I852:I854"/>
    <mergeCell ref="A832:A835"/>
    <mergeCell ref="C863:C865"/>
    <mergeCell ref="D863:D865"/>
    <mergeCell ref="E863:E865"/>
    <mergeCell ref="F863:F865"/>
    <mergeCell ref="G863:G865"/>
    <mergeCell ref="H863:H865"/>
    <mergeCell ref="I863:I865"/>
    <mergeCell ref="A856:A857"/>
    <mergeCell ref="B856:B857"/>
    <mergeCell ref="A858:A859"/>
    <mergeCell ref="C852:C854"/>
    <mergeCell ref="B860:B862"/>
    <mergeCell ref="A776:A779"/>
    <mergeCell ref="B776:B779"/>
    <mergeCell ref="A781:A786"/>
    <mergeCell ref="B781:B786"/>
    <mergeCell ref="C781:C786"/>
    <mergeCell ref="D781:D786"/>
    <mergeCell ref="E781:E786"/>
    <mergeCell ref="F781:F786"/>
    <mergeCell ref="G781:G786"/>
    <mergeCell ref="H781:H786"/>
    <mergeCell ref="I781:I786"/>
    <mergeCell ref="A787:A793"/>
    <mergeCell ref="B787:B793"/>
    <mergeCell ref="A794:A796"/>
    <mergeCell ref="B794:B796"/>
    <mergeCell ref="A797:A799"/>
    <mergeCell ref="B797:B799"/>
    <mergeCell ref="A800:A803"/>
    <mergeCell ref="B800:B803"/>
    <mergeCell ref="A805:A807"/>
    <mergeCell ref="H731:H733"/>
    <mergeCell ref="I731:I733"/>
    <mergeCell ref="A734:A740"/>
    <mergeCell ref="B734:B740"/>
    <mergeCell ref="A742:A745"/>
    <mergeCell ref="A746:A752"/>
    <mergeCell ref="B742:B745"/>
    <mergeCell ref="B746:B752"/>
    <mergeCell ref="A753:A760"/>
    <mergeCell ref="B753:B760"/>
    <mergeCell ref="A761:A762"/>
    <mergeCell ref="B761:B762"/>
    <mergeCell ref="A763:A765"/>
    <mergeCell ref="B763:B765"/>
    <mergeCell ref="A768:A771"/>
    <mergeCell ref="B768:B771"/>
    <mergeCell ref="A772:A775"/>
    <mergeCell ref="B772:B775"/>
    <mergeCell ref="A711:A716"/>
    <mergeCell ref="B711:B716"/>
    <mergeCell ref="A719:A720"/>
    <mergeCell ref="B719:B720"/>
    <mergeCell ref="A721:A722"/>
    <mergeCell ref="B721:B722"/>
    <mergeCell ref="A723:A725"/>
    <mergeCell ref="B723:B725"/>
    <mergeCell ref="A726:A728"/>
    <mergeCell ref="B726:B728"/>
    <mergeCell ref="A731:A733"/>
    <mergeCell ref="B731:B733"/>
    <mergeCell ref="C731:C733"/>
    <mergeCell ref="D731:D733"/>
    <mergeCell ref="E731:E733"/>
    <mergeCell ref="F731:F733"/>
    <mergeCell ref="G731:G733"/>
    <mergeCell ref="A688:A693"/>
    <mergeCell ref="B688:B693"/>
    <mergeCell ref="A696:A698"/>
    <mergeCell ref="B696:B698"/>
    <mergeCell ref="A694:A695"/>
    <mergeCell ref="B694:B695"/>
    <mergeCell ref="A699:A701"/>
    <mergeCell ref="B699:B701"/>
    <mergeCell ref="A702:A704"/>
    <mergeCell ref="A705:A707"/>
    <mergeCell ref="B702:B704"/>
    <mergeCell ref="B705:B707"/>
    <mergeCell ref="A708:A710"/>
    <mergeCell ref="B708:B710"/>
    <mergeCell ref="C708:C710"/>
    <mergeCell ref="D708:D710"/>
    <mergeCell ref="E708:E710"/>
    <mergeCell ref="F708:F710"/>
    <mergeCell ref="G708:G710"/>
    <mergeCell ref="H708:H710"/>
    <mergeCell ref="I708:I710"/>
    <mergeCell ref="J663:O663"/>
    <mergeCell ref="A664:A665"/>
    <mergeCell ref="B664:B665"/>
    <mergeCell ref="C664:C665"/>
    <mergeCell ref="D664:D665"/>
    <mergeCell ref="E664:E665"/>
    <mergeCell ref="F664:F665"/>
    <mergeCell ref="G664:G665"/>
    <mergeCell ref="H664:H665"/>
    <mergeCell ref="I664:I665"/>
    <mergeCell ref="A666:A671"/>
    <mergeCell ref="B666:B671"/>
    <mergeCell ref="A673:A675"/>
    <mergeCell ref="B673:B675"/>
    <mergeCell ref="A676:A678"/>
    <mergeCell ref="B676:B678"/>
    <mergeCell ref="A679:A687"/>
    <mergeCell ref="B679:B687"/>
    <mergeCell ref="J674:J675"/>
    <mergeCell ref="K674:K675"/>
    <mergeCell ref="L674:L675"/>
    <mergeCell ref="M674:M675"/>
    <mergeCell ref="N674:N675"/>
    <mergeCell ref="O674:O675"/>
    <mergeCell ref="J677:J678"/>
    <mergeCell ref="K677:K678"/>
    <mergeCell ref="L677:L678"/>
    <mergeCell ref="M677:M678"/>
    <mergeCell ref="A619:A621"/>
    <mergeCell ref="B619:B621"/>
    <mergeCell ref="A622:A623"/>
    <mergeCell ref="B622:B623"/>
    <mergeCell ref="F602:F604"/>
    <mergeCell ref="A624:A625"/>
    <mergeCell ref="B624:B625"/>
    <mergeCell ref="A626:A627"/>
    <mergeCell ref="B626:B627"/>
    <mergeCell ref="A628:A629"/>
    <mergeCell ref="B628:B629"/>
    <mergeCell ref="A630:A632"/>
    <mergeCell ref="B630:B632"/>
    <mergeCell ref="A633:A634"/>
    <mergeCell ref="B633:B634"/>
    <mergeCell ref="A658:A660"/>
    <mergeCell ref="B658:B660"/>
    <mergeCell ref="A605:A607"/>
    <mergeCell ref="B605:B607"/>
    <mergeCell ref="A608:A609"/>
    <mergeCell ref="B608:B609"/>
    <mergeCell ref="A595:A597"/>
    <mergeCell ref="B595:B597"/>
    <mergeCell ref="A598:A601"/>
    <mergeCell ref="B598:B601"/>
    <mergeCell ref="A602:A604"/>
    <mergeCell ref="B602:B604"/>
    <mergeCell ref="C602:C604"/>
    <mergeCell ref="D602:D604"/>
    <mergeCell ref="E602:E604"/>
    <mergeCell ref="A610:A613"/>
    <mergeCell ref="B610:B613"/>
    <mergeCell ref="A617:A618"/>
    <mergeCell ref="B617:B618"/>
    <mergeCell ref="A559:A564"/>
    <mergeCell ref="B559:B564"/>
    <mergeCell ref="A565:A568"/>
    <mergeCell ref="B565:B568"/>
    <mergeCell ref="A569:A571"/>
    <mergeCell ref="B569:B571"/>
    <mergeCell ref="A572:A583"/>
    <mergeCell ref="B572:B583"/>
    <mergeCell ref="A584:A589"/>
    <mergeCell ref="B584:B589"/>
    <mergeCell ref="A590:A591"/>
    <mergeCell ref="B590:B591"/>
    <mergeCell ref="A592:A593"/>
    <mergeCell ref="B592:B593"/>
    <mergeCell ref="D508:D509"/>
    <mergeCell ref="E508:E509"/>
    <mergeCell ref="F508:F509"/>
    <mergeCell ref="G508:G509"/>
    <mergeCell ref="H508:H509"/>
    <mergeCell ref="I508:I509"/>
    <mergeCell ref="A510:A515"/>
    <mergeCell ref="B510:B515"/>
    <mergeCell ref="A516:A518"/>
    <mergeCell ref="B516:B518"/>
    <mergeCell ref="A520:A528"/>
    <mergeCell ref="B520:B528"/>
    <mergeCell ref="G602:G604"/>
    <mergeCell ref="H602:H604"/>
    <mergeCell ref="I602:I604"/>
    <mergeCell ref="A529:A530"/>
    <mergeCell ref="B529:B530"/>
    <mergeCell ref="A535:A538"/>
    <mergeCell ref="B535:B538"/>
    <mergeCell ref="C535:C538"/>
    <mergeCell ref="D535:D538"/>
    <mergeCell ref="E535:E538"/>
    <mergeCell ref="F535:F538"/>
    <mergeCell ref="G535:G538"/>
    <mergeCell ref="H535:H538"/>
    <mergeCell ref="I535:I538"/>
    <mergeCell ref="A540:A543"/>
    <mergeCell ref="B540:B543"/>
    <mergeCell ref="A546:A554"/>
    <mergeCell ref="B546:B554"/>
    <mergeCell ref="A555:A558"/>
    <mergeCell ref="B555:B558"/>
    <mergeCell ref="A480:A482"/>
    <mergeCell ref="B480:B482"/>
    <mergeCell ref="A483:A484"/>
    <mergeCell ref="B483:B484"/>
    <mergeCell ref="A485:A486"/>
    <mergeCell ref="B485:B486"/>
    <mergeCell ref="A487:A489"/>
    <mergeCell ref="B487:B489"/>
    <mergeCell ref="A490:A492"/>
    <mergeCell ref="B490:B492"/>
    <mergeCell ref="A493:A502"/>
    <mergeCell ref="B493:B502"/>
    <mergeCell ref="A503:A506"/>
    <mergeCell ref="B503:B506"/>
    <mergeCell ref="A508:A509"/>
    <mergeCell ref="B508:B509"/>
    <mergeCell ref="C508:C509"/>
    <mergeCell ref="G464:G466"/>
    <mergeCell ref="H464:H466"/>
    <mergeCell ref="I464:I466"/>
    <mergeCell ref="J449:J452"/>
    <mergeCell ref="K449:K452"/>
    <mergeCell ref="L449:L452"/>
    <mergeCell ref="M449:M452"/>
    <mergeCell ref="N449:N452"/>
    <mergeCell ref="O449:O452"/>
    <mergeCell ref="A443:A445"/>
    <mergeCell ref="A467:A469"/>
    <mergeCell ref="B467:B469"/>
    <mergeCell ref="A470:A472"/>
    <mergeCell ref="B470:B472"/>
    <mergeCell ref="A473:A474"/>
    <mergeCell ref="B473:B474"/>
    <mergeCell ref="L453:L456"/>
    <mergeCell ref="M453:M456"/>
    <mergeCell ref="N453:N456"/>
    <mergeCell ref="O453:O456"/>
    <mergeCell ref="L457:L459"/>
    <mergeCell ref="M457:M459"/>
    <mergeCell ref="N457:N459"/>
    <mergeCell ref="O457:O459"/>
    <mergeCell ref="L460:L462"/>
    <mergeCell ref="M460:M462"/>
    <mergeCell ref="N460:N462"/>
    <mergeCell ref="O460:O462"/>
    <mergeCell ref="J467:J469"/>
    <mergeCell ref="K467:K469"/>
    <mergeCell ref="L467:L469"/>
    <mergeCell ref="J453:J456"/>
    <mergeCell ref="A6:A8"/>
    <mergeCell ref="B6:B8"/>
    <mergeCell ref="C6:C8"/>
    <mergeCell ref="D7:D8"/>
    <mergeCell ref="E7:E8"/>
    <mergeCell ref="F6:F8"/>
    <mergeCell ref="G7:G8"/>
    <mergeCell ref="H7:H8"/>
    <mergeCell ref="J7:J8"/>
    <mergeCell ref="K7:K8"/>
    <mergeCell ref="N7:N8"/>
    <mergeCell ref="O7:O8"/>
    <mergeCell ref="D6:E6"/>
    <mergeCell ref="G6:H6"/>
    <mergeCell ref="J6:O6"/>
    <mergeCell ref="I6:I8"/>
    <mergeCell ref="L7:M7"/>
    <mergeCell ref="A3:O3"/>
    <mergeCell ref="C993:D993"/>
    <mergeCell ref="F993:G993"/>
    <mergeCell ref="A27:A29"/>
    <mergeCell ref="B27:B29"/>
    <mergeCell ref="J42:O42"/>
    <mergeCell ref="A45:A47"/>
    <mergeCell ref="B45:B47"/>
    <mergeCell ref="A48:A50"/>
    <mergeCell ref="B48:B50"/>
    <mergeCell ref="N45:N47"/>
    <mergeCell ref="A387:A391"/>
    <mergeCell ref="B387:B391"/>
    <mergeCell ref="A394:A395"/>
    <mergeCell ref="B394:B395"/>
    <mergeCell ref="A397:A401"/>
    <mergeCell ref="B397:B401"/>
    <mergeCell ref="A402:A403"/>
    <mergeCell ref="B30:B36"/>
    <mergeCell ref="B443:B445"/>
    <mergeCell ref="A449:A452"/>
    <mergeCell ref="B449:B452"/>
    <mergeCell ref="A453:A456"/>
    <mergeCell ref="B453:B456"/>
    <mergeCell ref="A457:A459"/>
    <mergeCell ref="B457:B459"/>
    <mergeCell ref="A460:A462"/>
    <mergeCell ref="B460:B462"/>
    <mergeCell ref="J463:O463"/>
    <mergeCell ref="A464:A466"/>
    <mergeCell ref="A38:A39"/>
    <mergeCell ref="B38:B39"/>
    <mergeCell ref="N20:N23"/>
    <mergeCell ref="O20:O23"/>
    <mergeCell ref="A20:A23"/>
    <mergeCell ref="B20:B23"/>
    <mergeCell ref="A24:A26"/>
    <mergeCell ref="B24:B26"/>
    <mergeCell ref="N38:N39"/>
    <mergeCell ref="O38:O39"/>
    <mergeCell ref="A11:A17"/>
    <mergeCell ref="B11:B17"/>
    <mergeCell ref="A18:A19"/>
    <mergeCell ref="B18:B19"/>
    <mergeCell ref="N10:O10"/>
    <mergeCell ref="J9:O9"/>
    <mergeCell ref="A30:A36"/>
    <mergeCell ref="N28:N29"/>
    <mergeCell ref="O28:O29"/>
    <mergeCell ref="J20:J23"/>
    <mergeCell ref="K20:K23"/>
    <mergeCell ref="L20:L23"/>
    <mergeCell ref="M20:M23"/>
    <mergeCell ref="J28:J29"/>
    <mergeCell ref="K28:K29"/>
    <mergeCell ref="L28:L29"/>
    <mergeCell ref="M28:M29"/>
    <mergeCell ref="O24:O26"/>
    <mergeCell ref="A71:A76"/>
    <mergeCell ref="B71:B76"/>
    <mergeCell ref="J73:J76"/>
    <mergeCell ref="K73:K76"/>
    <mergeCell ref="L73:L76"/>
    <mergeCell ref="A62:A66"/>
    <mergeCell ref="B62:B66"/>
    <mergeCell ref="A69:A70"/>
    <mergeCell ref="B69:B70"/>
    <mergeCell ref="N69:N70"/>
    <mergeCell ref="O69:O70"/>
    <mergeCell ref="O45:O47"/>
    <mergeCell ref="A52:A54"/>
    <mergeCell ref="B52:B54"/>
    <mergeCell ref="A55:A57"/>
    <mergeCell ref="B55:B57"/>
    <mergeCell ref="N55:N57"/>
    <mergeCell ref="O55:O57"/>
    <mergeCell ref="N67:N68"/>
    <mergeCell ref="O67:O68"/>
    <mergeCell ref="J45:J47"/>
    <mergeCell ref="K45:K47"/>
    <mergeCell ref="L45:L47"/>
    <mergeCell ref="M45:M47"/>
    <mergeCell ref="J55:J57"/>
    <mergeCell ref="K55:K57"/>
    <mergeCell ref="L55:L57"/>
    <mergeCell ref="M55:M57"/>
    <mergeCell ref="A67:A68"/>
    <mergeCell ref="B67:B68"/>
    <mergeCell ref="C67:C68"/>
    <mergeCell ref="E67:E68"/>
    <mergeCell ref="F67:F68"/>
    <mergeCell ref="A404:A406"/>
    <mergeCell ref="O982:O984"/>
    <mergeCell ref="A977:A981"/>
    <mergeCell ref="B977:B981"/>
    <mergeCell ref="A982:A984"/>
    <mergeCell ref="B982:B984"/>
    <mergeCell ref="J982:J984"/>
    <mergeCell ref="A967:A969"/>
    <mergeCell ref="B967:B969"/>
    <mergeCell ref="A971:A973"/>
    <mergeCell ref="B971:B973"/>
    <mergeCell ref="A974:A976"/>
    <mergeCell ref="B974:B976"/>
    <mergeCell ref="A932:A938"/>
    <mergeCell ref="B932:B938"/>
    <mergeCell ref="A939:A944"/>
    <mergeCell ref="B939:B944"/>
    <mergeCell ref="A945:A950"/>
    <mergeCell ref="B945:B950"/>
    <mergeCell ref="O932:O938"/>
    <mergeCell ref="F929:F931"/>
    <mergeCell ref="G929:G931"/>
    <mergeCell ref="H929:H931"/>
    <mergeCell ref="J405:J406"/>
    <mergeCell ref="K405:K406"/>
    <mergeCell ref="L405:L406"/>
    <mergeCell ref="M405:M406"/>
    <mergeCell ref="B464:B466"/>
    <mergeCell ref="C464:C466"/>
    <mergeCell ref="O78:O80"/>
    <mergeCell ref="D464:D466"/>
    <mergeCell ref="E464:E466"/>
    <mergeCell ref="F464:F466"/>
    <mergeCell ref="A985:A987"/>
    <mergeCell ref="B985:B987"/>
    <mergeCell ref="A929:A931"/>
    <mergeCell ref="B929:B931"/>
    <mergeCell ref="C929:C931"/>
    <mergeCell ref="K982:K984"/>
    <mergeCell ref="L982:L984"/>
    <mergeCell ref="M982:M984"/>
    <mergeCell ref="N982:N984"/>
    <mergeCell ref="A965:A966"/>
    <mergeCell ref="B965:B966"/>
    <mergeCell ref="C965:C966"/>
    <mergeCell ref="D965:D966"/>
    <mergeCell ref="E965:E966"/>
    <mergeCell ref="F965:F966"/>
    <mergeCell ref="G965:G966"/>
    <mergeCell ref="H965:H966"/>
    <mergeCell ref="I965:I966"/>
    <mergeCell ref="A953:A954"/>
    <mergeCell ref="B953:B954"/>
    <mergeCell ref="A956:A958"/>
    <mergeCell ref="B956:B958"/>
    <mergeCell ref="A963:A964"/>
    <mergeCell ref="B963:B964"/>
    <mergeCell ref="I929:I931"/>
    <mergeCell ref="J932:J938"/>
    <mergeCell ref="K932:K938"/>
    <mergeCell ref="L932:L938"/>
    <mergeCell ref="M932:M938"/>
    <mergeCell ref="D929:D931"/>
    <mergeCell ref="E929:E931"/>
    <mergeCell ref="A99:A100"/>
    <mergeCell ref="B99:B100"/>
    <mergeCell ref="A124:A126"/>
    <mergeCell ref="A127:A129"/>
    <mergeCell ref="B124:B126"/>
    <mergeCell ref="B127:B129"/>
    <mergeCell ref="J928:O928"/>
    <mergeCell ref="A925:A927"/>
    <mergeCell ref="B925:B927"/>
    <mergeCell ref="B416:B417"/>
    <mergeCell ref="A408:A409"/>
    <mergeCell ref="B408:B409"/>
    <mergeCell ref="C408:C409"/>
    <mergeCell ref="D408:D409"/>
    <mergeCell ref="E408:E409"/>
    <mergeCell ref="F408:F409"/>
    <mergeCell ref="G408:G409"/>
    <mergeCell ref="H408:H409"/>
    <mergeCell ref="I408:I409"/>
    <mergeCell ref="A413:A415"/>
    <mergeCell ref="A424:A427"/>
    <mergeCell ref="B424:B427"/>
    <mergeCell ref="A430:A431"/>
    <mergeCell ref="B430:B431"/>
    <mergeCell ref="A432:A434"/>
    <mergeCell ref="B432:B434"/>
    <mergeCell ref="B413:B415"/>
    <mergeCell ref="A416:A417"/>
    <mergeCell ref="B404:B406"/>
    <mergeCell ref="N203:N205"/>
    <mergeCell ref="M232:M234"/>
    <mergeCell ref="G67:G68"/>
    <mergeCell ref="H67:H68"/>
    <mergeCell ref="I67:I68"/>
    <mergeCell ref="O73:O76"/>
    <mergeCell ref="A78:A80"/>
    <mergeCell ref="B78:B80"/>
    <mergeCell ref="J78:J80"/>
    <mergeCell ref="K78:K80"/>
    <mergeCell ref="L78:L80"/>
    <mergeCell ref="M78:M80"/>
    <mergeCell ref="N78:N80"/>
    <mergeCell ref="A418:A420"/>
    <mergeCell ref="B418:B420"/>
    <mergeCell ref="A421:A423"/>
    <mergeCell ref="B421:B423"/>
    <mergeCell ref="M87:M90"/>
    <mergeCell ref="N87:N90"/>
    <mergeCell ref="O87:O90"/>
    <mergeCell ref="A83:A86"/>
    <mergeCell ref="B83:B86"/>
    <mergeCell ref="M73:M76"/>
    <mergeCell ref="N73:N76"/>
    <mergeCell ref="A94:A95"/>
    <mergeCell ref="B94:B95"/>
    <mergeCell ref="K87:K90"/>
    <mergeCell ref="L87:L90"/>
    <mergeCell ref="A87:A90"/>
    <mergeCell ref="B87:B90"/>
    <mergeCell ref="J87:J90"/>
    <mergeCell ref="A130:A131"/>
    <mergeCell ref="D67:D68"/>
    <mergeCell ref="B130:B131"/>
    <mergeCell ref="N136:O136"/>
    <mergeCell ref="A137:A138"/>
    <mergeCell ref="B137:B138"/>
    <mergeCell ref="A163:A164"/>
    <mergeCell ref="B163:B164"/>
    <mergeCell ref="A166:A168"/>
    <mergeCell ref="B166:B168"/>
    <mergeCell ref="A435:A437"/>
    <mergeCell ref="B435:B437"/>
    <mergeCell ref="A438:A441"/>
    <mergeCell ref="B438:B441"/>
    <mergeCell ref="A155:A157"/>
    <mergeCell ref="B155:B157"/>
    <mergeCell ref="A158:A160"/>
    <mergeCell ref="B158:B160"/>
    <mergeCell ref="A200:A202"/>
    <mergeCell ref="B200:B202"/>
    <mergeCell ref="A223:A226"/>
    <mergeCell ref="B223:B226"/>
    <mergeCell ref="A227:A231"/>
    <mergeCell ref="B227:B231"/>
    <mergeCell ref="A232:A234"/>
    <mergeCell ref="B232:B234"/>
    <mergeCell ref="A243:A244"/>
    <mergeCell ref="B243:B244"/>
    <mergeCell ref="A245:A248"/>
    <mergeCell ref="B245:B248"/>
    <mergeCell ref="A249:A250"/>
    <mergeCell ref="B249:B250"/>
    <mergeCell ref="A270:A272"/>
    <mergeCell ref="A207:A209"/>
    <mergeCell ref="B207:B209"/>
    <mergeCell ref="A203:A205"/>
    <mergeCell ref="B203:B205"/>
    <mergeCell ref="J203:J205"/>
    <mergeCell ref="K203:K205"/>
    <mergeCell ref="L203:L205"/>
    <mergeCell ref="M213:M214"/>
    <mergeCell ref="N213:N214"/>
    <mergeCell ref="J169:O169"/>
    <mergeCell ref="K158:K160"/>
    <mergeCell ref="L158:L160"/>
    <mergeCell ref="M158:M160"/>
    <mergeCell ref="N158:N160"/>
    <mergeCell ref="O158:O160"/>
    <mergeCell ref="A188:A191"/>
    <mergeCell ref="B188:B191"/>
    <mergeCell ref="F170:F176"/>
    <mergeCell ref="G170:G176"/>
    <mergeCell ref="H170:H176"/>
    <mergeCell ref="I170:I176"/>
    <mergeCell ref="A177:A185"/>
    <mergeCell ref="B177:B185"/>
    <mergeCell ref="A170:A176"/>
    <mergeCell ref="B170:B176"/>
    <mergeCell ref="C170:C176"/>
    <mergeCell ref="D170:D176"/>
    <mergeCell ref="E170:E176"/>
    <mergeCell ref="J158:J160"/>
    <mergeCell ref="N167:N168"/>
    <mergeCell ref="O167:O168"/>
    <mergeCell ref="O203:O205"/>
    <mergeCell ref="A238:A241"/>
    <mergeCell ref="B238:B241"/>
    <mergeCell ref="A235:A237"/>
    <mergeCell ref="B235:B237"/>
    <mergeCell ref="J232:J234"/>
    <mergeCell ref="K232:K234"/>
    <mergeCell ref="L232:L234"/>
    <mergeCell ref="K254:K257"/>
    <mergeCell ref="L254:L257"/>
    <mergeCell ref="J251:J252"/>
    <mergeCell ref="K251:K252"/>
    <mergeCell ref="L251:L252"/>
    <mergeCell ref="A215:A217"/>
    <mergeCell ref="B215:B217"/>
    <mergeCell ref="A213:A214"/>
    <mergeCell ref="B213:B214"/>
    <mergeCell ref="J213:J214"/>
    <mergeCell ref="K213:K214"/>
    <mergeCell ref="L213:L214"/>
    <mergeCell ref="J218:O218"/>
    <mergeCell ref="A219:A222"/>
    <mergeCell ref="B219:B222"/>
    <mergeCell ref="C219:C222"/>
    <mergeCell ref="D219:D222"/>
    <mergeCell ref="E219:E222"/>
    <mergeCell ref="F219:F222"/>
    <mergeCell ref="G219:G222"/>
    <mergeCell ref="H219:H222"/>
    <mergeCell ref="I219:I222"/>
    <mergeCell ref="O213:O214"/>
    <mergeCell ref="M254:M257"/>
    <mergeCell ref="N254:N257"/>
    <mergeCell ref="B270:B272"/>
    <mergeCell ref="J300:J301"/>
    <mergeCell ref="K314:K316"/>
    <mergeCell ref="L314:L316"/>
    <mergeCell ref="M314:M316"/>
    <mergeCell ref="N314:N316"/>
    <mergeCell ref="O314:O316"/>
    <mergeCell ref="A251:A252"/>
    <mergeCell ref="B251:B252"/>
    <mergeCell ref="A254:A257"/>
    <mergeCell ref="B254:B257"/>
    <mergeCell ref="J254:J257"/>
    <mergeCell ref="F258:F259"/>
    <mergeCell ref="G258:G259"/>
    <mergeCell ref="H258:H259"/>
    <mergeCell ref="I258:I259"/>
    <mergeCell ref="N258:N259"/>
    <mergeCell ref="A258:A259"/>
    <mergeCell ref="B258:B259"/>
    <mergeCell ref="C258:C259"/>
    <mergeCell ref="D258:D259"/>
    <mergeCell ref="E258:E259"/>
    <mergeCell ref="M251:M252"/>
    <mergeCell ref="N251:N252"/>
    <mergeCell ref="G327:G334"/>
    <mergeCell ref="H327:H334"/>
    <mergeCell ref="I327:I334"/>
    <mergeCell ref="A327:A334"/>
    <mergeCell ref="B327:B334"/>
    <mergeCell ref="C327:C334"/>
    <mergeCell ref="D327:D334"/>
    <mergeCell ref="E327:E334"/>
    <mergeCell ref="K345:K347"/>
    <mergeCell ref="L345:L347"/>
    <mergeCell ref="J314:J316"/>
    <mergeCell ref="A273:A298"/>
    <mergeCell ref="B273:B298"/>
    <mergeCell ref="A263:A265"/>
    <mergeCell ref="B263:B265"/>
    <mergeCell ref="A266:A267"/>
    <mergeCell ref="B266:B267"/>
    <mergeCell ref="J268:O268"/>
    <mergeCell ref="A314:A316"/>
    <mergeCell ref="B314:B316"/>
    <mergeCell ref="J263:J265"/>
    <mergeCell ref="K263:K265"/>
    <mergeCell ref="L263:L265"/>
    <mergeCell ref="M263:M265"/>
    <mergeCell ref="N263:N265"/>
    <mergeCell ref="O263:O265"/>
    <mergeCell ref="M300:M301"/>
    <mergeCell ref="N300:N301"/>
    <mergeCell ref="O300:O301"/>
    <mergeCell ref="J311:J313"/>
    <mergeCell ref="K311:K313"/>
    <mergeCell ref="L311:L313"/>
    <mergeCell ref="B402:B403"/>
    <mergeCell ref="J402:J403"/>
    <mergeCell ref="K402:K403"/>
    <mergeCell ref="L402:L403"/>
    <mergeCell ref="M402:M403"/>
    <mergeCell ref="J350:J355"/>
    <mergeCell ref="K350:K355"/>
    <mergeCell ref="L350:L355"/>
    <mergeCell ref="M350:M355"/>
    <mergeCell ref="N350:N355"/>
    <mergeCell ref="J345:J347"/>
    <mergeCell ref="A317:A319"/>
    <mergeCell ref="B317:B319"/>
    <mergeCell ref="A320:A321"/>
    <mergeCell ref="B320:B321"/>
    <mergeCell ref="A299:A301"/>
    <mergeCell ref="B299:B301"/>
    <mergeCell ref="A303:A309"/>
    <mergeCell ref="B303:B309"/>
    <mergeCell ref="A311:A313"/>
    <mergeCell ref="B311:B313"/>
    <mergeCell ref="K369:K371"/>
    <mergeCell ref="L369:L371"/>
    <mergeCell ref="M369:M371"/>
    <mergeCell ref="N369:N371"/>
    <mergeCell ref="A336:A338"/>
    <mergeCell ref="B336:B338"/>
    <mergeCell ref="A339:A341"/>
    <mergeCell ref="B339:B341"/>
    <mergeCell ref="A342:A344"/>
    <mergeCell ref="B342:B344"/>
    <mergeCell ref="F327:F334"/>
    <mergeCell ref="A384:A386"/>
    <mergeCell ref="B384:B386"/>
    <mergeCell ref="A374:A376"/>
    <mergeCell ref="B374:B376"/>
    <mergeCell ref="A377:A379"/>
    <mergeCell ref="B377:B379"/>
    <mergeCell ref="A381:A383"/>
    <mergeCell ref="B381:B383"/>
    <mergeCell ref="A360:A363"/>
    <mergeCell ref="B360:B363"/>
    <mergeCell ref="A365:A368"/>
    <mergeCell ref="B365:B368"/>
    <mergeCell ref="A369:A371"/>
    <mergeCell ref="B369:B371"/>
    <mergeCell ref="A345:A347"/>
    <mergeCell ref="B345:B347"/>
    <mergeCell ref="A350:A355"/>
    <mergeCell ref="B350:B355"/>
    <mergeCell ref="A356:A358"/>
    <mergeCell ref="B356:B358"/>
    <mergeCell ref="O402:O403"/>
    <mergeCell ref="N404:N406"/>
    <mergeCell ref="O404:O406"/>
    <mergeCell ref="J336:J338"/>
    <mergeCell ref="L155:L157"/>
    <mergeCell ref="M155:M157"/>
    <mergeCell ref="N155:N157"/>
    <mergeCell ref="O155:O157"/>
    <mergeCell ref="J216:J217"/>
    <mergeCell ref="K216:K217"/>
    <mergeCell ref="L216:L217"/>
    <mergeCell ref="M216:M217"/>
    <mergeCell ref="N216:N217"/>
    <mergeCell ref="O216:O217"/>
    <mergeCell ref="J270:J272"/>
    <mergeCell ref="K270:K272"/>
    <mergeCell ref="L270:L272"/>
    <mergeCell ref="M270:M272"/>
    <mergeCell ref="N270:N272"/>
    <mergeCell ref="O270:O272"/>
    <mergeCell ref="N402:N403"/>
    <mergeCell ref="M311:M313"/>
    <mergeCell ref="J155:J157"/>
    <mergeCell ref="K155:K157"/>
    <mergeCell ref="J224:J226"/>
    <mergeCell ref="K224:K226"/>
    <mergeCell ref="L224:L226"/>
    <mergeCell ref="M224:M226"/>
    <mergeCell ref="N224:N226"/>
    <mergeCell ref="O224:O226"/>
    <mergeCell ref="K336:K338"/>
    <mergeCell ref="L336:L338"/>
    <mergeCell ref="M433:M434"/>
    <mergeCell ref="N433:N434"/>
    <mergeCell ref="O433:O434"/>
    <mergeCell ref="J544:O544"/>
    <mergeCell ref="J485:J486"/>
    <mergeCell ref="K485:K486"/>
    <mergeCell ref="L485:L486"/>
    <mergeCell ref="M485:M486"/>
    <mergeCell ref="N485:N486"/>
    <mergeCell ref="O485:O486"/>
    <mergeCell ref="J516:J518"/>
    <mergeCell ref="K516:K518"/>
    <mergeCell ref="L516:L518"/>
    <mergeCell ref="M516:M518"/>
    <mergeCell ref="N516:N518"/>
    <mergeCell ref="O516:O518"/>
    <mergeCell ref="J487:J489"/>
    <mergeCell ref="K453:K456"/>
    <mergeCell ref="O467:O469"/>
    <mergeCell ref="J480:J482"/>
    <mergeCell ref="K480:K482"/>
    <mergeCell ref="L480:L482"/>
    <mergeCell ref="M480:M482"/>
    <mergeCell ref="N480:N482"/>
    <mergeCell ref="O480:O482"/>
    <mergeCell ref="J483:J484"/>
    <mergeCell ref="K483:K484"/>
    <mergeCell ref="L483:L484"/>
    <mergeCell ref="M483:M484"/>
    <mergeCell ref="N483:N484"/>
    <mergeCell ref="O483:O484"/>
    <mergeCell ref="J512:J515"/>
    <mergeCell ref="N418:N420"/>
    <mergeCell ref="O418:O420"/>
    <mergeCell ref="O595:O597"/>
    <mergeCell ref="J776:J779"/>
    <mergeCell ref="K776:K779"/>
    <mergeCell ref="L776:L779"/>
    <mergeCell ref="M776:M779"/>
    <mergeCell ref="N776:N779"/>
    <mergeCell ref="O776:O779"/>
    <mergeCell ref="L711:L716"/>
    <mergeCell ref="M711:M716"/>
    <mergeCell ref="N711:N716"/>
    <mergeCell ref="O711:O716"/>
    <mergeCell ref="N677:N678"/>
    <mergeCell ref="O677:O678"/>
    <mergeCell ref="L605:L607"/>
    <mergeCell ref="M605:M607"/>
    <mergeCell ref="L768:L771"/>
    <mergeCell ref="M768:M771"/>
    <mergeCell ref="M435:M437"/>
    <mergeCell ref="N435:N437"/>
    <mergeCell ref="O435:O437"/>
    <mergeCell ref="O425:O427"/>
    <mergeCell ref="J430:J431"/>
    <mergeCell ref="K430:K431"/>
    <mergeCell ref="L430:L431"/>
    <mergeCell ref="M430:M431"/>
    <mergeCell ref="N430:N431"/>
    <mergeCell ref="O430:O431"/>
    <mergeCell ref="J433:J434"/>
    <mergeCell ref="K433:K434"/>
    <mergeCell ref="L433:L434"/>
  </mergeCells>
  <pageMargins left="0.39370078740157483" right="0.39370078740157483" top="0.39370078740157483" bottom="0.39370078740157483" header="0.39370078740157483" footer="0.39370078740157483"/>
  <pageSetup paperSize="9" scale="8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Priedas Nr.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Kristina Kečedži</dc:creator>
  <cp:lastModifiedBy>Kristina Kečedži</cp:lastModifiedBy>
  <cp:lastPrinted>2026-02-11T14:16:07Z</cp:lastPrinted>
  <dcterms:created xsi:type="dcterms:W3CDTF">2026-01-26T12:40:14Z</dcterms:created>
  <dcterms:modified xsi:type="dcterms:W3CDTF">2026-06-08T12:22:26Z</dcterms:modified>
</cp:coreProperties>
</file>